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https://dochub/div/australianbuildingcodesboard/businessfunctions/resourcelibrary/guidanceandtraining/docs/"/>
    </mc:Choice>
  </mc:AlternateContent>
  <workbookProtection workbookAlgorithmName="SHA-512" workbookHashValue="beZG+uT7MjuvfO0tzA7K199nmP1ALw0zs6cuIQElr1RGYL3ycXSYmYDiMFY7/Md0o7PP6Ykl0RkQAd50B1hg1g==" workbookSaltValue="NNIYKDFi2pm7pjvr7T8poA==" workbookSpinCount="100000" lockStructure="1"/>
  <bookViews>
    <workbookView xWindow="0" yWindow="600" windowWidth="25200" windowHeight="10490" tabRatio="505"/>
  </bookViews>
  <sheets>
    <sheet name="Main Menu" sheetId="1" r:id="rId1"/>
    <sheet name="Help" sheetId="13" r:id="rId2"/>
    <sheet name="Class 2 and 4" sheetId="15" r:id="rId3"/>
    <sheet name="Class 3, 5-9" sheetId="3" r:id="rId4"/>
    <sheet name="Adjustment factors" sheetId="4" r:id="rId5"/>
    <sheet name="Multiple Lighting Systems" sheetId="6" r:id="rId6"/>
    <sheet name="Worksheet" sheetId="16" r:id="rId7"/>
    <sheet name="Screenshots" sheetId="20" r:id="rId8"/>
    <sheet name="2003 v 2007 Mods" sheetId="18" state="hidden" r:id="rId9"/>
  </sheets>
  <externalReferences>
    <externalReference r:id="rId10"/>
  </externalReferences>
  <definedNames>
    <definedName name="_Adj1">#REF!</definedName>
    <definedName name="_Adj2">#REF!</definedName>
    <definedName name="_Adj3">#REF!</definedName>
    <definedName name="_xlnm._FilterDatabase" localSheetId="2" hidden="1">'Class 2 and 4'!$B$25:$B$65</definedName>
    <definedName name="_xlnm._FilterDatabase" localSheetId="3" hidden="1">'Class 3, 5-9'!$C$23:$C$523</definedName>
    <definedName name="ADIPL">#REF!</definedName>
    <definedName name="ADIPL1">#REF!</definedName>
    <definedName name="ADIPLbalc">'Class 2 and 4'!$I$140</definedName>
    <definedName name="ADIPLClass1">'Class 2 and 4'!$I$136</definedName>
    <definedName name="ADIPLClass10">'Class 2 and 4'!$I$144</definedName>
    <definedName name="ADIPLone" localSheetId="2">'Class 2 and 4'!$I$136</definedName>
    <definedName name="ADIPLone">'Class 3, 5-9'!$L$591</definedName>
    <definedName name="ADIPLthree">#REF!</definedName>
    <definedName name="ADIPLtwo">#REF!</definedName>
    <definedName name="AdjFacComAll" comment="Class 3, 5-9 All Adjustment Factors">'Adjustment factors'!#REF!</definedName>
    <definedName name="AdjFacComPart" comment="Class 3, 5-9 Adjustment Factors minus Corridor">'Adjustment factors'!#REF!</definedName>
    <definedName name="Adjfactors" localSheetId="2">'Class 2 and 4'!$W$85:$X$104</definedName>
    <definedName name="Adjfactors01">'Class 3, 5-9'!$Y$539:$AA$551</definedName>
    <definedName name="Adjfactors1" localSheetId="2">'Class 2 and 4'!$X$84:$Y$95</definedName>
    <definedName name="Adjfactors1">'Class 3, 5-9'!$Y$539:$Z$550</definedName>
    <definedName name="Afactors">'Adjustment factors'!$R$12:$T$23</definedName>
    <definedName name="AfactorsTwo">'Adjustment factors'!$AC$12:$AE$24</definedName>
    <definedName name="AllInputsOK">[1]Calculator!$AY$28</definedName>
    <definedName name="Allinputsokres">'Class 2 and 4'!$BB$85</definedName>
    <definedName name="ansarea1">#REF!</definedName>
    <definedName name="ansarea2">#REF!</definedName>
    <definedName name="ansarea3">#REF!</definedName>
    <definedName name="ansarea4">#REF!</definedName>
    <definedName name="ansarea5">#REF!</definedName>
    <definedName name="ansarea6">#REF!</definedName>
    <definedName name="ansarea7">#REF!</definedName>
    <definedName name="area1">#REF!</definedName>
    <definedName name="area2">#REF!</definedName>
    <definedName name="area3">#REF!</definedName>
    <definedName name="area4">#REF!</definedName>
    <definedName name="area5">#REF!</definedName>
    <definedName name="area6">#REF!</definedName>
    <definedName name="area7">#REF!</definedName>
    <definedName name="area8">#REF!</definedName>
    <definedName name="AreaUsed">[1]Calculator!$U$33:$U$72</definedName>
    <definedName name="AveADIPL">'Class 2 and 4'!$I$137</definedName>
    <definedName name="Balconytrue">'Class 2 and 4'!$AX$85</definedName>
    <definedName name="Class_3_9a_9c_List">'Adjustment factors'!$X$28:$X$30</definedName>
    <definedName name="Class_5_to_9b_List">'Adjustment factors'!$V$28:$V$35</definedName>
    <definedName name="Class1">'Class 2 and 4'!#REF!</definedName>
    <definedName name="Class10">'Class 2 and 4'!#REF!</definedName>
    <definedName name="Class2">'Class 2 and 4'!$W$105</definedName>
    <definedName name="Class4">'Class 2 and 4'!$W$106</definedName>
    <definedName name="ClassificationOne">'Class 3, 5-9'!$P$11</definedName>
    <definedName name="ClassificationTwo">'Class 2 and 4'!$N$9</definedName>
    <definedName name="ComplianceErrorsTotal">[1]Calculator!$CC$28</definedName>
    <definedName name="Corridors.">'Class 3, 5-9'!$G$545</definedName>
    <definedName name="_xlnm.Criteria" localSheetId="2">'Class 2 and 4'!$D$13</definedName>
    <definedName name="_xlnm.Criteria" localSheetId="3">'Class 3, 5-9'!$E$15</definedName>
    <definedName name="DescriptionOne">'Class 3, 5-9'!$E$11</definedName>
    <definedName name="DescriptionTwo">'Class 2 and 4'!$D$9</definedName>
    <definedName name="DynamicDim">'Adjustment factors'!$R$21</definedName>
    <definedName name="DynamicdimmingJ">'Class 3, 5-9'!$Y$547</definedName>
    <definedName name="eNA">'Adjustment factors'!$V$16</definedName>
    <definedName name="FailBalcony">'Class 2 and 4'!$R$152</definedName>
    <definedName name="FailCheck">'Class 3, 5-9'!$U$594</definedName>
    <definedName name="FailClass1">'Class 2 and 4'!$R$148</definedName>
    <definedName name="FailClass10">'Class 2 and 4'!$R$156</definedName>
    <definedName name="FailCom">'Class 3, 5-9'!$P$565</definedName>
    <definedName name="FailRes">'Class 2 and 4'!$R$148</definedName>
    <definedName name="firstinputsres">'Class 2 and 4'!$J$101</definedName>
    <definedName name="FixedDim">'Adjustment factors'!$R$16</definedName>
    <definedName name="Fixeddimming">'Class 3, 5-9'!$Y$548</definedName>
    <definedName name="fNA">'Adjustment factors'!$X$17</definedName>
    <definedName name="GeneralAdviceOne">'Class 3, 5-9'!$BC$24</definedName>
    <definedName name="GeneralAdviceTwo">'Class 2 and 4'!$BI$26</definedName>
    <definedName name="InputIssuesOne">'Class 3, 5-9'!$DX$21</definedName>
    <definedName name="InputIssuesTwo">'Class 2 and 4'!$EC$23</definedName>
    <definedName name="jNA">'Adjustment factors'!$X$21</definedName>
    <definedName name="LocationLimitsTwo" localSheetId="2">'Class 2 and 4'!$H$84:$I$88</definedName>
    <definedName name="ManualDime">'Adjustment factors'!$R$16</definedName>
    <definedName name="ManualDimf">'Adjustment factors'!$R$17</definedName>
    <definedName name="MIPDLbalc">'Class 2 and 4'!$I$152</definedName>
    <definedName name="MIPDLClass1">'Class 2 and 4'!$I$148</definedName>
    <definedName name="MIPDLClass10">'Class 2 and 4'!$I$156</definedName>
    <definedName name="MIPDLONE" localSheetId="2">'Class 2 and 4'!$I$148</definedName>
    <definedName name="MIPDLONE">'Class 3, 5-9'!$L$595</definedName>
    <definedName name="MIPDLRES">#REF!</definedName>
    <definedName name="MIPDLThree">#REF!</definedName>
    <definedName name="MIPDLtwo">#REF!</definedName>
    <definedName name="Onevalueinvalid">'Class 2 and 4'!$BP$89</definedName>
    <definedName name="PassBalcony">'Class 2 and 4'!$R$140</definedName>
    <definedName name="Passcheck">'Class 3, 5-9'!$U$591</definedName>
    <definedName name="PassClass1">'Class 2 and 4'!$R$136</definedName>
    <definedName name="PassClass10">'Class 2 and 4'!$R$144</definedName>
    <definedName name="PassCom">'Class 3, 5-9'!$P$564</definedName>
    <definedName name="PassRes">'Class 2 and 4'!$R$136</definedName>
    <definedName name="PerAllowance">#REF!</definedName>
    <definedName name="perallowance3">#REF!</definedName>
    <definedName name="PerAllowanceRes">#REF!</definedName>
    <definedName name="Percent1">'Class 2 and 4'!$U$101</definedName>
    <definedName name="Percent10">'Class 2 and 4'!$U$104</definedName>
    <definedName name="percentage">'Class 3, 5-9'!$S$591</definedName>
    <definedName name="Percentageofallowance">'Class 2 and 4'!$Q$136</definedName>
    <definedName name="PercentBalcony">'Class 2 and 4'!$U$103</definedName>
    <definedName name="PrecisionTwo">'Class 2 and 4'!$Q$111</definedName>
    <definedName name="_xlnm.Print_Area" localSheetId="4">'Adjustment factors'!$A$1:$O$52</definedName>
    <definedName name="_xlnm.Print_Area" localSheetId="2">'Class 2 and 4'!$B$1:$R$80</definedName>
    <definedName name="_xlnm.Print_Area" localSheetId="3">'Class 3, 5-9'!$A$1:$W$535</definedName>
    <definedName name="_xlnm.Print_Area" localSheetId="1">Help!$A$1:$D$108</definedName>
    <definedName name="_xlnm.Print_Area" localSheetId="0">'Main Menu'!$A$1:$R$36</definedName>
    <definedName name="_xlnm.Print_Area" localSheetId="5">'Multiple Lighting Systems'!$A$1:$S$77</definedName>
    <definedName name="_xlnm.Print_Area" localSheetId="7">Screenshots!$A$1:$Z$271</definedName>
    <definedName name="_xlnm.Print_Area" localSheetId="6">Worksheet!$A$1:$P$8</definedName>
    <definedName name="_xlnm.Print_Titles" localSheetId="2">'Class 2 and 4'!$1:$25</definedName>
    <definedName name="_xlnm.Print_Titles" localSheetId="3">'Class 3, 5-9'!$1:$23</definedName>
    <definedName name="ProgDim">'Adjustment factors'!$R$15</definedName>
    <definedName name="ResAdjustfactor01">'Class 2 and 4'!$X$84:$Z$96</definedName>
    <definedName name="ResClassifications">'Class 2 and 4'!$W$105:$W$106</definedName>
    <definedName name="resdynamicdimmingk">'Class 2 and 4'!$X$92</definedName>
    <definedName name="resFixeddimming">'Class 2 and 4'!$X$93</definedName>
    <definedName name="ResSpace">#REF!</definedName>
    <definedName name="roomaspect" localSheetId="2">'Class 2 and 4'!#REF!</definedName>
    <definedName name="roomaspect">'Class 3, 5-9'!#REF!</definedName>
    <definedName name="RowsFilledOne">'Class 3, 5-9'!$AN$18</definedName>
    <definedName name="RowsFilledTwo">'Class 2 and 4'!$AY$20</definedName>
    <definedName name="RowsPreferredOne">'Class 3, 5-9'!$I$18</definedName>
    <definedName name="RowsPreferredTwo">'Class 2 and 4'!$G$16</definedName>
    <definedName name="RowsShownOne">'Class 3, 5-9'!$BT$21</definedName>
    <definedName name="RowsShownTwo">'Class 2 and 4'!$BZ$23</definedName>
    <definedName name="Screenshot1">Screenshots!$A$4:$A$47</definedName>
    <definedName name="Screenshot2">Screenshots!$A$55:$A$98</definedName>
    <definedName name="Screenshot3">Screenshots!$A$106:$A$150</definedName>
    <definedName name="Screenshot4">Screenshots!$A$158:$A$203</definedName>
    <definedName name="ShowPass" localSheetId="2">'Class 2 and 4'!$DP$27</definedName>
    <definedName name="ShowPass">'Class 3, 5-9'!$ED$25</definedName>
    <definedName name="SpacenameS1" localSheetId="2">'Class 2 and 4'!$H$84:$H$128</definedName>
    <definedName name="SpacenameS2">#REF!</definedName>
    <definedName name="SpacenameS3">#REF!</definedName>
    <definedName name="SpaceS1">'Class 3, 5-9'!$G$539:$K$583</definedName>
    <definedName name="SpaceS2">#REF!</definedName>
    <definedName name="SpaceS3">#REF!</definedName>
    <definedName name="SpacesActiveTwo">'Class 2 and 4'!$J$89</definedName>
    <definedName name="Storey">'Class 2 and 4'!#REF!</definedName>
    <definedName name="StoreyNonRes">'Class 3, 5-9'!#REF!</definedName>
    <definedName name="TopInputsOKOne">'Class 3, 5-9'!$DX$11</definedName>
    <definedName name="TopInputsOKTwo">'Class 2 and 4'!$EC$9</definedName>
    <definedName name="TotalAllowBalc">'Class 2 and 4'!$I$153</definedName>
    <definedName name="TotalAllowClass1">'Class 2 and 4'!$I$149</definedName>
    <definedName name="TotalAllowClass10">'Class 2 and 4'!$I$157</definedName>
    <definedName name="totalperallowance">#REF!</definedName>
    <definedName name="TypeofSpaceres">'Class 2 and 4'!$E$84:$G$93</definedName>
    <definedName name="V2FixedDim">'Adjustment factors'!$AC$21</definedName>
    <definedName name="V2LumenDepFactor">'Adjustment factors'!$AC$20</definedName>
    <definedName name="V2ManualDim">'Adjustment factors'!$AC$16</definedName>
    <definedName name="V2ProgDim">'Adjustment factors'!$AC$17</definedName>
    <definedName name="ValidControlsAll">'Adjustment factors'!$X$12:$X$23</definedName>
    <definedName name="ValidControlsPart">'Adjustment factors'!$X$12:$X$23</definedName>
    <definedName name="ValidControlsRes" comment="Adjustment Factors for Residential Buildings Only">'Adjustment factors'!$V$12:$V$23</definedName>
    <definedName name="ValidControlsResParts" comment="Adjustment Factors for Residential Buildings only,excluding corridor space">'Adjustment factors'!$V$13:$V$23</definedName>
    <definedName name="ValidLocationsOne">'Class 3, 5-9'!$G$539:$G$583</definedName>
    <definedName name="ValidLocationsTwo" comment="Range dimensions vary to suit contents and avoid empty choices in Data Validation list.">OFFSET('Class 2 and 4'!$K$84,0,0,SpacesActiveTwo,1)</definedName>
    <definedName name="VisibleFailures" localSheetId="2">'Class 2 and 4'!$CQ$34</definedName>
    <definedName name="VisibleFailures">'Class 3, 5-9'!$CS$32</definedName>
  </definedNames>
  <calcPr calcId="152511"/>
</workbook>
</file>

<file path=xl/calcChain.xml><?xml version="1.0" encoding="utf-8"?>
<calcChain xmlns="http://schemas.openxmlformats.org/spreadsheetml/2006/main">
  <c r="BV73" i="15" l="1"/>
  <c r="P8" i="15" l="1"/>
  <c r="C211" i="20" l="1"/>
  <c r="B13" i="13"/>
  <c r="B17" i="13"/>
  <c r="C158" i="20" l="1"/>
  <c r="C106" i="20"/>
  <c r="C55" i="20"/>
  <c r="C4" i="20"/>
  <c r="DH25" i="3" l="1"/>
  <c r="DH26" i="3"/>
  <c r="DH27" i="3"/>
  <c r="DH28" i="3"/>
  <c r="DH29" i="3"/>
  <c r="DH30" i="3"/>
  <c r="DH31" i="3"/>
  <c r="DH32" i="3"/>
  <c r="DH33" i="3"/>
  <c r="DH34" i="3"/>
  <c r="DH35" i="3"/>
  <c r="DH36" i="3"/>
  <c r="DH37" i="3"/>
  <c r="DH38" i="3"/>
  <c r="DH39" i="3"/>
  <c r="DH40" i="3"/>
  <c r="DH41" i="3"/>
  <c r="DH42" i="3"/>
  <c r="DH43" i="3"/>
  <c r="DH44" i="3"/>
  <c r="DH45" i="3"/>
  <c r="DH46" i="3"/>
  <c r="DH47" i="3"/>
  <c r="DH48" i="3"/>
  <c r="DH49" i="3"/>
  <c r="DH50" i="3"/>
  <c r="DH51" i="3"/>
  <c r="DH52" i="3"/>
  <c r="DH53" i="3"/>
  <c r="DH54" i="3"/>
  <c r="DH55" i="3"/>
  <c r="DH56" i="3"/>
  <c r="DH57" i="3"/>
  <c r="DH58" i="3"/>
  <c r="DH59" i="3"/>
  <c r="DH60" i="3"/>
  <c r="DH61" i="3"/>
  <c r="DH62" i="3"/>
  <c r="DH63" i="3"/>
  <c r="DH64" i="3"/>
  <c r="DH65" i="3"/>
  <c r="DH66" i="3"/>
  <c r="DH67" i="3"/>
  <c r="DH68" i="3"/>
  <c r="DH69" i="3"/>
  <c r="DH70" i="3"/>
  <c r="DH71" i="3"/>
  <c r="DH72" i="3"/>
  <c r="DH73" i="3"/>
  <c r="DH74" i="3"/>
  <c r="DH75" i="3"/>
  <c r="DH76" i="3"/>
  <c r="DH77" i="3"/>
  <c r="DH78" i="3"/>
  <c r="DH79" i="3"/>
  <c r="DH80" i="3"/>
  <c r="DH81" i="3"/>
  <c r="DH82" i="3"/>
  <c r="DH83" i="3"/>
  <c r="DH84" i="3"/>
  <c r="DH85" i="3"/>
  <c r="DH86" i="3"/>
  <c r="DH87" i="3"/>
  <c r="DH88" i="3"/>
  <c r="DH89" i="3"/>
  <c r="DH90" i="3"/>
  <c r="DH91" i="3"/>
  <c r="DH92" i="3"/>
  <c r="DH93" i="3"/>
  <c r="DH94" i="3"/>
  <c r="DH95" i="3"/>
  <c r="DH96" i="3"/>
  <c r="DH97" i="3"/>
  <c r="DH98" i="3"/>
  <c r="DH99" i="3"/>
  <c r="DH100" i="3"/>
  <c r="DH101" i="3"/>
  <c r="DH102" i="3"/>
  <c r="DH103" i="3"/>
  <c r="DH104" i="3"/>
  <c r="DH105" i="3"/>
  <c r="DH106" i="3"/>
  <c r="DH107" i="3"/>
  <c r="DH108" i="3"/>
  <c r="DH109" i="3"/>
  <c r="DH110" i="3"/>
  <c r="DH111" i="3"/>
  <c r="DH112" i="3"/>
  <c r="DH113" i="3"/>
  <c r="DH114" i="3"/>
  <c r="DH115" i="3"/>
  <c r="DH116" i="3"/>
  <c r="DH117" i="3"/>
  <c r="DH118" i="3"/>
  <c r="DH119" i="3"/>
  <c r="DH120" i="3"/>
  <c r="DH121" i="3"/>
  <c r="DH122" i="3"/>
  <c r="DH123" i="3"/>
  <c r="DH124" i="3"/>
  <c r="DH125" i="3"/>
  <c r="DH126" i="3"/>
  <c r="DH127" i="3"/>
  <c r="DH128" i="3"/>
  <c r="DH129" i="3"/>
  <c r="DH130" i="3"/>
  <c r="DH131" i="3"/>
  <c r="DH132" i="3"/>
  <c r="DH133" i="3"/>
  <c r="DH134" i="3"/>
  <c r="DH135" i="3"/>
  <c r="DH136" i="3"/>
  <c r="DH137" i="3"/>
  <c r="DH138" i="3"/>
  <c r="DH139" i="3"/>
  <c r="DH140" i="3"/>
  <c r="DH141" i="3"/>
  <c r="DH142" i="3"/>
  <c r="DH143" i="3"/>
  <c r="DH144" i="3"/>
  <c r="DH145" i="3"/>
  <c r="DH146" i="3"/>
  <c r="DH147" i="3"/>
  <c r="DH148" i="3"/>
  <c r="DH149" i="3"/>
  <c r="DH150" i="3"/>
  <c r="DH151" i="3"/>
  <c r="DH152" i="3"/>
  <c r="DH153" i="3"/>
  <c r="DH154" i="3"/>
  <c r="DH155" i="3"/>
  <c r="DH156" i="3"/>
  <c r="DH157" i="3"/>
  <c r="DH158" i="3"/>
  <c r="DH159" i="3"/>
  <c r="DH160" i="3"/>
  <c r="DH161" i="3"/>
  <c r="DH162" i="3"/>
  <c r="DH163" i="3"/>
  <c r="DH164" i="3"/>
  <c r="DH165" i="3"/>
  <c r="DH166" i="3"/>
  <c r="DH167" i="3"/>
  <c r="DH168" i="3"/>
  <c r="DH169" i="3"/>
  <c r="DH170" i="3"/>
  <c r="DH171" i="3"/>
  <c r="DH172" i="3"/>
  <c r="DH173" i="3"/>
  <c r="DH174" i="3"/>
  <c r="DH175" i="3"/>
  <c r="DH176" i="3"/>
  <c r="DH177" i="3"/>
  <c r="DH178" i="3"/>
  <c r="DH179" i="3"/>
  <c r="DH180" i="3"/>
  <c r="DH181" i="3"/>
  <c r="DH182" i="3"/>
  <c r="DH183" i="3"/>
  <c r="DH184" i="3"/>
  <c r="DH185" i="3"/>
  <c r="DH186" i="3"/>
  <c r="DH187" i="3"/>
  <c r="DH188" i="3"/>
  <c r="DH189" i="3"/>
  <c r="DH190" i="3"/>
  <c r="DH191" i="3"/>
  <c r="DH192" i="3"/>
  <c r="DH193" i="3"/>
  <c r="DH194" i="3"/>
  <c r="DH195" i="3"/>
  <c r="DH196" i="3"/>
  <c r="DH197" i="3"/>
  <c r="DH198" i="3"/>
  <c r="DH199" i="3"/>
  <c r="DH200" i="3"/>
  <c r="DH201" i="3"/>
  <c r="DH202" i="3"/>
  <c r="DH203" i="3"/>
  <c r="DH204" i="3"/>
  <c r="DH205" i="3"/>
  <c r="DH206" i="3"/>
  <c r="DH207" i="3"/>
  <c r="DH208" i="3"/>
  <c r="DH209" i="3"/>
  <c r="DH210" i="3"/>
  <c r="DH211" i="3"/>
  <c r="DH212" i="3"/>
  <c r="DH213" i="3"/>
  <c r="DH214" i="3"/>
  <c r="DH215" i="3"/>
  <c r="DH216" i="3"/>
  <c r="DH217" i="3"/>
  <c r="DH218" i="3"/>
  <c r="DH219" i="3"/>
  <c r="DH220" i="3"/>
  <c r="DH221" i="3"/>
  <c r="DH222" i="3"/>
  <c r="DH223" i="3"/>
  <c r="DH224" i="3"/>
  <c r="DH225" i="3"/>
  <c r="DH226" i="3"/>
  <c r="DH227" i="3"/>
  <c r="DH228" i="3"/>
  <c r="DH229" i="3"/>
  <c r="DH230" i="3"/>
  <c r="DH231" i="3"/>
  <c r="DH232" i="3"/>
  <c r="DH233" i="3"/>
  <c r="DH234" i="3"/>
  <c r="DH235" i="3"/>
  <c r="DH236" i="3"/>
  <c r="DH237" i="3"/>
  <c r="DH238" i="3"/>
  <c r="DH239" i="3"/>
  <c r="DH240" i="3"/>
  <c r="DH241" i="3"/>
  <c r="DH242" i="3"/>
  <c r="DH243" i="3"/>
  <c r="DH244" i="3"/>
  <c r="DH245" i="3"/>
  <c r="DH246" i="3"/>
  <c r="DH247" i="3"/>
  <c r="DH248" i="3"/>
  <c r="DH249" i="3"/>
  <c r="DH250" i="3"/>
  <c r="DH251" i="3"/>
  <c r="DH252" i="3"/>
  <c r="DH253" i="3"/>
  <c r="DH254" i="3"/>
  <c r="DH255" i="3"/>
  <c r="DH256" i="3"/>
  <c r="DH257" i="3"/>
  <c r="DH258" i="3"/>
  <c r="DH259" i="3"/>
  <c r="DH260" i="3"/>
  <c r="DH261" i="3"/>
  <c r="DH262" i="3"/>
  <c r="DH263" i="3"/>
  <c r="DH264" i="3"/>
  <c r="DH265" i="3"/>
  <c r="DH266" i="3"/>
  <c r="DH267" i="3"/>
  <c r="DH268" i="3"/>
  <c r="DH269" i="3"/>
  <c r="DH270" i="3"/>
  <c r="DH271" i="3"/>
  <c r="DH272" i="3"/>
  <c r="DH273" i="3"/>
  <c r="DH274" i="3"/>
  <c r="DH275" i="3"/>
  <c r="DH276" i="3"/>
  <c r="DH277" i="3"/>
  <c r="DH278" i="3"/>
  <c r="DH279" i="3"/>
  <c r="DH280" i="3"/>
  <c r="DH281" i="3"/>
  <c r="DH282" i="3"/>
  <c r="DH283" i="3"/>
  <c r="DH284" i="3"/>
  <c r="DH285" i="3"/>
  <c r="DH286" i="3"/>
  <c r="DH287" i="3"/>
  <c r="DH288" i="3"/>
  <c r="DH289" i="3"/>
  <c r="DH290" i="3"/>
  <c r="DH291" i="3"/>
  <c r="DH292" i="3"/>
  <c r="DH293" i="3"/>
  <c r="DH294" i="3"/>
  <c r="DH295" i="3"/>
  <c r="DH296" i="3"/>
  <c r="DH297" i="3"/>
  <c r="DH298" i="3"/>
  <c r="DH299" i="3"/>
  <c r="DH300" i="3"/>
  <c r="DH301" i="3"/>
  <c r="DH302" i="3"/>
  <c r="DH303" i="3"/>
  <c r="DH304" i="3"/>
  <c r="DH305" i="3"/>
  <c r="DH306" i="3"/>
  <c r="DH307" i="3"/>
  <c r="DH308" i="3"/>
  <c r="DH309" i="3"/>
  <c r="DH310" i="3"/>
  <c r="DH311" i="3"/>
  <c r="DH312" i="3"/>
  <c r="DH313" i="3"/>
  <c r="DH314" i="3"/>
  <c r="DH315" i="3"/>
  <c r="DH316" i="3"/>
  <c r="DH317" i="3"/>
  <c r="DH318" i="3"/>
  <c r="DH319" i="3"/>
  <c r="DH320" i="3"/>
  <c r="DH321" i="3"/>
  <c r="DH322" i="3"/>
  <c r="DH323" i="3"/>
  <c r="DH324" i="3"/>
  <c r="DH325" i="3"/>
  <c r="DH326" i="3"/>
  <c r="DH327" i="3"/>
  <c r="DH328" i="3"/>
  <c r="DH329" i="3"/>
  <c r="DH330" i="3"/>
  <c r="DH331" i="3"/>
  <c r="DH332" i="3"/>
  <c r="DH333" i="3"/>
  <c r="DH334" i="3"/>
  <c r="DH335" i="3"/>
  <c r="DH336" i="3"/>
  <c r="DH337" i="3"/>
  <c r="DH338" i="3"/>
  <c r="DH339" i="3"/>
  <c r="DH340" i="3"/>
  <c r="DH341" i="3"/>
  <c r="DH342" i="3"/>
  <c r="DH343" i="3"/>
  <c r="DH344" i="3"/>
  <c r="DH345" i="3"/>
  <c r="DH346" i="3"/>
  <c r="DH347" i="3"/>
  <c r="DH348" i="3"/>
  <c r="DH349" i="3"/>
  <c r="DH350" i="3"/>
  <c r="DH351" i="3"/>
  <c r="DH352" i="3"/>
  <c r="DH353" i="3"/>
  <c r="DH354" i="3"/>
  <c r="DH355" i="3"/>
  <c r="DH356" i="3"/>
  <c r="DH357" i="3"/>
  <c r="DH358" i="3"/>
  <c r="DH359" i="3"/>
  <c r="DH360" i="3"/>
  <c r="DH361" i="3"/>
  <c r="DH362" i="3"/>
  <c r="DH363" i="3"/>
  <c r="DH364" i="3"/>
  <c r="DH365" i="3"/>
  <c r="DH366" i="3"/>
  <c r="DH367" i="3"/>
  <c r="DH368" i="3"/>
  <c r="DH369" i="3"/>
  <c r="DH370" i="3"/>
  <c r="DH371" i="3"/>
  <c r="DH372" i="3"/>
  <c r="DH373" i="3"/>
  <c r="DH374" i="3"/>
  <c r="DH375" i="3"/>
  <c r="DH376" i="3"/>
  <c r="DH377" i="3"/>
  <c r="DH378" i="3"/>
  <c r="DH379" i="3"/>
  <c r="DH380" i="3"/>
  <c r="DH381" i="3"/>
  <c r="DH382" i="3"/>
  <c r="DH383" i="3"/>
  <c r="DH384" i="3"/>
  <c r="DH385" i="3"/>
  <c r="DH386" i="3"/>
  <c r="DH387" i="3"/>
  <c r="DH388" i="3"/>
  <c r="DH389" i="3"/>
  <c r="DH390" i="3"/>
  <c r="DH391" i="3"/>
  <c r="DH392" i="3"/>
  <c r="DH393" i="3"/>
  <c r="DH394" i="3"/>
  <c r="DH395" i="3"/>
  <c r="DH396" i="3"/>
  <c r="DH397" i="3"/>
  <c r="DH398" i="3"/>
  <c r="DH399" i="3"/>
  <c r="DH400" i="3"/>
  <c r="DH401" i="3"/>
  <c r="DH402" i="3"/>
  <c r="DH403" i="3"/>
  <c r="DH404" i="3"/>
  <c r="DH405" i="3"/>
  <c r="DH406" i="3"/>
  <c r="DH407" i="3"/>
  <c r="DH408" i="3"/>
  <c r="DH409" i="3"/>
  <c r="DH410" i="3"/>
  <c r="DH411" i="3"/>
  <c r="DH412" i="3"/>
  <c r="DH413" i="3"/>
  <c r="DH414" i="3"/>
  <c r="DH415" i="3"/>
  <c r="DH416" i="3"/>
  <c r="DH417" i="3"/>
  <c r="DH418" i="3"/>
  <c r="DH419" i="3"/>
  <c r="DH420" i="3"/>
  <c r="DH421" i="3"/>
  <c r="DH422" i="3"/>
  <c r="DH423" i="3"/>
  <c r="DH424" i="3"/>
  <c r="DH425" i="3"/>
  <c r="DH426" i="3"/>
  <c r="DH427" i="3"/>
  <c r="DH428" i="3"/>
  <c r="DH429" i="3"/>
  <c r="DH430" i="3"/>
  <c r="DH431" i="3"/>
  <c r="DH432" i="3"/>
  <c r="DH433" i="3"/>
  <c r="DH434" i="3"/>
  <c r="DH435" i="3"/>
  <c r="DH436" i="3"/>
  <c r="DH437" i="3"/>
  <c r="DH438" i="3"/>
  <c r="DH439" i="3"/>
  <c r="DH440" i="3"/>
  <c r="DH441" i="3"/>
  <c r="DH442" i="3"/>
  <c r="DH443" i="3"/>
  <c r="DH444" i="3"/>
  <c r="DH445" i="3"/>
  <c r="DH446" i="3"/>
  <c r="DH447" i="3"/>
  <c r="DH448" i="3"/>
  <c r="DH449" i="3"/>
  <c r="DH450" i="3"/>
  <c r="DH451" i="3"/>
  <c r="DH452" i="3"/>
  <c r="DH453" i="3"/>
  <c r="DH454" i="3"/>
  <c r="DH455" i="3"/>
  <c r="DH456" i="3"/>
  <c r="DH457" i="3"/>
  <c r="DH458" i="3"/>
  <c r="DH459" i="3"/>
  <c r="DH460" i="3"/>
  <c r="DH461" i="3"/>
  <c r="DH462" i="3"/>
  <c r="DH463" i="3"/>
  <c r="DH464" i="3"/>
  <c r="DH465" i="3"/>
  <c r="DH466" i="3"/>
  <c r="DH467" i="3"/>
  <c r="DH468" i="3"/>
  <c r="DH469" i="3"/>
  <c r="DH470" i="3"/>
  <c r="DH471" i="3"/>
  <c r="DH472" i="3"/>
  <c r="DH473" i="3"/>
  <c r="DH474" i="3"/>
  <c r="DH475" i="3"/>
  <c r="DH476" i="3"/>
  <c r="DH477" i="3"/>
  <c r="DH478" i="3"/>
  <c r="DH479" i="3"/>
  <c r="DH480" i="3"/>
  <c r="DH481" i="3"/>
  <c r="DH482" i="3"/>
  <c r="DH483" i="3"/>
  <c r="DH484" i="3"/>
  <c r="DH485" i="3"/>
  <c r="DH486" i="3"/>
  <c r="DH487" i="3"/>
  <c r="DH488" i="3"/>
  <c r="DH489" i="3"/>
  <c r="DH490" i="3"/>
  <c r="DH491" i="3"/>
  <c r="DH492" i="3"/>
  <c r="DH493" i="3"/>
  <c r="DH494" i="3"/>
  <c r="DH495" i="3"/>
  <c r="DH496" i="3"/>
  <c r="DH497" i="3"/>
  <c r="DH498" i="3"/>
  <c r="DH499" i="3"/>
  <c r="DH500" i="3"/>
  <c r="DH501" i="3"/>
  <c r="DH502" i="3"/>
  <c r="DH503" i="3"/>
  <c r="DH504" i="3"/>
  <c r="DH505" i="3"/>
  <c r="DH506" i="3"/>
  <c r="DH507" i="3"/>
  <c r="DH508" i="3"/>
  <c r="DH509" i="3"/>
  <c r="DH510" i="3"/>
  <c r="DH511" i="3"/>
  <c r="DH512" i="3"/>
  <c r="DH513" i="3"/>
  <c r="DH514" i="3"/>
  <c r="DH515" i="3"/>
  <c r="DH516" i="3"/>
  <c r="DH517" i="3"/>
  <c r="DH518" i="3"/>
  <c r="DH519" i="3"/>
  <c r="DH520" i="3"/>
  <c r="DH521" i="3"/>
  <c r="DH522" i="3"/>
  <c r="DH523" i="3"/>
  <c r="DH24" i="3"/>
  <c r="DG25" i="3" l="1"/>
  <c r="DG26" i="3"/>
  <c r="DG27" i="3"/>
  <c r="DG28" i="3"/>
  <c r="DG29" i="3"/>
  <c r="DG30" i="3"/>
  <c r="DG31" i="3"/>
  <c r="DG32" i="3"/>
  <c r="DG33" i="3"/>
  <c r="DG34" i="3"/>
  <c r="DG35" i="3"/>
  <c r="DG36" i="3"/>
  <c r="DG37" i="3"/>
  <c r="DG38" i="3"/>
  <c r="DG39" i="3"/>
  <c r="DG40" i="3"/>
  <c r="DG41" i="3"/>
  <c r="DG42" i="3"/>
  <c r="DG43" i="3"/>
  <c r="DG44" i="3"/>
  <c r="DG45" i="3"/>
  <c r="DG46" i="3"/>
  <c r="DG47" i="3"/>
  <c r="DG48" i="3"/>
  <c r="DG49" i="3"/>
  <c r="DG50" i="3"/>
  <c r="DG51" i="3"/>
  <c r="DG52" i="3"/>
  <c r="DG53" i="3"/>
  <c r="DG54" i="3"/>
  <c r="DG55" i="3"/>
  <c r="DG56" i="3"/>
  <c r="DG57" i="3"/>
  <c r="DG58" i="3"/>
  <c r="DG59" i="3"/>
  <c r="DG60" i="3"/>
  <c r="DG61" i="3"/>
  <c r="DG62" i="3"/>
  <c r="DG63" i="3"/>
  <c r="DG64" i="3"/>
  <c r="DG65" i="3"/>
  <c r="DG66" i="3"/>
  <c r="DG67" i="3"/>
  <c r="DG68" i="3"/>
  <c r="DG69" i="3"/>
  <c r="DG70" i="3"/>
  <c r="DG71" i="3"/>
  <c r="DG72" i="3"/>
  <c r="DG73" i="3"/>
  <c r="DG74" i="3"/>
  <c r="DG75" i="3"/>
  <c r="DG76" i="3"/>
  <c r="DG77" i="3"/>
  <c r="DG78" i="3"/>
  <c r="DG79" i="3"/>
  <c r="DG80" i="3"/>
  <c r="DG81" i="3"/>
  <c r="DG82" i="3"/>
  <c r="DG83" i="3"/>
  <c r="DG84" i="3"/>
  <c r="DG85" i="3"/>
  <c r="DG86" i="3"/>
  <c r="DG87" i="3"/>
  <c r="DG88" i="3"/>
  <c r="DG89" i="3"/>
  <c r="DG90" i="3"/>
  <c r="DG91" i="3"/>
  <c r="DG92" i="3"/>
  <c r="DG93" i="3"/>
  <c r="DG94" i="3"/>
  <c r="DG95" i="3"/>
  <c r="DG96" i="3"/>
  <c r="DG97" i="3"/>
  <c r="DG98" i="3"/>
  <c r="DG99" i="3"/>
  <c r="DG100" i="3"/>
  <c r="DG101" i="3"/>
  <c r="DG102" i="3"/>
  <c r="DG103" i="3"/>
  <c r="DG104" i="3"/>
  <c r="DG105" i="3"/>
  <c r="DG106" i="3"/>
  <c r="DG107" i="3"/>
  <c r="DG108" i="3"/>
  <c r="DG109" i="3"/>
  <c r="DG110" i="3"/>
  <c r="DG111" i="3"/>
  <c r="DG112" i="3"/>
  <c r="DG113" i="3"/>
  <c r="DG114" i="3"/>
  <c r="DG115" i="3"/>
  <c r="DG116" i="3"/>
  <c r="DG117" i="3"/>
  <c r="DG118" i="3"/>
  <c r="DG119" i="3"/>
  <c r="DG120" i="3"/>
  <c r="DG121" i="3"/>
  <c r="DG122" i="3"/>
  <c r="DG123" i="3"/>
  <c r="DG124" i="3"/>
  <c r="DG125" i="3"/>
  <c r="DG126" i="3"/>
  <c r="DG127" i="3"/>
  <c r="DG128" i="3"/>
  <c r="DG129" i="3"/>
  <c r="DG130" i="3"/>
  <c r="DG131" i="3"/>
  <c r="DG132" i="3"/>
  <c r="DG133" i="3"/>
  <c r="DG134" i="3"/>
  <c r="DG135" i="3"/>
  <c r="DG136" i="3"/>
  <c r="DG137" i="3"/>
  <c r="DG138" i="3"/>
  <c r="DG139" i="3"/>
  <c r="DG140" i="3"/>
  <c r="DG141" i="3"/>
  <c r="DG142" i="3"/>
  <c r="DG143" i="3"/>
  <c r="DG144" i="3"/>
  <c r="DG145" i="3"/>
  <c r="DG146" i="3"/>
  <c r="DG147" i="3"/>
  <c r="DG148" i="3"/>
  <c r="DG149" i="3"/>
  <c r="DG150" i="3"/>
  <c r="DG151" i="3"/>
  <c r="DG152" i="3"/>
  <c r="DG153" i="3"/>
  <c r="DG154" i="3"/>
  <c r="DG155" i="3"/>
  <c r="DG156" i="3"/>
  <c r="DG157" i="3"/>
  <c r="DG158" i="3"/>
  <c r="DG159" i="3"/>
  <c r="DG160" i="3"/>
  <c r="DG161" i="3"/>
  <c r="DG162" i="3"/>
  <c r="DG163" i="3"/>
  <c r="DG164" i="3"/>
  <c r="DG165" i="3"/>
  <c r="DG166" i="3"/>
  <c r="DG167" i="3"/>
  <c r="DG168" i="3"/>
  <c r="DG169" i="3"/>
  <c r="DG170" i="3"/>
  <c r="DG171" i="3"/>
  <c r="DG172" i="3"/>
  <c r="DG173" i="3"/>
  <c r="DG174" i="3"/>
  <c r="DG175" i="3"/>
  <c r="DG176" i="3"/>
  <c r="DG177" i="3"/>
  <c r="DG178" i="3"/>
  <c r="DG179" i="3"/>
  <c r="DG180" i="3"/>
  <c r="DG181" i="3"/>
  <c r="DG182" i="3"/>
  <c r="DG183" i="3"/>
  <c r="DG184" i="3"/>
  <c r="DG185" i="3"/>
  <c r="DG186" i="3"/>
  <c r="DG187" i="3"/>
  <c r="DG188" i="3"/>
  <c r="DG189" i="3"/>
  <c r="DG190" i="3"/>
  <c r="DG191" i="3"/>
  <c r="DG192" i="3"/>
  <c r="DG193" i="3"/>
  <c r="DG194" i="3"/>
  <c r="DG195" i="3"/>
  <c r="DG196" i="3"/>
  <c r="DG197" i="3"/>
  <c r="DG198" i="3"/>
  <c r="DG199" i="3"/>
  <c r="DG200" i="3"/>
  <c r="DG201" i="3"/>
  <c r="DG202" i="3"/>
  <c r="DG203" i="3"/>
  <c r="DG204" i="3"/>
  <c r="DG205" i="3"/>
  <c r="DG206" i="3"/>
  <c r="DG207" i="3"/>
  <c r="DG208" i="3"/>
  <c r="DG209" i="3"/>
  <c r="DG210" i="3"/>
  <c r="DG211" i="3"/>
  <c r="DG212" i="3"/>
  <c r="DG213" i="3"/>
  <c r="DG214" i="3"/>
  <c r="DG215" i="3"/>
  <c r="DG216" i="3"/>
  <c r="DG217" i="3"/>
  <c r="DG218" i="3"/>
  <c r="DG219" i="3"/>
  <c r="DG220" i="3"/>
  <c r="DG221" i="3"/>
  <c r="DG222" i="3"/>
  <c r="DG223" i="3"/>
  <c r="DG224" i="3"/>
  <c r="DG225" i="3"/>
  <c r="DG226" i="3"/>
  <c r="DG227" i="3"/>
  <c r="DG228" i="3"/>
  <c r="DG229" i="3"/>
  <c r="DG230" i="3"/>
  <c r="DG231" i="3"/>
  <c r="DG232" i="3"/>
  <c r="DG233" i="3"/>
  <c r="DG234" i="3"/>
  <c r="DG235" i="3"/>
  <c r="DG236" i="3"/>
  <c r="DG237" i="3"/>
  <c r="DG238" i="3"/>
  <c r="DG239" i="3"/>
  <c r="DG240" i="3"/>
  <c r="DG241" i="3"/>
  <c r="DG242" i="3"/>
  <c r="DG243" i="3"/>
  <c r="DG244" i="3"/>
  <c r="DG245" i="3"/>
  <c r="DG246" i="3"/>
  <c r="DG247" i="3"/>
  <c r="DG248" i="3"/>
  <c r="DG249" i="3"/>
  <c r="DG250" i="3"/>
  <c r="DG251" i="3"/>
  <c r="DG252" i="3"/>
  <c r="DG253" i="3"/>
  <c r="DG254" i="3"/>
  <c r="DG255" i="3"/>
  <c r="DG256" i="3"/>
  <c r="DG257" i="3"/>
  <c r="DG258" i="3"/>
  <c r="DG259" i="3"/>
  <c r="DG260" i="3"/>
  <c r="DG261" i="3"/>
  <c r="DG262" i="3"/>
  <c r="DG263" i="3"/>
  <c r="DG264" i="3"/>
  <c r="DG265" i="3"/>
  <c r="DG266" i="3"/>
  <c r="DG267" i="3"/>
  <c r="DG268" i="3"/>
  <c r="DG269" i="3"/>
  <c r="DG270" i="3"/>
  <c r="DG271" i="3"/>
  <c r="DG272" i="3"/>
  <c r="DG273" i="3"/>
  <c r="DG274" i="3"/>
  <c r="DG275" i="3"/>
  <c r="DG276" i="3"/>
  <c r="DG277" i="3"/>
  <c r="DG278" i="3"/>
  <c r="DG279" i="3"/>
  <c r="DG280" i="3"/>
  <c r="DG281" i="3"/>
  <c r="DG282" i="3"/>
  <c r="DG283" i="3"/>
  <c r="DG284" i="3"/>
  <c r="DG285" i="3"/>
  <c r="DG286" i="3"/>
  <c r="DG287" i="3"/>
  <c r="DG288" i="3"/>
  <c r="DG289" i="3"/>
  <c r="DG290" i="3"/>
  <c r="DG291" i="3"/>
  <c r="DG292" i="3"/>
  <c r="DG293" i="3"/>
  <c r="DG294" i="3"/>
  <c r="DG295" i="3"/>
  <c r="DG296" i="3"/>
  <c r="DG297" i="3"/>
  <c r="DG298" i="3"/>
  <c r="DG299" i="3"/>
  <c r="DG300" i="3"/>
  <c r="DG301" i="3"/>
  <c r="DG302" i="3"/>
  <c r="DG303" i="3"/>
  <c r="DG304" i="3"/>
  <c r="DG305" i="3"/>
  <c r="DG306" i="3"/>
  <c r="DG307" i="3"/>
  <c r="DG308" i="3"/>
  <c r="DG309" i="3"/>
  <c r="DG310" i="3"/>
  <c r="DG311" i="3"/>
  <c r="DG312" i="3"/>
  <c r="DG313" i="3"/>
  <c r="DG314" i="3"/>
  <c r="DG315" i="3"/>
  <c r="DG316" i="3"/>
  <c r="DG317" i="3"/>
  <c r="DG318" i="3"/>
  <c r="DG319" i="3"/>
  <c r="DG320" i="3"/>
  <c r="DG321" i="3"/>
  <c r="DG322" i="3"/>
  <c r="DG323" i="3"/>
  <c r="DG324" i="3"/>
  <c r="DG325" i="3"/>
  <c r="DG326" i="3"/>
  <c r="DG327" i="3"/>
  <c r="DG328" i="3"/>
  <c r="DG329" i="3"/>
  <c r="DG330" i="3"/>
  <c r="DG331" i="3"/>
  <c r="DG332" i="3"/>
  <c r="DG333" i="3"/>
  <c r="DG334" i="3"/>
  <c r="DG335" i="3"/>
  <c r="DG336" i="3"/>
  <c r="DG337" i="3"/>
  <c r="DG338" i="3"/>
  <c r="DG339" i="3"/>
  <c r="DG340" i="3"/>
  <c r="DG341" i="3"/>
  <c r="DG342" i="3"/>
  <c r="DG343" i="3"/>
  <c r="DG344" i="3"/>
  <c r="DG345" i="3"/>
  <c r="DG346" i="3"/>
  <c r="DG347" i="3"/>
  <c r="DG348" i="3"/>
  <c r="DG349" i="3"/>
  <c r="DG350" i="3"/>
  <c r="DG351" i="3"/>
  <c r="DG352" i="3"/>
  <c r="DG353" i="3"/>
  <c r="DG354" i="3"/>
  <c r="DG355" i="3"/>
  <c r="DG356" i="3"/>
  <c r="DG357" i="3"/>
  <c r="DG358" i="3"/>
  <c r="DG359" i="3"/>
  <c r="DG360" i="3"/>
  <c r="DG361" i="3"/>
  <c r="DG362" i="3"/>
  <c r="DG363" i="3"/>
  <c r="DG364" i="3"/>
  <c r="DG365" i="3"/>
  <c r="DG366" i="3"/>
  <c r="DG367" i="3"/>
  <c r="DG368" i="3"/>
  <c r="DG369" i="3"/>
  <c r="DG370" i="3"/>
  <c r="DG371" i="3"/>
  <c r="DG372" i="3"/>
  <c r="DG373" i="3"/>
  <c r="DG374" i="3"/>
  <c r="DG375" i="3"/>
  <c r="DG376" i="3"/>
  <c r="DG377" i="3"/>
  <c r="DG378" i="3"/>
  <c r="DG379" i="3"/>
  <c r="DG380" i="3"/>
  <c r="DG381" i="3"/>
  <c r="DG382" i="3"/>
  <c r="DG383" i="3"/>
  <c r="DG384" i="3"/>
  <c r="DG385" i="3"/>
  <c r="DG386" i="3"/>
  <c r="DG387" i="3"/>
  <c r="DG388" i="3"/>
  <c r="DG389" i="3"/>
  <c r="DG390" i="3"/>
  <c r="DG391" i="3"/>
  <c r="DG392" i="3"/>
  <c r="DG393" i="3"/>
  <c r="DG394" i="3"/>
  <c r="DG395" i="3"/>
  <c r="DG396" i="3"/>
  <c r="DG397" i="3"/>
  <c r="DG398" i="3"/>
  <c r="DG399" i="3"/>
  <c r="DG400" i="3"/>
  <c r="DG401" i="3"/>
  <c r="DG402" i="3"/>
  <c r="DG403" i="3"/>
  <c r="DG404" i="3"/>
  <c r="DG405" i="3"/>
  <c r="DG406" i="3"/>
  <c r="DG407" i="3"/>
  <c r="DG408" i="3"/>
  <c r="DG409" i="3"/>
  <c r="DG410" i="3"/>
  <c r="DG411" i="3"/>
  <c r="DG412" i="3"/>
  <c r="DG413" i="3"/>
  <c r="DG414" i="3"/>
  <c r="DG415" i="3"/>
  <c r="DG416" i="3"/>
  <c r="DG417" i="3"/>
  <c r="DG418" i="3"/>
  <c r="DG419" i="3"/>
  <c r="DG420" i="3"/>
  <c r="DG421" i="3"/>
  <c r="DG422" i="3"/>
  <c r="DG423" i="3"/>
  <c r="DG424" i="3"/>
  <c r="DG425" i="3"/>
  <c r="DG426" i="3"/>
  <c r="DG427" i="3"/>
  <c r="DG428" i="3"/>
  <c r="DG429" i="3"/>
  <c r="DG430" i="3"/>
  <c r="DG431" i="3"/>
  <c r="DG432" i="3"/>
  <c r="DG433" i="3"/>
  <c r="DG434" i="3"/>
  <c r="DG435" i="3"/>
  <c r="DG436" i="3"/>
  <c r="DG437" i="3"/>
  <c r="DG438" i="3"/>
  <c r="DG439" i="3"/>
  <c r="DG440" i="3"/>
  <c r="DG441" i="3"/>
  <c r="DG442" i="3"/>
  <c r="DG443" i="3"/>
  <c r="DG444" i="3"/>
  <c r="DG445" i="3"/>
  <c r="DG446" i="3"/>
  <c r="DG447" i="3"/>
  <c r="DG448" i="3"/>
  <c r="DG449" i="3"/>
  <c r="DG450" i="3"/>
  <c r="DG451" i="3"/>
  <c r="DG452" i="3"/>
  <c r="DG453" i="3"/>
  <c r="DG454" i="3"/>
  <c r="DG455" i="3"/>
  <c r="DG456" i="3"/>
  <c r="DG457" i="3"/>
  <c r="DG458" i="3"/>
  <c r="DG459" i="3"/>
  <c r="DG460" i="3"/>
  <c r="DG461" i="3"/>
  <c r="DG462" i="3"/>
  <c r="DG463" i="3"/>
  <c r="DG464" i="3"/>
  <c r="DG465" i="3"/>
  <c r="DG466" i="3"/>
  <c r="DG467" i="3"/>
  <c r="DG468" i="3"/>
  <c r="DG469" i="3"/>
  <c r="DG470" i="3"/>
  <c r="DG471" i="3"/>
  <c r="DG472" i="3"/>
  <c r="DG473" i="3"/>
  <c r="DG474" i="3"/>
  <c r="DG475" i="3"/>
  <c r="DG476" i="3"/>
  <c r="DG477" i="3"/>
  <c r="DG478" i="3"/>
  <c r="DG479" i="3"/>
  <c r="DG480" i="3"/>
  <c r="DG481" i="3"/>
  <c r="DG482" i="3"/>
  <c r="DG483" i="3"/>
  <c r="DG484" i="3"/>
  <c r="DG485" i="3"/>
  <c r="DG486" i="3"/>
  <c r="DG487" i="3"/>
  <c r="DG488" i="3"/>
  <c r="DG489" i="3"/>
  <c r="DG490" i="3"/>
  <c r="DG491" i="3"/>
  <c r="DG492" i="3"/>
  <c r="DG493" i="3"/>
  <c r="DG494" i="3"/>
  <c r="DG495" i="3"/>
  <c r="DG496" i="3"/>
  <c r="DG497" i="3"/>
  <c r="DG498" i="3"/>
  <c r="DG499" i="3"/>
  <c r="DG500" i="3"/>
  <c r="DG501" i="3"/>
  <c r="DG502" i="3"/>
  <c r="DG503" i="3"/>
  <c r="DG504" i="3"/>
  <c r="DG505" i="3"/>
  <c r="DG506" i="3"/>
  <c r="DG507" i="3"/>
  <c r="DG508" i="3"/>
  <c r="DG509" i="3"/>
  <c r="DG510" i="3"/>
  <c r="DG511" i="3"/>
  <c r="DG512" i="3"/>
  <c r="DG513" i="3"/>
  <c r="DG514" i="3"/>
  <c r="DG515" i="3"/>
  <c r="DG516" i="3"/>
  <c r="DG517" i="3"/>
  <c r="DG518" i="3"/>
  <c r="DG519" i="3"/>
  <c r="DG520" i="3"/>
  <c r="DG521" i="3"/>
  <c r="DG522" i="3"/>
  <c r="DG523" i="3"/>
  <c r="DG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24" i="3"/>
  <c r="Z25" i="3"/>
  <c r="Z26" i="3"/>
  <c r="Z27" i="3"/>
  <c r="Z28" i="3"/>
  <c r="Z29" i="3"/>
  <c r="Z30" i="3"/>
  <c r="AB30" i="3" s="1"/>
  <c r="Z31" i="3"/>
  <c r="AB31" i="3" s="1"/>
  <c r="Z32" i="3"/>
  <c r="AB32" i="3" s="1"/>
  <c r="Z33" i="3"/>
  <c r="AB33" i="3" s="1"/>
  <c r="Z34" i="3"/>
  <c r="AB34" i="3" s="1"/>
  <c r="Z35" i="3"/>
  <c r="Z36" i="3"/>
  <c r="Z37" i="3"/>
  <c r="AB37" i="3" s="1"/>
  <c r="Z38" i="3"/>
  <c r="AB38" i="3" s="1"/>
  <c r="Z39" i="3"/>
  <c r="AB39" i="3" s="1"/>
  <c r="Z40" i="3"/>
  <c r="AB40" i="3" s="1"/>
  <c r="Z41" i="3"/>
  <c r="AB41" i="3" s="1"/>
  <c r="Z42" i="3"/>
  <c r="AB42" i="3" s="1"/>
  <c r="Z43" i="3"/>
  <c r="Z44" i="3"/>
  <c r="Z45" i="3"/>
  <c r="Z46" i="3"/>
  <c r="AB46" i="3" s="1"/>
  <c r="Z47" i="3"/>
  <c r="AB47" i="3" s="1"/>
  <c r="Z48" i="3"/>
  <c r="AB48" i="3" s="1"/>
  <c r="Z49" i="3"/>
  <c r="AB49" i="3" s="1"/>
  <c r="Z50" i="3"/>
  <c r="AB50" i="3" s="1"/>
  <c r="Z51" i="3"/>
  <c r="AB51" i="3" s="1"/>
  <c r="Z52" i="3"/>
  <c r="AB52" i="3" s="1"/>
  <c r="Z53" i="3"/>
  <c r="AB53" i="3" s="1"/>
  <c r="Z54" i="3"/>
  <c r="AB54" i="3" s="1"/>
  <c r="Z55" i="3"/>
  <c r="AB55" i="3" s="1"/>
  <c r="Z56" i="3"/>
  <c r="AB56" i="3" s="1"/>
  <c r="Z57" i="3"/>
  <c r="AB57" i="3" s="1"/>
  <c r="Z58" i="3"/>
  <c r="AB58" i="3" s="1"/>
  <c r="Z59" i="3"/>
  <c r="AB59" i="3" s="1"/>
  <c r="Z60" i="3"/>
  <c r="AB60" i="3" s="1"/>
  <c r="Z61" i="3"/>
  <c r="AB61" i="3" s="1"/>
  <c r="Z62" i="3"/>
  <c r="AB62" i="3" s="1"/>
  <c r="Z63" i="3"/>
  <c r="AB63" i="3" s="1"/>
  <c r="Z64" i="3"/>
  <c r="AB64" i="3" s="1"/>
  <c r="Z65" i="3"/>
  <c r="AB65" i="3" s="1"/>
  <c r="Z66" i="3"/>
  <c r="AB66" i="3" s="1"/>
  <c r="Z67" i="3"/>
  <c r="AB67" i="3" s="1"/>
  <c r="Z68" i="3"/>
  <c r="AB68" i="3" s="1"/>
  <c r="Z69" i="3"/>
  <c r="AB69" i="3" s="1"/>
  <c r="Z70" i="3"/>
  <c r="AB70" i="3" s="1"/>
  <c r="Z71" i="3"/>
  <c r="AB71" i="3" s="1"/>
  <c r="Z72" i="3"/>
  <c r="AB72" i="3" s="1"/>
  <c r="Z73" i="3"/>
  <c r="AB73" i="3" s="1"/>
  <c r="Z74" i="3"/>
  <c r="AB74" i="3" s="1"/>
  <c r="Z75" i="3"/>
  <c r="AB75" i="3" s="1"/>
  <c r="Z76" i="3"/>
  <c r="AB76" i="3" s="1"/>
  <c r="Z77" i="3"/>
  <c r="AB77" i="3" s="1"/>
  <c r="Z78" i="3"/>
  <c r="AB78" i="3" s="1"/>
  <c r="Z79" i="3"/>
  <c r="AB79" i="3" s="1"/>
  <c r="Z80" i="3"/>
  <c r="AB80" i="3" s="1"/>
  <c r="Z81" i="3"/>
  <c r="AB81" i="3" s="1"/>
  <c r="Z82" i="3"/>
  <c r="AB82" i="3" s="1"/>
  <c r="Z83" i="3"/>
  <c r="AB83" i="3" s="1"/>
  <c r="Z84" i="3"/>
  <c r="AB84" i="3" s="1"/>
  <c r="Z85" i="3"/>
  <c r="AB85" i="3" s="1"/>
  <c r="Z86" i="3"/>
  <c r="AB86" i="3" s="1"/>
  <c r="Z87" i="3"/>
  <c r="AB87" i="3" s="1"/>
  <c r="Z88" i="3"/>
  <c r="AB88" i="3" s="1"/>
  <c r="Z89" i="3"/>
  <c r="AB89" i="3" s="1"/>
  <c r="Z90" i="3"/>
  <c r="AB90" i="3" s="1"/>
  <c r="Z91" i="3"/>
  <c r="AB91" i="3" s="1"/>
  <c r="Z92" i="3"/>
  <c r="Z93" i="3"/>
  <c r="AB93" i="3" s="1"/>
  <c r="Z94" i="3"/>
  <c r="AB94" i="3" s="1"/>
  <c r="Z95" i="3"/>
  <c r="AB95" i="3" s="1"/>
  <c r="Z96" i="3"/>
  <c r="AB96" i="3" s="1"/>
  <c r="Z97" i="3"/>
  <c r="AB97" i="3" s="1"/>
  <c r="Z98" i="3"/>
  <c r="AB98" i="3" s="1"/>
  <c r="Z99" i="3"/>
  <c r="AB99" i="3" s="1"/>
  <c r="Z100" i="3"/>
  <c r="Z101" i="3"/>
  <c r="AB101" i="3" s="1"/>
  <c r="Z102" i="3"/>
  <c r="AB102" i="3" s="1"/>
  <c r="Z103" i="3"/>
  <c r="AB103" i="3" s="1"/>
  <c r="Z104" i="3"/>
  <c r="AB104" i="3" s="1"/>
  <c r="Z105" i="3"/>
  <c r="AB105" i="3" s="1"/>
  <c r="Z106" i="3"/>
  <c r="AB106" i="3" s="1"/>
  <c r="Z107" i="3"/>
  <c r="AB107" i="3" s="1"/>
  <c r="Z108" i="3"/>
  <c r="AB108" i="3" s="1"/>
  <c r="Z109" i="3"/>
  <c r="AB109" i="3" s="1"/>
  <c r="Z110" i="3"/>
  <c r="AB110" i="3" s="1"/>
  <c r="Z111" i="3"/>
  <c r="AB111" i="3" s="1"/>
  <c r="Z112" i="3"/>
  <c r="AB112" i="3" s="1"/>
  <c r="Z113" i="3"/>
  <c r="AB113" i="3" s="1"/>
  <c r="Z114" i="3"/>
  <c r="AB114" i="3" s="1"/>
  <c r="Z115" i="3"/>
  <c r="AB115" i="3" s="1"/>
  <c r="Z116" i="3"/>
  <c r="AB116" i="3" s="1"/>
  <c r="Z117" i="3"/>
  <c r="AB117" i="3" s="1"/>
  <c r="Z118" i="3"/>
  <c r="AB118" i="3" s="1"/>
  <c r="Z119" i="3"/>
  <c r="AB119" i="3" s="1"/>
  <c r="Z120" i="3"/>
  <c r="AB120" i="3" s="1"/>
  <c r="Z121" i="3"/>
  <c r="AB121" i="3" s="1"/>
  <c r="Z122" i="3"/>
  <c r="AB122" i="3" s="1"/>
  <c r="Z123" i="3"/>
  <c r="AB123" i="3" s="1"/>
  <c r="Z124" i="3"/>
  <c r="AB124" i="3" s="1"/>
  <c r="Z125" i="3"/>
  <c r="AB125" i="3" s="1"/>
  <c r="Z126" i="3"/>
  <c r="AB126" i="3" s="1"/>
  <c r="Z127" i="3"/>
  <c r="AB127" i="3" s="1"/>
  <c r="Z128" i="3"/>
  <c r="AB128" i="3" s="1"/>
  <c r="Z129" i="3"/>
  <c r="AB129" i="3" s="1"/>
  <c r="Z130" i="3"/>
  <c r="AB130" i="3" s="1"/>
  <c r="Z131" i="3"/>
  <c r="AB131" i="3" s="1"/>
  <c r="Z132" i="3"/>
  <c r="AB132" i="3" s="1"/>
  <c r="Z133" i="3"/>
  <c r="AB133" i="3" s="1"/>
  <c r="Z134" i="3"/>
  <c r="AB134" i="3" s="1"/>
  <c r="Z135" i="3"/>
  <c r="AB135" i="3" s="1"/>
  <c r="Z136" i="3"/>
  <c r="AB136" i="3" s="1"/>
  <c r="Z137" i="3"/>
  <c r="AB137" i="3" s="1"/>
  <c r="Z138" i="3"/>
  <c r="AB138" i="3" s="1"/>
  <c r="Z139" i="3"/>
  <c r="AB139" i="3" s="1"/>
  <c r="Z140" i="3"/>
  <c r="AB140" i="3" s="1"/>
  <c r="Z141" i="3"/>
  <c r="AB141" i="3" s="1"/>
  <c r="Z142" i="3"/>
  <c r="AB142" i="3" s="1"/>
  <c r="Z143" i="3"/>
  <c r="AB143" i="3" s="1"/>
  <c r="Z144" i="3"/>
  <c r="AB144" i="3" s="1"/>
  <c r="Z145" i="3"/>
  <c r="AB145" i="3" s="1"/>
  <c r="Z146" i="3"/>
  <c r="AB146" i="3" s="1"/>
  <c r="Z147" i="3"/>
  <c r="AB147" i="3" s="1"/>
  <c r="Z148" i="3"/>
  <c r="AB148" i="3" s="1"/>
  <c r="Z149" i="3"/>
  <c r="AB149" i="3" s="1"/>
  <c r="Z150" i="3"/>
  <c r="AB150" i="3" s="1"/>
  <c r="Z151" i="3"/>
  <c r="AB151" i="3" s="1"/>
  <c r="Z152" i="3"/>
  <c r="AB152" i="3" s="1"/>
  <c r="Z153" i="3"/>
  <c r="AB153" i="3" s="1"/>
  <c r="Z154" i="3"/>
  <c r="AB154" i="3" s="1"/>
  <c r="Z155" i="3"/>
  <c r="AB155" i="3" s="1"/>
  <c r="Z156" i="3"/>
  <c r="Z157" i="3"/>
  <c r="AB157" i="3" s="1"/>
  <c r="Z158" i="3"/>
  <c r="AB158" i="3" s="1"/>
  <c r="Z159" i="3"/>
  <c r="AB159" i="3" s="1"/>
  <c r="Z160" i="3"/>
  <c r="AB160" i="3" s="1"/>
  <c r="Z161" i="3"/>
  <c r="AB161" i="3" s="1"/>
  <c r="Z162" i="3"/>
  <c r="AB162" i="3" s="1"/>
  <c r="Z163" i="3"/>
  <c r="AB163" i="3" s="1"/>
  <c r="Z164" i="3"/>
  <c r="Z165" i="3"/>
  <c r="AB165" i="3" s="1"/>
  <c r="Z166" i="3"/>
  <c r="AB166" i="3" s="1"/>
  <c r="Z167" i="3"/>
  <c r="AB167" i="3" s="1"/>
  <c r="Z168" i="3"/>
  <c r="AB168" i="3" s="1"/>
  <c r="Z169" i="3"/>
  <c r="AB169" i="3" s="1"/>
  <c r="Z170" i="3"/>
  <c r="AB170" i="3" s="1"/>
  <c r="Z171" i="3"/>
  <c r="AB171" i="3" s="1"/>
  <c r="Z172" i="3"/>
  <c r="AB172" i="3" s="1"/>
  <c r="Z173" i="3"/>
  <c r="AB173" i="3" s="1"/>
  <c r="Z174" i="3"/>
  <c r="AB174" i="3" s="1"/>
  <c r="Z175" i="3"/>
  <c r="AB175" i="3" s="1"/>
  <c r="Z176" i="3"/>
  <c r="AB176" i="3" s="1"/>
  <c r="Z177" i="3"/>
  <c r="AB177" i="3" s="1"/>
  <c r="Z178" i="3"/>
  <c r="AB178" i="3" s="1"/>
  <c r="Z179" i="3"/>
  <c r="AB179" i="3" s="1"/>
  <c r="Z180" i="3"/>
  <c r="AB180" i="3" s="1"/>
  <c r="Z181" i="3"/>
  <c r="AB181" i="3" s="1"/>
  <c r="Z182" i="3"/>
  <c r="AB182" i="3" s="1"/>
  <c r="Z183" i="3"/>
  <c r="AB183" i="3" s="1"/>
  <c r="Z184" i="3"/>
  <c r="AB184" i="3" s="1"/>
  <c r="Z185" i="3"/>
  <c r="AB185" i="3" s="1"/>
  <c r="Z186" i="3"/>
  <c r="AB186" i="3" s="1"/>
  <c r="Z187" i="3"/>
  <c r="AB187" i="3" s="1"/>
  <c r="Z188" i="3"/>
  <c r="AB188" i="3" s="1"/>
  <c r="Z189" i="3"/>
  <c r="AB189" i="3" s="1"/>
  <c r="Z190" i="3"/>
  <c r="AB190" i="3" s="1"/>
  <c r="Z191" i="3"/>
  <c r="AB191" i="3" s="1"/>
  <c r="Z192" i="3"/>
  <c r="AB192" i="3" s="1"/>
  <c r="Z193" i="3"/>
  <c r="AB193" i="3" s="1"/>
  <c r="Z194" i="3"/>
  <c r="AB194" i="3" s="1"/>
  <c r="Z195" i="3"/>
  <c r="AB195" i="3" s="1"/>
  <c r="Z196" i="3"/>
  <c r="AB196" i="3" s="1"/>
  <c r="Z197" i="3"/>
  <c r="AB197" i="3" s="1"/>
  <c r="Z198" i="3"/>
  <c r="AB198" i="3" s="1"/>
  <c r="Z199" i="3"/>
  <c r="AB199" i="3" s="1"/>
  <c r="Z200" i="3"/>
  <c r="AB200" i="3" s="1"/>
  <c r="Z201" i="3"/>
  <c r="AB201" i="3" s="1"/>
  <c r="Z202" i="3"/>
  <c r="AB202" i="3" s="1"/>
  <c r="Z203" i="3"/>
  <c r="AB203" i="3" s="1"/>
  <c r="Z204" i="3"/>
  <c r="AB204" i="3" s="1"/>
  <c r="Z205" i="3"/>
  <c r="AB205" i="3" s="1"/>
  <c r="Z206" i="3"/>
  <c r="Z207" i="3"/>
  <c r="Z208" i="3"/>
  <c r="AB208" i="3" s="1"/>
  <c r="Z209" i="3"/>
  <c r="AB209" i="3" s="1"/>
  <c r="Z210" i="3"/>
  <c r="AB210" i="3" s="1"/>
  <c r="Z211" i="3"/>
  <c r="AB211" i="3" s="1"/>
  <c r="Z212" i="3"/>
  <c r="AB212" i="3" s="1"/>
  <c r="Z213" i="3"/>
  <c r="AB213" i="3" s="1"/>
  <c r="Z214" i="3"/>
  <c r="Z215" i="3"/>
  <c r="Z216" i="3"/>
  <c r="Z217" i="3"/>
  <c r="AB217" i="3" s="1"/>
  <c r="Z218" i="3"/>
  <c r="AB218" i="3" s="1"/>
  <c r="Z219" i="3"/>
  <c r="AB219" i="3" s="1"/>
  <c r="Z220" i="3"/>
  <c r="AB220" i="3" s="1"/>
  <c r="Z221" i="3"/>
  <c r="AB221" i="3" s="1"/>
  <c r="Z222" i="3"/>
  <c r="Z223" i="3"/>
  <c r="Z224" i="3"/>
  <c r="AB224" i="3" s="1"/>
  <c r="Z225" i="3"/>
  <c r="AB225" i="3" s="1"/>
  <c r="Z226" i="3"/>
  <c r="AB226" i="3" s="1"/>
  <c r="Z227" i="3"/>
  <c r="AB227" i="3" s="1"/>
  <c r="Z228" i="3"/>
  <c r="AB228" i="3" s="1"/>
  <c r="Z229" i="3"/>
  <c r="AB229" i="3" s="1"/>
  <c r="Z230" i="3"/>
  <c r="Z231" i="3"/>
  <c r="Z232" i="3"/>
  <c r="AB232" i="3" s="1"/>
  <c r="Z233" i="3"/>
  <c r="AB233" i="3" s="1"/>
  <c r="Z234" i="3"/>
  <c r="AB234" i="3" s="1"/>
  <c r="Z235" i="3"/>
  <c r="AB235" i="3" s="1"/>
  <c r="Z236" i="3"/>
  <c r="AB236" i="3" s="1"/>
  <c r="Z237" i="3"/>
  <c r="AB237" i="3" s="1"/>
  <c r="Z238" i="3"/>
  <c r="Z239" i="3"/>
  <c r="Z240" i="3"/>
  <c r="AB240" i="3" s="1"/>
  <c r="Z241" i="3"/>
  <c r="AB241" i="3" s="1"/>
  <c r="Z242" i="3"/>
  <c r="AB242" i="3" s="1"/>
  <c r="Z243" i="3"/>
  <c r="AB243" i="3" s="1"/>
  <c r="Z244" i="3"/>
  <c r="AB244" i="3" s="1"/>
  <c r="Z245" i="3"/>
  <c r="AB245" i="3" s="1"/>
  <c r="Z246" i="3"/>
  <c r="Z247" i="3"/>
  <c r="Z248" i="3"/>
  <c r="AB248" i="3" s="1"/>
  <c r="Z249" i="3"/>
  <c r="AB249" i="3" s="1"/>
  <c r="Z250" i="3"/>
  <c r="AB250" i="3" s="1"/>
  <c r="Z251" i="3"/>
  <c r="AB251" i="3" s="1"/>
  <c r="Z252" i="3"/>
  <c r="AB252" i="3" s="1"/>
  <c r="Z253" i="3"/>
  <c r="AB253" i="3" s="1"/>
  <c r="Z254" i="3"/>
  <c r="Z255" i="3"/>
  <c r="Z256" i="3"/>
  <c r="AB256" i="3" s="1"/>
  <c r="Z257" i="3"/>
  <c r="AB257" i="3" s="1"/>
  <c r="Z258" i="3"/>
  <c r="AB258" i="3" s="1"/>
  <c r="Z259" i="3"/>
  <c r="AB259" i="3" s="1"/>
  <c r="Z260" i="3"/>
  <c r="AB260" i="3" s="1"/>
  <c r="Z261" i="3"/>
  <c r="AB261" i="3" s="1"/>
  <c r="Z262" i="3"/>
  <c r="Z263" i="3"/>
  <c r="Z264" i="3"/>
  <c r="AB264" i="3" s="1"/>
  <c r="Z265" i="3"/>
  <c r="AB265" i="3" s="1"/>
  <c r="Z266" i="3"/>
  <c r="AB266" i="3" s="1"/>
  <c r="Z267" i="3"/>
  <c r="AB267" i="3" s="1"/>
  <c r="Z268" i="3"/>
  <c r="AB268" i="3" s="1"/>
  <c r="Z269" i="3"/>
  <c r="AB269" i="3" s="1"/>
  <c r="Z270" i="3"/>
  <c r="Z271" i="3"/>
  <c r="Z272" i="3"/>
  <c r="Z273" i="3"/>
  <c r="AB273" i="3" s="1"/>
  <c r="Z274" i="3"/>
  <c r="AB274" i="3" s="1"/>
  <c r="Z275" i="3"/>
  <c r="AB275" i="3" s="1"/>
  <c r="Z276" i="3"/>
  <c r="AB276" i="3" s="1"/>
  <c r="Z277" i="3"/>
  <c r="AB277" i="3" s="1"/>
  <c r="Z278" i="3"/>
  <c r="Z279" i="3"/>
  <c r="Z280" i="3"/>
  <c r="Z281" i="3"/>
  <c r="AB281" i="3" s="1"/>
  <c r="Z282" i="3"/>
  <c r="AB282" i="3" s="1"/>
  <c r="Z283" i="3"/>
  <c r="AB283" i="3" s="1"/>
  <c r="Z284" i="3"/>
  <c r="AB284" i="3" s="1"/>
  <c r="Z285" i="3"/>
  <c r="AB285" i="3" s="1"/>
  <c r="Z286" i="3"/>
  <c r="Z287" i="3"/>
  <c r="Z288" i="3"/>
  <c r="AB288" i="3" s="1"/>
  <c r="Z289" i="3"/>
  <c r="AB289" i="3" s="1"/>
  <c r="Z290" i="3"/>
  <c r="AB290" i="3" s="1"/>
  <c r="Z291" i="3"/>
  <c r="AB291" i="3" s="1"/>
  <c r="Z292" i="3"/>
  <c r="AB292" i="3" s="1"/>
  <c r="Z293" i="3"/>
  <c r="AB293" i="3" s="1"/>
  <c r="Z294" i="3"/>
  <c r="Z295" i="3"/>
  <c r="Z296" i="3"/>
  <c r="AB296" i="3" s="1"/>
  <c r="Z297" i="3"/>
  <c r="AB297" i="3" s="1"/>
  <c r="Z298" i="3"/>
  <c r="AB298" i="3" s="1"/>
  <c r="Z299" i="3"/>
  <c r="AB299" i="3" s="1"/>
  <c r="Z300" i="3"/>
  <c r="AB300" i="3" s="1"/>
  <c r="Z301" i="3"/>
  <c r="AB301" i="3" s="1"/>
  <c r="Z302" i="3"/>
  <c r="AB302" i="3" s="1"/>
  <c r="Z303" i="3"/>
  <c r="AB303" i="3" s="1"/>
  <c r="Z304" i="3"/>
  <c r="AB304" i="3" s="1"/>
  <c r="Z305" i="3"/>
  <c r="AB305" i="3" s="1"/>
  <c r="Z306" i="3"/>
  <c r="AB306" i="3" s="1"/>
  <c r="Z307" i="3"/>
  <c r="AB307" i="3" s="1"/>
  <c r="Z308" i="3"/>
  <c r="AB308" i="3" s="1"/>
  <c r="Z309" i="3"/>
  <c r="AB309" i="3" s="1"/>
  <c r="Z310" i="3"/>
  <c r="AB310" i="3" s="1"/>
  <c r="Z311" i="3"/>
  <c r="Z312" i="3"/>
  <c r="AB312" i="3" s="1"/>
  <c r="Z313" i="3"/>
  <c r="AB313" i="3" s="1"/>
  <c r="Z314" i="3"/>
  <c r="AB314" i="3" s="1"/>
  <c r="Z315" i="3"/>
  <c r="AB315" i="3" s="1"/>
  <c r="Z316" i="3"/>
  <c r="AB316" i="3" s="1"/>
  <c r="Z317" i="3"/>
  <c r="AB317" i="3" s="1"/>
  <c r="Z318" i="3"/>
  <c r="AB318" i="3" s="1"/>
  <c r="Z319" i="3"/>
  <c r="AB319" i="3" s="1"/>
  <c r="Z320" i="3"/>
  <c r="AB320" i="3" s="1"/>
  <c r="Z321" i="3"/>
  <c r="AB321" i="3" s="1"/>
  <c r="Z322" i="3"/>
  <c r="AB322" i="3" s="1"/>
  <c r="Z323" i="3"/>
  <c r="AB323" i="3" s="1"/>
  <c r="Z324" i="3"/>
  <c r="AB324" i="3" s="1"/>
  <c r="Z325" i="3"/>
  <c r="AB325" i="3" s="1"/>
  <c r="Z326" i="3"/>
  <c r="AB326" i="3" s="1"/>
  <c r="Z327" i="3"/>
  <c r="AB327" i="3" s="1"/>
  <c r="Z328" i="3"/>
  <c r="AB328" i="3" s="1"/>
  <c r="Z329" i="3"/>
  <c r="AB329" i="3" s="1"/>
  <c r="Z330" i="3"/>
  <c r="AB330" i="3" s="1"/>
  <c r="Z331" i="3"/>
  <c r="AB331" i="3" s="1"/>
  <c r="Z332" i="3"/>
  <c r="AB332" i="3" s="1"/>
  <c r="Z333" i="3"/>
  <c r="AB333" i="3" s="1"/>
  <c r="Z334" i="3"/>
  <c r="AB334" i="3" s="1"/>
  <c r="Z335" i="3"/>
  <c r="AB335" i="3" s="1"/>
  <c r="Z336" i="3"/>
  <c r="AB336" i="3" s="1"/>
  <c r="Z337" i="3"/>
  <c r="AB337" i="3" s="1"/>
  <c r="Z338" i="3"/>
  <c r="AB338" i="3" s="1"/>
  <c r="Z339" i="3"/>
  <c r="AB339" i="3" s="1"/>
  <c r="Z340" i="3"/>
  <c r="AB340" i="3" s="1"/>
  <c r="Z341" i="3"/>
  <c r="AB341" i="3" s="1"/>
  <c r="Z342" i="3"/>
  <c r="AB342" i="3" s="1"/>
  <c r="Z343" i="3"/>
  <c r="Z344" i="3"/>
  <c r="AB344" i="3" s="1"/>
  <c r="Z345" i="3"/>
  <c r="AB345" i="3" s="1"/>
  <c r="Z346" i="3"/>
  <c r="AB346" i="3" s="1"/>
  <c r="Z347" i="3"/>
  <c r="AB347" i="3" s="1"/>
  <c r="Z348" i="3"/>
  <c r="AB348" i="3" s="1"/>
  <c r="Z349" i="3"/>
  <c r="AB349" i="3" s="1"/>
  <c r="Z350" i="3"/>
  <c r="AB350" i="3" s="1"/>
  <c r="Z351" i="3"/>
  <c r="AB351" i="3" s="1"/>
  <c r="Z352" i="3"/>
  <c r="AB352" i="3" s="1"/>
  <c r="Z353" i="3"/>
  <c r="AB353" i="3" s="1"/>
  <c r="Z354" i="3"/>
  <c r="AB354" i="3" s="1"/>
  <c r="Z355" i="3"/>
  <c r="AB355" i="3" s="1"/>
  <c r="Z356" i="3"/>
  <c r="AB356" i="3" s="1"/>
  <c r="Z357" i="3"/>
  <c r="AB357" i="3" s="1"/>
  <c r="Z358" i="3"/>
  <c r="AB358" i="3" s="1"/>
  <c r="Z359" i="3"/>
  <c r="AB359" i="3" s="1"/>
  <c r="Z360" i="3"/>
  <c r="AB360" i="3" s="1"/>
  <c r="Z361" i="3"/>
  <c r="AB361" i="3" s="1"/>
  <c r="Z362" i="3"/>
  <c r="AB362" i="3" s="1"/>
  <c r="Z363" i="3"/>
  <c r="AB363" i="3" s="1"/>
  <c r="Z364" i="3"/>
  <c r="AB364" i="3" s="1"/>
  <c r="Z365" i="3"/>
  <c r="AB365" i="3" s="1"/>
  <c r="Z366" i="3"/>
  <c r="AB366" i="3" s="1"/>
  <c r="Z367" i="3"/>
  <c r="AB367" i="3" s="1"/>
  <c r="Z368" i="3"/>
  <c r="AB368" i="3" s="1"/>
  <c r="Z369" i="3"/>
  <c r="AB369" i="3" s="1"/>
  <c r="Z370" i="3"/>
  <c r="AB370" i="3" s="1"/>
  <c r="Z371" i="3"/>
  <c r="AB371" i="3" s="1"/>
  <c r="Z372" i="3"/>
  <c r="AB372" i="3" s="1"/>
  <c r="Z373" i="3"/>
  <c r="AB373" i="3" s="1"/>
  <c r="Z374" i="3"/>
  <c r="AB374" i="3" s="1"/>
  <c r="Z375" i="3"/>
  <c r="Z376" i="3"/>
  <c r="AB376" i="3" s="1"/>
  <c r="Z377" i="3"/>
  <c r="AB377" i="3" s="1"/>
  <c r="Z378" i="3"/>
  <c r="AB378" i="3" s="1"/>
  <c r="Z379" i="3"/>
  <c r="AB379" i="3" s="1"/>
  <c r="Z380" i="3"/>
  <c r="AB380" i="3" s="1"/>
  <c r="Z381" i="3"/>
  <c r="AB381" i="3" s="1"/>
  <c r="Z382" i="3"/>
  <c r="AB382" i="3" s="1"/>
  <c r="Z383" i="3"/>
  <c r="AB383" i="3" s="1"/>
  <c r="Z384" i="3"/>
  <c r="AB384" i="3" s="1"/>
  <c r="Z385" i="3"/>
  <c r="AB385" i="3" s="1"/>
  <c r="Z386" i="3"/>
  <c r="AB386" i="3" s="1"/>
  <c r="Z387" i="3"/>
  <c r="AB387" i="3" s="1"/>
  <c r="Z388" i="3"/>
  <c r="AB388" i="3" s="1"/>
  <c r="Z389" i="3"/>
  <c r="AB389" i="3" s="1"/>
  <c r="Z390" i="3"/>
  <c r="AB390" i="3" s="1"/>
  <c r="Z391" i="3"/>
  <c r="AB391" i="3" s="1"/>
  <c r="Z392" i="3"/>
  <c r="AB392" i="3" s="1"/>
  <c r="Z393" i="3"/>
  <c r="AB393" i="3" s="1"/>
  <c r="Z394" i="3"/>
  <c r="AB394" i="3" s="1"/>
  <c r="Z395" i="3"/>
  <c r="AB395" i="3" s="1"/>
  <c r="Z396" i="3"/>
  <c r="AB396" i="3" s="1"/>
  <c r="Z397" i="3"/>
  <c r="AB397" i="3" s="1"/>
  <c r="Z398" i="3"/>
  <c r="AB398" i="3" s="1"/>
  <c r="Z399" i="3"/>
  <c r="AB399" i="3" s="1"/>
  <c r="Z400" i="3"/>
  <c r="AB400" i="3" s="1"/>
  <c r="Z401" i="3"/>
  <c r="AB401" i="3" s="1"/>
  <c r="Z402" i="3"/>
  <c r="AB402" i="3" s="1"/>
  <c r="Z403" i="3"/>
  <c r="AB403" i="3" s="1"/>
  <c r="Z404" i="3"/>
  <c r="AB404" i="3" s="1"/>
  <c r="Z405" i="3"/>
  <c r="AB405" i="3" s="1"/>
  <c r="Z406" i="3"/>
  <c r="AB406" i="3" s="1"/>
  <c r="Z407" i="3"/>
  <c r="Z408" i="3"/>
  <c r="AB408" i="3" s="1"/>
  <c r="Z409" i="3"/>
  <c r="AB409" i="3" s="1"/>
  <c r="Z410" i="3"/>
  <c r="AB410" i="3" s="1"/>
  <c r="Z411" i="3"/>
  <c r="AB411" i="3" s="1"/>
  <c r="Z412" i="3"/>
  <c r="AB412" i="3" s="1"/>
  <c r="Z413" i="3"/>
  <c r="AB413" i="3" s="1"/>
  <c r="Z414" i="3"/>
  <c r="AB414" i="3" s="1"/>
  <c r="Z415" i="3"/>
  <c r="AB415" i="3" s="1"/>
  <c r="Z416" i="3"/>
  <c r="AB416" i="3" s="1"/>
  <c r="Z417" i="3"/>
  <c r="AB417" i="3" s="1"/>
  <c r="Z418" i="3"/>
  <c r="AB418" i="3" s="1"/>
  <c r="Z419" i="3"/>
  <c r="AB419" i="3" s="1"/>
  <c r="Z420" i="3"/>
  <c r="AB420" i="3" s="1"/>
  <c r="Z421" i="3"/>
  <c r="AB421" i="3" s="1"/>
  <c r="Z422" i="3"/>
  <c r="AB422" i="3" s="1"/>
  <c r="Z423" i="3"/>
  <c r="AB423" i="3" s="1"/>
  <c r="Z424" i="3"/>
  <c r="AB424" i="3" s="1"/>
  <c r="Z425" i="3"/>
  <c r="AB425" i="3" s="1"/>
  <c r="Z426" i="3"/>
  <c r="AB426" i="3" s="1"/>
  <c r="Z427" i="3"/>
  <c r="AB427" i="3" s="1"/>
  <c r="Z428" i="3"/>
  <c r="AB428" i="3" s="1"/>
  <c r="Z429" i="3"/>
  <c r="AB429" i="3" s="1"/>
  <c r="Z430" i="3"/>
  <c r="AB430" i="3" s="1"/>
  <c r="Z431" i="3"/>
  <c r="AB431" i="3" s="1"/>
  <c r="Z432" i="3"/>
  <c r="AB432" i="3" s="1"/>
  <c r="Z433" i="3"/>
  <c r="AB433" i="3" s="1"/>
  <c r="Z434" i="3"/>
  <c r="AB434" i="3" s="1"/>
  <c r="Z435" i="3"/>
  <c r="AB435" i="3" s="1"/>
  <c r="Z436" i="3"/>
  <c r="AB436" i="3" s="1"/>
  <c r="Z437" i="3"/>
  <c r="AB437" i="3" s="1"/>
  <c r="Z438" i="3"/>
  <c r="AB438" i="3" s="1"/>
  <c r="Z439" i="3"/>
  <c r="Z440" i="3"/>
  <c r="AB440" i="3" s="1"/>
  <c r="Z441" i="3"/>
  <c r="AB441" i="3" s="1"/>
  <c r="Z442" i="3"/>
  <c r="AB442" i="3" s="1"/>
  <c r="Z443" i="3"/>
  <c r="AB443" i="3" s="1"/>
  <c r="Z444" i="3"/>
  <c r="AB444" i="3" s="1"/>
  <c r="Z445" i="3"/>
  <c r="AB445" i="3" s="1"/>
  <c r="Z446" i="3"/>
  <c r="AB446" i="3" s="1"/>
  <c r="Z447" i="3"/>
  <c r="AB447" i="3" s="1"/>
  <c r="Z448" i="3"/>
  <c r="AB448" i="3" s="1"/>
  <c r="Z449" i="3"/>
  <c r="AB449" i="3" s="1"/>
  <c r="Z450" i="3"/>
  <c r="AB450" i="3" s="1"/>
  <c r="Z451" i="3"/>
  <c r="AB451" i="3" s="1"/>
  <c r="Z452" i="3"/>
  <c r="AB452" i="3" s="1"/>
  <c r="Z453" i="3"/>
  <c r="AB453" i="3" s="1"/>
  <c r="Z454" i="3"/>
  <c r="AB454" i="3" s="1"/>
  <c r="Z455" i="3"/>
  <c r="AB455" i="3" s="1"/>
  <c r="Z456" i="3"/>
  <c r="AB456" i="3" s="1"/>
  <c r="Z457" i="3"/>
  <c r="AB457" i="3" s="1"/>
  <c r="Z458" i="3"/>
  <c r="AB458" i="3" s="1"/>
  <c r="Z459" i="3"/>
  <c r="AB459" i="3" s="1"/>
  <c r="Z460" i="3"/>
  <c r="AB460" i="3" s="1"/>
  <c r="Z461" i="3"/>
  <c r="AB461" i="3" s="1"/>
  <c r="Z462" i="3"/>
  <c r="AB462" i="3" s="1"/>
  <c r="Z463" i="3"/>
  <c r="AB463" i="3" s="1"/>
  <c r="Z464" i="3"/>
  <c r="AB464" i="3" s="1"/>
  <c r="Z465" i="3"/>
  <c r="AB465" i="3" s="1"/>
  <c r="Z466" i="3"/>
  <c r="AB466" i="3" s="1"/>
  <c r="Z467" i="3"/>
  <c r="AB467" i="3" s="1"/>
  <c r="Z468" i="3"/>
  <c r="AB468" i="3" s="1"/>
  <c r="Z469" i="3"/>
  <c r="AB469" i="3" s="1"/>
  <c r="Z470" i="3"/>
  <c r="AB470" i="3" s="1"/>
  <c r="Z471" i="3"/>
  <c r="Z472" i="3"/>
  <c r="AB472" i="3" s="1"/>
  <c r="Z473" i="3"/>
  <c r="AB473" i="3" s="1"/>
  <c r="Z474" i="3"/>
  <c r="AB474" i="3" s="1"/>
  <c r="Z475" i="3"/>
  <c r="AB475" i="3" s="1"/>
  <c r="Z476" i="3"/>
  <c r="AB476" i="3" s="1"/>
  <c r="Z477" i="3"/>
  <c r="AB477" i="3" s="1"/>
  <c r="Z478" i="3"/>
  <c r="AB478" i="3" s="1"/>
  <c r="Z479" i="3"/>
  <c r="AB479" i="3" s="1"/>
  <c r="Z480" i="3"/>
  <c r="AB480" i="3" s="1"/>
  <c r="Z481" i="3"/>
  <c r="AB481" i="3" s="1"/>
  <c r="Z482" i="3"/>
  <c r="AB482" i="3" s="1"/>
  <c r="Z483" i="3"/>
  <c r="AB483" i="3" s="1"/>
  <c r="Z484" i="3"/>
  <c r="AB484" i="3" s="1"/>
  <c r="Z485" i="3"/>
  <c r="AB485" i="3" s="1"/>
  <c r="Z486" i="3"/>
  <c r="AB486" i="3" s="1"/>
  <c r="Z487" i="3"/>
  <c r="AB487" i="3" s="1"/>
  <c r="Z488" i="3"/>
  <c r="AB488" i="3" s="1"/>
  <c r="Z489" i="3"/>
  <c r="AB489" i="3" s="1"/>
  <c r="Z490" i="3"/>
  <c r="AB490" i="3" s="1"/>
  <c r="Z491" i="3"/>
  <c r="AB491" i="3" s="1"/>
  <c r="Z492" i="3"/>
  <c r="AB492" i="3" s="1"/>
  <c r="Z493" i="3"/>
  <c r="AB493" i="3" s="1"/>
  <c r="Z494" i="3"/>
  <c r="AB494" i="3" s="1"/>
  <c r="Z495" i="3"/>
  <c r="AB495" i="3" s="1"/>
  <c r="Z496" i="3"/>
  <c r="AB496" i="3" s="1"/>
  <c r="Z497" i="3"/>
  <c r="AB497" i="3" s="1"/>
  <c r="Z498" i="3"/>
  <c r="AB498" i="3" s="1"/>
  <c r="Z499" i="3"/>
  <c r="AB499" i="3" s="1"/>
  <c r="Z500" i="3"/>
  <c r="AB500" i="3" s="1"/>
  <c r="Z501" i="3"/>
  <c r="AB501" i="3" s="1"/>
  <c r="Z502" i="3"/>
  <c r="AB502" i="3" s="1"/>
  <c r="Z503" i="3"/>
  <c r="Z504" i="3"/>
  <c r="AB504" i="3" s="1"/>
  <c r="Z505" i="3"/>
  <c r="AB505" i="3" s="1"/>
  <c r="Z506" i="3"/>
  <c r="AB506" i="3" s="1"/>
  <c r="Z507" i="3"/>
  <c r="AB507" i="3" s="1"/>
  <c r="Z508" i="3"/>
  <c r="AB508" i="3" s="1"/>
  <c r="Z509" i="3"/>
  <c r="AB509" i="3" s="1"/>
  <c r="Z510" i="3"/>
  <c r="AB510" i="3" s="1"/>
  <c r="Z511" i="3"/>
  <c r="AB511" i="3" s="1"/>
  <c r="Z512" i="3"/>
  <c r="AB512" i="3" s="1"/>
  <c r="Z513" i="3"/>
  <c r="AB513" i="3" s="1"/>
  <c r="Z514" i="3"/>
  <c r="AB514" i="3" s="1"/>
  <c r="Z515" i="3"/>
  <c r="AB515" i="3" s="1"/>
  <c r="Z516" i="3"/>
  <c r="AB516" i="3" s="1"/>
  <c r="Z517" i="3"/>
  <c r="AB517" i="3" s="1"/>
  <c r="Z518" i="3"/>
  <c r="AB518" i="3" s="1"/>
  <c r="Z519" i="3"/>
  <c r="AB519" i="3" s="1"/>
  <c r="Z520" i="3"/>
  <c r="AB520" i="3" s="1"/>
  <c r="Z521" i="3"/>
  <c r="AB521" i="3" s="1"/>
  <c r="Z522" i="3"/>
  <c r="AB522" i="3" s="1"/>
  <c r="Z523" i="3"/>
  <c r="AB523" i="3" s="1"/>
  <c r="Z24" i="3"/>
  <c r="AB44" i="3" l="1"/>
  <c r="AB45" i="3"/>
  <c r="AB29" i="3"/>
  <c r="AB43" i="3"/>
  <c r="AB35" i="3"/>
  <c r="AB27" i="3"/>
  <c r="AB26" i="3"/>
  <c r="CP26" i="3" s="1"/>
  <c r="AB25" i="3"/>
  <c r="AB28" i="3"/>
  <c r="AB280" i="3"/>
  <c r="AB216" i="3"/>
  <c r="AB375" i="3"/>
  <c r="AB343" i="3"/>
  <c r="AB311" i="3"/>
  <c r="AB271" i="3"/>
  <c r="AB231" i="3"/>
  <c r="AB286" i="3"/>
  <c r="AB254" i="3"/>
  <c r="AB222" i="3"/>
  <c r="AB24" i="3"/>
  <c r="CP24" i="3" s="1"/>
  <c r="AB164" i="3"/>
  <c r="AB156" i="3"/>
  <c r="AB100" i="3"/>
  <c r="AB92" i="3"/>
  <c r="AB36" i="3"/>
  <c r="AB471" i="3"/>
  <c r="AB407" i="3"/>
  <c r="AB295" i="3"/>
  <c r="AB279" i="3"/>
  <c r="AB255" i="3"/>
  <c r="AB247" i="3"/>
  <c r="AB223" i="3"/>
  <c r="AB207" i="3"/>
  <c r="AB278" i="3"/>
  <c r="AB262" i="3"/>
  <c r="AB238" i="3"/>
  <c r="AB214" i="3"/>
  <c r="AB272" i="3"/>
  <c r="AB503" i="3"/>
  <c r="AB439" i="3"/>
  <c r="AB287" i="3"/>
  <c r="AB263" i="3"/>
  <c r="AB239" i="3"/>
  <c r="AB215" i="3"/>
  <c r="AB294" i="3"/>
  <c r="AB270" i="3"/>
  <c r="AB246" i="3"/>
  <c r="AB230" i="3"/>
  <c r="AB206" i="3"/>
  <c r="CP426" i="3"/>
  <c r="CP490" i="3"/>
  <c r="CP394" i="3"/>
  <c r="CP482" i="3"/>
  <c r="CP386" i="3"/>
  <c r="CP506" i="3"/>
  <c r="CP410" i="3"/>
  <c r="CP522" i="3"/>
  <c r="CP418" i="3"/>
  <c r="CP514" i="3"/>
  <c r="CP474" i="3"/>
  <c r="CP458" i="3"/>
  <c r="CP450" i="3"/>
  <c r="CP442" i="3"/>
  <c r="CP378" i="3"/>
  <c r="CP515" i="3"/>
  <c r="CP507" i="3"/>
  <c r="CP499" i="3"/>
  <c r="CP483" i="3"/>
  <c r="CP475" i="3"/>
  <c r="CP467" i="3"/>
  <c r="CP451" i="3"/>
  <c r="CP443" i="3"/>
  <c r="CP435" i="3"/>
  <c r="CP419" i="3"/>
  <c r="CP411" i="3"/>
  <c r="CP403" i="3"/>
  <c r="CP387" i="3"/>
  <c r="CP379" i="3"/>
  <c r="CP371" i="3"/>
  <c r="CP355" i="3"/>
  <c r="CP347" i="3"/>
  <c r="CP339" i="3"/>
  <c r="CP331" i="3"/>
  <c r="CP323" i="3"/>
  <c r="CP315" i="3"/>
  <c r="CP259" i="3"/>
  <c r="CP227" i="3"/>
  <c r="CP195" i="3"/>
  <c r="CP163" i="3"/>
  <c r="CP131" i="3"/>
  <c r="CP501" i="3"/>
  <c r="CP461" i="3"/>
  <c r="CP421" i="3"/>
  <c r="CP397" i="3"/>
  <c r="CP373" i="3"/>
  <c r="CP333" i="3"/>
  <c r="CP402" i="3"/>
  <c r="CP484" i="3"/>
  <c r="CP436" i="3"/>
  <c r="CP420" i="3"/>
  <c r="CP380" i="3"/>
  <c r="CP340" i="3"/>
  <c r="CP300" i="3"/>
  <c r="CP491" i="3"/>
  <c r="CP459" i="3"/>
  <c r="CP395" i="3"/>
  <c r="CP291" i="3"/>
  <c r="CP243" i="3"/>
  <c r="CP147" i="3"/>
  <c r="CP107" i="3"/>
  <c r="CP284" i="3"/>
  <c r="CP517" i="3"/>
  <c r="CP485" i="3"/>
  <c r="CP437" i="3"/>
  <c r="CP381" i="3"/>
  <c r="CP325" i="3"/>
  <c r="CP498" i="3"/>
  <c r="CP370" i="3"/>
  <c r="CP516" i="3"/>
  <c r="CP468" i="3"/>
  <c r="CP412" i="3"/>
  <c r="CP356" i="3"/>
  <c r="CP292" i="3"/>
  <c r="CP299" i="3"/>
  <c r="CP267" i="3"/>
  <c r="CP251" i="3"/>
  <c r="CP203" i="3"/>
  <c r="CP115" i="3"/>
  <c r="CP59" i="3"/>
  <c r="CP346" i="3"/>
  <c r="CP298" i="3"/>
  <c r="CP258" i="3"/>
  <c r="CP218" i="3"/>
  <c r="CP186" i="3"/>
  <c r="CP154" i="3"/>
  <c r="CP122" i="3"/>
  <c r="CP82" i="3"/>
  <c r="CP477" i="3"/>
  <c r="CP429" i="3"/>
  <c r="CP349" i="3"/>
  <c r="CP309" i="3"/>
  <c r="CP466" i="3"/>
  <c r="CP434" i="3"/>
  <c r="CP508" i="3"/>
  <c r="CP476" i="3"/>
  <c r="CP428" i="3"/>
  <c r="CP364" i="3"/>
  <c r="CP324" i="3"/>
  <c r="CP67" i="3"/>
  <c r="CP211" i="3"/>
  <c r="CP171" i="3"/>
  <c r="CP123" i="3"/>
  <c r="CP354" i="3"/>
  <c r="CP314" i="3"/>
  <c r="CP274" i="3"/>
  <c r="CP242" i="3"/>
  <c r="CP202" i="3"/>
  <c r="CP162" i="3"/>
  <c r="CP130" i="3"/>
  <c r="CP74" i="3"/>
  <c r="CP50" i="3"/>
  <c r="CP521" i="3"/>
  <c r="CP513" i="3"/>
  <c r="CP505" i="3"/>
  <c r="CP497" i="3"/>
  <c r="CP489" i="3"/>
  <c r="CP481" i="3"/>
  <c r="CP473" i="3"/>
  <c r="CP465" i="3"/>
  <c r="CP457" i="3"/>
  <c r="CP449" i="3"/>
  <c r="CP441" i="3"/>
  <c r="CP433" i="3"/>
  <c r="CP425" i="3"/>
  <c r="CP417" i="3"/>
  <c r="CP409" i="3"/>
  <c r="CP401" i="3"/>
  <c r="CP393" i="3"/>
  <c r="CP385" i="3"/>
  <c r="CP377" i="3"/>
  <c r="CP369" i="3"/>
  <c r="CP361" i="3"/>
  <c r="CP353" i="3"/>
  <c r="CP345" i="3"/>
  <c r="CP337" i="3"/>
  <c r="CP329" i="3"/>
  <c r="CP321" i="3"/>
  <c r="CP313" i="3"/>
  <c r="CP305" i="3"/>
  <c r="CP297" i="3"/>
  <c r="CP289" i="3"/>
  <c r="CP281" i="3"/>
  <c r="CP493" i="3"/>
  <c r="CP445" i="3"/>
  <c r="CP389" i="3"/>
  <c r="CP341" i="3"/>
  <c r="CP293" i="3"/>
  <c r="CP492" i="3"/>
  <c r="CP452" i="3"/>
  <c r="CP404" i="3"/>
  <c r="CP372" i="3"/>
  <c r="CP316" i="3"/>
  <c r="CP523" i="3"/>
  <c r="CP427" i="3"/>
  <c r="CP275" i="3"/>
  <c r="CP219" i="3"/>
  <c r="CP187" i="3"/>
  <c r="CP139" i="3"/>
  <c r="CP83" i="3"/>
  <c r="CP362" i="3"/>
  <c r="CP322" i="3"/>
  <c r="CP290" i="3"/>
  <c r="CP250" i="3"/>
  <c r="CP210" i="3"/>
  <c r="CP170" i="3"/>
  <c r="CP138" i="3"/>
  <c r="CP98" i="3"/>
  <c r="CP66" i="3"/>
  <c r="CP34" i="3"/>
  <c r="CP520" i="3"/>
  <c r="CP512" i="3"/>
  <c r="CP504" i="3"/>
  <c r="CP496" i="3"/>
  <c r="CP488" i="3"/>
  <c r="CP480" i="3"/>
  <c r="CP472" i="3"/>
  <c r="CP464" i="3"/>
  <c r="CP456" i="3"/>
  <c r="CP448" i="3"/>
  <c r="CP440" i="3"/>
  <c r="CP432" i="3"/>
  <c r="CP424" i="3"/>
  <c r="CP416" i="3"/>
  <c r="CP408" i="3"/>
  <c r="CP400" i="3"/>
  <c r="CP392" i="3"/>
  <c r="CP384" i="3"/>
  <c r="CP376" i="3"/>
  <c r="CP368" i="3"/>
  <c r="CP360" i="3"/>
  <c r="CP352" i="3"/>
  <c r="CP344" i="3"/>
  <c r="CP336" i="3"/>
  <c r="CP328" i="3"/>
  <c r="CP320" i="3"/>
  <c r="CP312" i="3"/>
  <c r="CP304" i="3"/>
  <c r="CP509" i="3"/>
  <c r="CP453" i="3"/>
  <c r="CP405" i="3"/>
  <c r="CP357" i="3"/>
  <c r="CP317" i="3"/>
  <c r="CP99" i="3"/>
  <c r="CP460" i="3"/>
  <c r="CP396" i="3"/>
  <c r="CP348" i="3"/>
  <c r="CP308" i="3"/>
  <c r="CP235" i="3"/>
  <c r="CP179" i="3"/>
  <c r="CP75" i="3"/>
  <c r="CP51" i="3"/>
  <c r="CP338" i="3"/>
  <c r="CP306" i="3"/>
  <c r="CP266" i="3"/>
  <c r="CP226" i="3"/>
  <c r="CP194" i="3"/>
  <c r="CP146" i="3"/>
  <c r="CP106" i="3"/>
  <c r="CP90" i="3"/>
  <c r="CP58" i="3"/>
  <c r="CP519" i="3"/>
  <c r="CP511" i="3"/>
  <c r="CP495" i="3"/>
  <c r="CP487" i="3"/>
  <c r="CP479" i="3"/>
  <c r="CP463" i="3"/>
  <c r="CP455" i="3"/>
  <c r="CP447" i="3"/>
  <c r="CP431" i="3"/>
  <c r="CP423" i="3"/>
  <c r="CP415" i="3"/>
  <c r="CP399" i="3"/>
  <c r="CP391" i="3"/>
  <c r="CP383" i="3"/>
  <c r="CP367" i="3"/>
  <c r="CP359" i="3"/>
  <c r="CP351" i="3"/>
  <c r="CP335" i="3"/>
  <c r="CP327" i="3"/>
  <c r="CP319" i="3"/>
  <c r="CP303" i="3"/>
  <c r="CP469" i="3"/>
  <c r="CP413" i="3"/>
  <c r="CP365" i="3"/>
  <c r="CP301" i="3"/>
  <c r="CP307" i="3"/>
  <c r="CP500" i="3"/>
  <c r="CP444" i="3"/>
  <c r="CP388" i="3"/>
  <c r="CP332" i="3"/>
  <c r="CP363" i="3"/>
  <c r="CP283" i="3"/>
  <c r="CP155" i="3"/>
  <c r="CP91" i="3"/>
  <c r="CP330" i="3"/>
  <c r="CP282" i="3"/>
  <c r="CP234" i="3"/>
  <c r="CP178" i="3"/>
  <c r="CP114" i="3"/>
  <c r="CP42" i="3"/>
  <c r="CP518" i="3"/>
  <c r="CP510" i="3"/>
  <c r="CP502" i="3"/>
  <c r="CP494" i="3"/>
  <c r="CP486" i="3"/>
  <c r="CP478" i="3"/>
  <c r="CP470" i="3"/>
  <c r="CP462" i="3"/>
  <c r="CP454" i="3"/>
  <c r="CP446" i="3"/>
  <c r="CP438" i="3"/>
  <c r="CP430" i="3"/>
  <c r="CP422" i="3"/>
  <c r="CP414" i="3"/>
  <c r="CP406" i="3"/>
  <c r="CP398" i="3"/>
  <c r="CP390" i="3"/>
  <c r="CP382" i="3"/>
  <c r="CP374" i="3"/>
  <c r="CP366" i="3"/>
  <c r="CP358" i="3"/>
  <c r="CP350" i="3"/>
  <c r="CP342" i="3"/>
  <c r="CP334" i="3"/>
  <c r="CP326" i="3"/>
  <c r="CP318" i="3"/>
  <c r="CP310" i="3"/>
  <c r="CP302" i="3"/>
  <c r="CP273" i="3"/>
  <c r="CP265" i="3"/>
  <c r="CP257" i="3"/>
  <c r="CP249" i="3"/>
  <c r="CP241" i="3"/>
  <c r="CP233" i="3"/>
  <c r="CP225" i="3"/>
  <c r="CP217" i="3"/>
  <c r="CP209" i="3"/>
  <c r="CP201" i="3"/>
  <c r="CP193" i="3"/>
  <c r="CP185" i="3"/>
  <c r="CP177" i="3"/>
  <c r="CP169" i="3"/>
  <c r="CP161" i="3"/>
  <c r="CP153" i="3"/>
  <c r="CP145" i="3"/>
  <c r="CP137" i="3"/>
  <c r="CP129" i="3"/>
  <c r="CP121" i="3"/>
  <c r="CP113" i="3"/>
  <c r="CP105" i="3"/>
  <c r="CP97" i="3"/>
  <c r="CP89" i="3"/>
  <c r="CP81" i="3"/>
  <c r="CP73" i="3"/>
  <c r="CP65" i="3"/>
  <c r="CP57" i="3"/>
  <c r="CP49" i="3"/>
  <c r="CP41" i="3"/>
  <c r="CP33" i="3"/>
  <c r="CP296" i="3"/>
  <c r="CP288" i="3"/>
  <c r="CP264" i="3"/>
  <c r="CP256" i="3"/>
  <c r="CP248" i="3"/>
  <c r="CP240" i="3"/>
  <c r="CP232" i="3"/>
  <c r="CP224" i="3"/>
  <c r="CP200" i="3"/>
  <c r="CP192" i="3"/>
  <c r="CP184" i="3"/>
  <c r="CP176" i="3"/>
  <c r="CP168" i="3"/>
  <c r="CP160" i="3"/>
  <c r="CP136" i="3"/>
  <c r="CP128" i="3"/>
  <c r="CP120" i="3"/>
  <c r="CP112" i="3"/>
  <c r="CP104" i="3"/>
  <c r="CP96" i="3"/>
  <c r="CP72" i="3"/>
  <c r="CP64" i="3"/>
  <c r="CP56" i="3"/>
  <c r="CP48" i="3"/>
  <c r="CP40" i="3"/>
  <c r="CP32" i="3"/>
  <c r="CP208" i="3"/>
  <c r="CP199" i="3"/>
  <c r="CP191" i="3"/>
  <c r="CP183" i="3"/>
  <c r="CP175" i="3"/>
  <c r="CP167" i="3"/>
  <c r="CP159" i="3"/>
  <c r="CP151" i="3"/>
  <c r="CP143" i="3"/>
  <c r="CP135" i="3"/>
  <c r="CP127" i="3"/>
  <c r="CP119" i="3"/>
  <c r="CP111" i="3"/>
  <c r="CP103" i="3"/>
  <c r="CP95" i="3"/>
  <c r="CP87" i="3"/>
  <c r="CP79" i="3"/>
  <c r="CP71" i="3"/>
  <c r="CP63" i="3"/>
  <c r="CP55" i="3"/>
  <c r="CP47" i="3"/>
  <c r="CP39" i="3"/>
  <c r="CP31" i="3"/>
  <c r="CP152" i="3"/>
  <c r="CP198" i="3"/>
  <c r="CP190" i="3"/>
  <c r="CP182" i="3"/>
  <c r="CP174" i="3"/>
  <c r="CP166" i="3"/>
  <c r="CP158" i="3"/>
  <c r="CP150" i="3"/>
  <c r="CP142" i="3"/>
  <c r="CP134" i="3"/>
  <c r="CP126" i="3"/>
  <c r="CP118" i="3"/>
  <c r="CP110" i="3"/>
  <c r="CP102" i="3"/>
  <c r="CP94" i="3"/>
  <c r="CP86" i="3"/>
  <c r="CP78" i="3"/>
  <c r="CP70" i="3"/>
  <c r="CP62" i="3"/>
  <c r="CP54" i="3"/>
  <c r="CP46" i="3"/>
  <c r="CP38" i="3"/>
  <c r="CP30" i="3"/>
  <c r="CP144" i="3"/>
  <c r="CP285" i="3"/>
  <c r="CP277" i="3"/>
  <c r="CP269" i="3"/>
  <c r="CP261" i="3"/>
  <c r="CP253" i="3"/>
  <c r="CP245" i="3"/>
  <c r="CP237" i="3"/>
  <c r="CP229" i="3"/>
  <c r="CP221" i="3"/>
  <c r="CP213" i="3"/>
  <c r="CP205" i="3"/>
  <c r="CP197" i="3"/>
  <c r="CP189" i="3"/>
  <c r="CP181" i="3"/>
  <c r="CP173" i="3"/>
  <c r="CP165" i="3"/>
  <c r="CP157" i="3"/>
  <c r="CP149" i="3"/>
  <c r="CP141" i="3"/>
  <c r="CP133" i="3"/>
  <c r="CP125" i="3"/>
  <c r="CP117" i="3"/>
  <c r="CP109" i="3"/>
  <c r="CP101" i="3"/>
  <c r="CP93" i="3"/>
  <c r="CP85" i="3"/>
  <c r="CP77" i="3"/>
  <c r="CP69" i="3"/>
  <c r="CP61" i="3"/>
  <c r="CP53" i="3"/>
  <c r="CP45" i="3"/>
  <c r="CP37" i="3"/>
  <c r="CP29" i="3"/>
  <c r="CP88" i="3"/>
  <c r="CP276" i="3"/>
  <c r="CP268" i="3"/>
  <c r="CP260" i="3"/>
  <c r="CP252" i="3"/>
  <c r="CP244" i="3"/>
  <c r="CP236" i="3"/>
  <c r="CP228" i="3"/>
  <c r="CP220" i="3"/>
  <c r="CP212" i="3"/>
  <c r="CP204" i="3"/>
  <c r="CP196" i="3"/>
  <c r="CP188" i="3"/>
  <c r="CP180" i="3"/>
  <c r="CP172" i="3"/>
  <c r="CP148" i="3"/>
  <c r="CP140" i="3"/>
  <c r="CP132" i="3"/>
  <c r="CP124" i="3"/>
  <c r="CP116" i="3"/>
  <c r="CP108" i="3"/>
  <c r="CP84" i="3"/>
  <c r="CP76" i="3"/>
  <c r="CP68" i="3"/>
  <c r="CP60" i="3"/>
  <c r="CP52" i="3"/>
  <c r="CP44" i="3"/>
  <c r="CP80" i="3"/>
  <c r="S98" i="15"/>
  <c r="AT27" i="15"/>
  <c r="AT28" i="15"/>
  <c r="AT29" i="15"/>
  <c r="AT30" i="15"/>
  <c r="AT31" i="15"/>
  <c r="AT32" i="15"/>
  <c r="AT33" i="15"/>
  <c r="AT34" i="15"/>
  <c r="AT35" i="15"/>
  <c r="AT36" i="15"/>
  <c r="AT37" i="15"/>
  <c r="AT38" i="15"/>
  <c r="AT39" i="15"/>
  <c r="AT40" i="15"/>
  <c r="AT41" i="15"/>
  <c r="AT42" i="15"/>
  <c r="AT43" i="15"/>
  <c r="AT44" i="15"/>
  <c r="AT45" i="15"/>
  <c r="AT46" i="15"/>
  <c r="AT47" i="15"/>
  <c r="AT48" i="15"/>
  <c r="AT49" i="15"/>
  <c r="AT50" i="15"/>
  <c r="AT51" i="15"/>
  <c r="AT52" i="15"/>
  <c r="AT53" i="15"/>
  <c r="AT54" i="15"/>
  <c r="AT55" i="15"/>
  <c r="AT56" i="15"/>
  <c r="AT57" i="15"/>
  <c r="AT58" i="15"/>
  <c r="AT59" i="15"/>
  <c r="AT60" i="15"/>
  <c r="AT61" i="15"/>
  <c r="AT62" i="15"/>
  <c r="AT63" i="15"/>
  <c r="AT64" i="15"/>
  <c r="AT65" i="15"/>
  <c r="AT66" i="15"/>
  <c r="AT26" i="15"/>
  <c r="DS27" i="15"/>
  <c r="DS28" i="15"/>
  <c r="DS29" i="15"/>
  <c r="DS30" i="15"/>
  <c r="DS31" i="15"/>
  <c r="DS32" i="15"/>
  <c r="DS33" i="15"/>
  <c r="DS34" i="15"/>
  <c r="DS35" i="15"/>
  <c r="DS36" i="15"/>
  <c r="DS37" i="15"/>
  <c r="DS38" i="15"/>
  <c r="DS39" i="15"/>
  <c r="DS40" i="15"/>
  <c r="DS41" i="15"/>
  <c r="DS42" i="15"/>
  <c r="DS43" i="15"/>
  <c r="DS44" i="15"/>
  <c r="DS45" i="15"/>
  <c r="DS46" i="15"/>
  <c r="DS47" i="15"/>
  <c r="DS48" i="15"/>
  <c r="DS49" i="15"/>
  <c r="DS50" i="15"/>
  <c r="DS51" i="15"/>
  <c r="DS52" i="15"/>
  <c r="DS53" i="15"/>
  <c r="DS54" i="15"/>
  <c r="DS55" i="15"/>
  <c r="DS56" i="15"/>
  <c r="DS57" i="15"/>
  <c r="DS58" i="15"/>
  <c r="DS59" i="15"/>
  <c r="DS60" i="15"/>
  <c r="DS61" i="15"/>
  <c r="DS62" i="15"/>
  <c r="DS63" i="15"/>
  <c r="DS64" i="15"/>
  <c r="DS65" i="15"/>
  <c r="DS26" i="15"/>
  <c r="DR27" i="15"/>
  <c r="DR28" i="15"/>
  <c r="DR29" i="15"/>
  <c r="DR30" i="15"/>
  <c r="DR31" i="15"/>
  <c r="DR32" i="15"/>
  <c r="DR33" i="15"/>
  <c r="DR34" i="15"/>
  <c r="DR35" i="15"/>
  <c r="DR36" i="15"/>
  <c r="DR37" i="15"/>
  <c r="DR38" i="15"/>
  <c r="DR39" i="15"/>
  <c r="DR40" i="15"/>
  <c r="DR41" i="15"/>
  <c r="DR42" i="15"/>
  <c r="DR43" i="15"/>
  <c r="DR44" i="15"/>
  <c r="DR45" i="15"/>
  <c r="DR46" i="15"/>
  <c r="DR47" i="15"/>
  <c r="DR48" i="15"/>
  <c r="DR49" i="15"/>
  <c r="DR50" i="15"/>
  <c r="DR51" i="15"/>
  <c r="DR52" i="15"/>
  <c r="DR53" i="15"/>
  <c r="DR54" i="15"/>
  <c r="DR55" i="15"/>
  <c r="DR56" i="15"/>
  <c r="DR57" i="15"/>
  <c r="DR58" i="15"/>
  <c r="DR59" i="15"/>
  <c r="DR60" i="15"/>
  <c r="DR61" i="15"/>
  <c r="DR62" i="15"/>
  <c r="DR63" i="15"/>
  <c r="DR64" i="15"/>
  <c r="DR65" i="15"/>
  <c r="DR26" i="15"/>
  <c r="DQ27" i="15"/>
  <c r="DQ28" i="15"/>
  <c r="DQ29" i="15"/>
  <c r="DQ30" i="15"/>
  <c r="DQ31" i="15"/>
  <c r="DQ32" i="15"/>
  <c r="DQ33" i="15"/>
  <c r="DQ34" i="15"/>
  <c r="DQ35" i="15"/>
  <c r="DQ36" i="15"/>
  <c r="DQ37" i="15"/>
  <c r="DQ38" i="15"/>
  <c r="DQ39" i="15"/>
  <c r="DQ40" i="15"/>
  <c r="DQ41" i="15"/>
  <c r="DQ42" i="15"/>
  <c r="DQ43" i="15"/>
  <c r="DQ44" i="15"/>
  <c r="DQ45" i="15"/>
  <c r="DQ46" i="15"/>
  <c r="DQ47" i="15"/>
  <c r="DQ48" i="15"/>
  <c r="DQ49" i="15"/>
  <c r="DQ50" i="15"/>
  <c r="DQ51" i="15"/>
  <c r="DQ52" i="15"/>
  <c r="DQ53" i="15"/>
  <c r="DQ54" i="15"/>
  <c r="DQ55" i="15"/>
  <c r="DQ56" i="15"/>
  <c r="DQ57" i="15"/>
  <c r="DQ58" i="15"/>
  <c r="DQ59" i="15"/>
  <c r="DQ60" i="15"/>
  <c r="DQ61" i="15"/>
  <c r="DQ62" i="15"/>
  <c r="DQ63" i="15"/>
  <c r="DQ64" i="15"/>
  <c r="DQ65" i="15"/>
  <c r="DQ26" i="15"/>
  <c r="DL27" i="15"/>
  <c r="DL28" i="15"/>
  <c r="DL29" i="15"/>
  <c r="DL30" i="15"/>
  <c r="DL31" i="15"/>
  <c r="DL32" i="15"/>
  <c r="DL33" i="15"/>
  <c r="DL34" i="15"/>
  <c r="DL35" i="15"/>
  <c r="DL36" i="15"/>
  <c r="DL37" i="15"/>
  <c r="DL38" i="15"/>
  <c r="DL39" i="15"/>
  <c r="DL40" i="15"/>
  <c r="DL41" i="15"/>
  <c r="DL42" i="15"/>
  <c r="DL43" i="15"/>
  <c r="DL44" i="15"/>
  <c r="DL45" i="15"/>
  <c r="DL46" i="15"/>
  <c r="DL47" i="15"/>
  <c r="DL48" i="15"/>
  <c r="DL49" i="15"/>
  <c r="DL50" i="15"/>
  <c r="DL51" i="15"/>
  <c r="DL52" i="15"/>
  <c r="DL53" i="15"/>
  <c r="DL54" i="15"/>
  <c r="DL55" i="15"/>
  <c r="DL56" i="15"/>
  <c r="DL57" i="15"/>
  <c r="DL58" i="15"/>
  <c r="DL59" i="15"/>
  <c r="DL60" i="15"/>
  <c r="DL61" i="15"/>
  <c r="DL62" i="15"/>
  <c r="DL63" i="15"/>
  <c r="DL64" i="15"/>
  <c r="DL65" i="15"/>
  <c r="DL26" i="15"/>
  <c r="CP214" i="3" l="1"/>
  <c r="CP279" i="3"/>
  <c r="CP164" i="3"/>
  <c r="CP35" i="3"/>
  <c r="CP215" i="3"/>
  <c r="CP238" i="3"/>
  <c r="CP295" i="3"/>
  <c r="CP375" i="3"/>
  <c r="CP43" i="3"/>
  <c r="CP294" i="3"/>
  <c r="CP343" i="3"/>
  <c r="CP239" i="3"/>
  <c r="CP262" i="3"/>
  <c r="CP407" i="3"/>
  <c r="CP222" i="3"/>
  <c r="CP216" i="3"/>
  <c r="CP263" i="3"/>
  <c r="CP278" i="3"/>
  <c r="CP471" i="3"/>
  <c r="CP254" i="3"/>
  <c r="CP280" i="3"/>
  <c r="CP206" i="3"/>
  <c r="CP287" i="3"/>
  <c r="CP207" i="3"/>
  <c r="CP36" i="3"/>
  <c r="CP286" i="3"/>
  <c r="CP28" i="3"/>
  <c r="CP230" i="3"/>
  <c r="CP439" i="3"/>
  <c r="CP223" i="3"/>
  <c r="CP92" i="3"/>
  <c r="CP231" i="3"/>
  <c r="CP25" i="3"/>
  <c r="CP246" i="3"/>
  <c r="CP503" i="3"/>
  <c r="CP247" i="3"/>
  <c r="CP100" i="3"/>
  <c r="CP271" i="3"/>
  <c r="CP270" i="3"/>
  <c r="CP272" i="3"/>
  <c r="CP255" i="3"/>
  <c r="CP156" i="3"/>
  <c r="CP311" i="3"/>
  <c r="CP27" i="3"/>
  <c r="Q70" i="15"/>
  <c r="DT27" i="15"/>
  <c r="DT28" i="15"/>
  <c r="DT29" i="15"/>
  <c r="DT30" i="15"/>
  <c r="DT31" i="15"/>
  <c r="DT32" i="15"/>
  <c r="DT33" i="15"/>
  <c r="DT34" i="15"/>
  <c r="DT35" i="15"/>
  <c r="DT36" i="15"/>
  <c r="DT37" i="15"/>
  <c r="DT38" i="15"/>
  <c r="DT39" i="15"/>
  <c r="DT40" i="15"/>
  <c r="DT41" i="15"/>
  <c r="DT42" i="15"/>
  <c r="DT43" i="15"/>
  <c r="DT44" i="15"/>
  <c r="DT45" i="15"/>
  <c r="DT46" i="15"/>
  <c r="DT47" i="15"/>
  <c r="DT48" i="15"/>
  <c r="DT49" i="15"/>
  <c r="DT50" i="15"/>
  <c r="DT51" i="15"/>
  <c r="DT52" i="15"/>
  <c r="DT53" i="15"/>
  <c r="DT54" i="15"/>
  <c r="DT55" i="15"/>
  <c r="DT56" i="15"/>
  <c r="DT57" i="15"/>
  <c r="DT58" i="15"/>
  <c r="DT59" i="15"/>
  <c r="DT60" i="15"/>
  <c r="DT61" i="15"/>
  <c r="DT62" i="15"/>
  <c r="DT63" i="15"/>
  <c r="DT64" i="15"/>
  <c r="DT65" i="15"/>
  <c r="DT26" i="15"/>
  <c r="DU27" i="15"/>
  <c r="DU28" i="15"/>
  <c r="DU29" i="15"/>
  <c r="DU30" i="15"/>
  <c r="DU31" i="15"/>
  <c r="DU32" i="15"/>
  <c r="DU33" i="15"/>
  <c r="DU34" i="15"/>
  <c r="DU35" i="15"/>
  <c r="DU36" i="15"/>
  <c r="DU37" i="15"/>
  <c r="DU38" i="15"/>
  <c r="DU39" i="15"/>
  <c r="DU40" i="15"/>
  <c r="DU41" i="15"/>
  <c r="DU42" i="15"/>
  <c r="DU43" i="15"/>
  <c r="DU44" i="15"/>
  <c r="DU45" i="15"/>
  <c r="DU46" i="15"/>
  <c r="DU47" i="15"/>
  <c r="DU48" i="15"/>
  <c r="DU49" i="15"/>
  <c r="DU50" i="15"/>
  <c r="DU51" i="15"/>
  <c r="DU52" i="15"/>
  <c r="DU53" i="15"/>
  <c r="DU54" i="15"/>
  <c r="DU55" i="15"/>
  <c r="DU56" i="15"/>
  <c r="DU57" i="15"/>
  <c r="DU58" i="15"/>
  <c r="DU59" i="15"/>
  <c r="DU60" i="15"/>
  <c r="DU61" i="15"/>
  <c r="DU62" i="15"/>
  <c r="DU63" i="15"/>
  <c r="DU64" i="15"/>
  <c r="DU65" i="15"/>
  <c r="DU26" i="15"/>
  <c r="U27" i="15"/>
  <c r="U28" i="15"/>
  <c r="U29" i="15"/>
  <c r="U30" i="15"/>
  <c r="U31" i="15"/>
  <c r="U32" i="15"/>
  <c r="U33" i="15"/>
  <c r="U34" i="15"/>
  <c r="U35" i="15"/>
  <c r="U36" i="15"/>
  <c r="U37" i="15"/>
  <c r="U38" i="15"/>
  <c r="U39" i="15"/>
  <c r="U40" i="15"/>
  <c r="U41" i="15"/>
  <c r="U42" i="15"/>
  <c r="U43" i="15"/>
  <c r="U44" i="15"/>
  <c r="U45" i="15"/>
  <c r="U46" i="15"/>
  <c r="U47" i="15"/>
  <c r="U48" i="15"/>
  <c r="U49" i="15"/>
  <c r="U50" i="15"/>
  <c r="U51" i="15"/>
  <c r="U52" i="15"/>
  <c r="U53" i="15"/>
  <c r="U54" i="15"/>
  <c r="U55" i="15"/>
  <c r="U56" i="15"/>
  <c r="U57" i="15"/>
  <c r="U58" i="15"/>
  <c r="U59" i="15"/>
  <c r="U60" i="15"/>
  <c r="U61" i="15"/>
  <c r="U62" i="15"/>
  <c r="U63" i="15"/>
  <c r="U64" i="15"/>
  <c r="U65" i="15"/>
  <c r="U26" i="15"/>
  <c r="T27" i="15" l="1"/>
  <c r="T28" i="15"/>
  <c r="T29" i="15"/>
  <c r="T30" i="15"/>
  <c r="T31" i="15"/>
  <c r="T32" i="15"/>
  <c r="T33" i="15"/>
  <c r="T34" i="15"/>
  <c r="T35" i="15"/>
  <c r="T36" i="15"/>
  <c r="T37" i="15"/>
  <c r="T38" i="15"/>
  <c r="T39" i="15"/>
  <c r="T40" i="15"/>
  <c r="T41" i="15"/>
  <c r="T42" i="15"/>
  <c r="T43" i="15"/>
  <c r="T44" i="15"/>
  <c r="T45" i="15"/>
  <c r="T46" i="15"/>
  <c r="T47" i="15"/>
  <c r="T48" i="15"/>
  <c r="T49" i="15"/>
  <c r="T50" i="15"/>
  <c r="T51" i="15"/>
  <c r="T52" i="15"/>
  <c r="T53" i="15"/>
  <c r="T54" i="15"/>
  <c r="T55" i="15"/>
  <c r="T56" i="15"/>
  <c r="T57" i="15"/>
  <c r="T58" i="15"/>
  <c r="T59" i="15"/>
  <c r="T60" i="15"/>
  <c r="T61" i="15"/>
  <c r="T62" i="15"/>
  <c r="T63" i="15"/>
  <c r="T64" i="15"/>
  <c r="T65" i="15"/>
  <c r="T26" i="15"/>
  <c r="L23" i="15"/>
  <c r="M22" i="15"/>
  <c r="H88" i="15"/>
  <c r="H84" i="15"/>
  <c r="W9" i="4"/>
  <c r="L591" i="3" l="1"/>
  <c r="I525" i="3"/>
  <c r="DW523" i="3"/>
  <c r="DV523" i="3"/>
  <c r="DU523" i="3"/>
  <c r="DT523" i="3"/>
  <c r="DS523" i="3"/>
  <c r="DR523" i="3"/>
  <c r="DQ523" i="3"/>
  <c r="DP523" i="3"/>
  <c r="DO523" i="3"/>
  <c r="DN523" i="3"/>
  <c r="DM523" i="3"/>
  <c r="DL523" i="3"/>
  <c r="DK523" i="3"/>
  <c r="DJ523" i="3"/>
  <c r="DI523" i="3"/>
  <c r="DF523" i="3"/>
  <c r="DE523" i="3"/>
  <c r="DD523" i="3"/>
  <c r="DC523" i="3"/>
  <c r="DB523" i="3"/>
  <c r="DA523" i="3"/>
  <c r="CO523" i="3"/>
  <c r="CN523" i="3"/>
  <c r="CL523" i="3"/>
  <c r="CM523" i="3" s="1"/>
  <c r="AE523" i="3" s="1"/>
  <c r="CK523" i="3"/>
  <c r="CJ523" i="3"/>
  <c r="CI523" i="3"/>
  <c r="CH523" i="3"/>
  <c r="BE523" i="3"/>
  <c r="AX523" i="3"/>
  <c r="AU523" i="3"/>
  <c r="AT523" i="3" s="1"/>
  <c r="AS523" i="3"/>
  <c r="AR523" i="3" s="1"/>
  <c r="AP523" i="3"/>
  <c r="AO523" i="3"/>
  <c r="AN523" i="3"/>
  <c r="AQ523" i="3" s="1"/>
  <c r="Y523" i="3"/>
  <c r="X523" i="3"/>
  <c r="DW522" i="3"/>
  <c r="DV522" i="3"/>
  <c r="DU522" i="3"/>
  <c r="DT522" i="3"/>
  <c r="DS522" i="3"/>
  <c r="DR522" i="3"/>
  <c r="DQ522" i="3"/>
  <c r="DP522" i="3"/>
  <c r="DO522" i="3"/>
  <c r="DN522" i="3"/>
  <c r="DM522" i="3"/>
  <c r="DL522" i="3"/>
  <c r="DK522" i="3"/>
  <c r="DJ522" i="3"/>
  <c r="DI522" i="3"/>
  <c r="DF522" i="3"/>
  <c r="DE522" i="3"/>
  <c r="DD522" i="3"/>
  <c r="DC522" i="3"/>
  <c r="DB522" i="3"/>
  <c r="DA522" i="3"/>
  <c r="CO522" i="3"/>
  <c r="CN522" i="3"/>
  <c r="CL522" i="3"/>
  <c r="CM522" i="3" s="1"/>
  <c r="AE522" i="3" s="1"/>
  <c r="AH522" i="3" s="1"/>
  <c r="AI522" i="3" s="1"/>
  <c r="CK522" i="3"/>
  <c r="CJ522" i="3"/>
  <c r="CI522" i="3"/>
  <c r="CH522" i="3"/>
  <c r="BE522" i="3"/>
  <c r="AX522" i="3"/>
  <c r="AU522" i="3"/>
  <c r="AT522" i="3" s="1"/>
  <c r="AS522" i="3"/>
  <c r="AR522" i="3" s="1"/>
  <c r="AP522" i="3"/>
  <c r="AO522" i="3"/>
  <c r="AN522" i="3"/>
  <c r="Y522" i="3"/>
  <c r="X522" i="3"/>
  <c r="DW521" i="3"/>
  <c r="DV521" i="3"/>
  <c r="DU521" i="3"/>
  <c r="DT521" i="3"/>
  <c r="DS521" i="3"/>
  <c r="DR521" i="3"/>
  <c r="DQ521" i="3"/>
  <c r="DP521" i="3"/>
  <c r="DO521" i="3"/>
  <c r="DN521" i="3"/>
  <c r="DM521" i="3"/>
  <c r="DL521" i="3"/>
  <c r="DK521" i="3"/>
  <c r="DJ521" i="3"/>
  <c r="DI521" i="3"/>
  <c r="DF521" i="3"/>
  <c r="DE521" i="3"/>
  <c r="DD521" i="3"/>
  <c r="DC521" i="3"/>
  <c r="DB521" i="3"/>
  <c r="DA521" i="3"/>
  <c r="CO521" i="3"/>
  <c r="CN521" i="3"/>
  <c r="CL521" i="3"/>
  <c r="CM521" i="3" s="1"/>
  <c r="AE521" i="3" s="1"/>
  <c r="AH521" i="3" s="1"/>
  <c r="CK521" i="3"/>
  <c r="CJ521" i="3"/>
  <c r="CI521" i="3"/>
  <c r="CH521" i="3"/>
  <c r="BE521" i="3"/>
  <c r="AX521" i="3"/>
  <c r="AU521" i="3"/>
  <c r="AT521" i="3" s="1"/>
  <c r="AS521" i="3"/>
  <c r="AR521" i="3" s="1"/>
  <c r="AP521" i="3"/>
  <c r="AO521" i="3"/>
  <c r="AN521" i="3"/>
  <c r="Y521" i="3"/>
  <c r="X521" i="3"/>
  <c r="DW520" i="3"/>
  <c r="DV520" i="3"/>
  <c r="DU520" i="3"/>
  <c r="DT520" i="3"/>
  <c r="DS520" i="3"/>
  <c r="DR520" i="3"/>
  <c r="DQ520" i="3"/>
  <c r="DP520" i="3"/>
  <c r="DO520" i="3"/>
  <c r="DN520" i="3"/>
  <c r="DM520" i="3"/>
  <c r="DL520" i="3"/>
  <c r="DK520" i="3"/>
  <c r="DJ520" i="3"/>
  <c r="DI520" i="3"/>
  <c r="DF520" i="3"/>
  <c r="DE520" i="3"/>
  <c r="DD520" i="3"/>
  <c r="DC520" i="3"/>
  <c r="DB520" i="3"/>
  <c r="DA520" i="3"/>
  <c r="CO520" i="3"/>
  <c r="CN520" i="3"/>
  <c r="CL520" i="3"/>
  <c r="CM520" i="3" s="1"/>
  <c r="AE520" i="3" s="1"/>
  <c r="CK520" i="3"/>
  <c r="CJ520" i="3"/>
  <c r="CI520" i="3"/>
  <c r="CH520" i="3"/>
  <c r="BE520" i="3"/>
  <c r="AX520" i="3"/>
  <c r="AU520" i="3"/>
  <c r="AT520" i="3" s="1"/>
  <c r="AS520" i="3"/>
  <c r="AR520" i="3" s="1"/>
  <c r="AP520" i="3"/>
  <c r="AO520" i="3"/>
  <c r="AN520" i="3"/>
  <c r="Y520" i="3"/>
  <c r="X520" i="3"/>
  <c r="DW519" i="3"/>
  <c r="DV519" i="3"/>
  <c r="DU519" i="3"/>
  <c r="DT519" i="3"/>
  <c r="DS519" i="3"/>
  <c r="DR519" i="3"/>
  <c r="DQ519" i="3"/>
  <c r="DP519" i="3"/>
  <c r="DO519" i="3"/>
  <c r="DN519" i="3"/>
  <c r="DM519" i="3"/>
  <c r="DL519" i="3"/>
  <c r="DK519" i="3"/>
  <c r="DJ519" i="3"/>
  <c r="DI519" i="3"/>
  <c r="DF519" i="3"/>
  <c r="DE519" i="3"/>
  <c r="DD519" i="3"/>
  <c r="DC519" i="3"/>
  <c r="DB519" i="3"/>
  <c r="DA519" i="3"/>
  <c r="CO519" i="3"/>
  <c r="CN519" i="3"/>
  <c r="CL519" i="3"/>
  <c r="CM519" i="3" s="1"/>
  <c r="AE519" i="3" s="1"/>
  <c r="AH519" i="3" s="1"/>
  <c r="CK519" i="3"/>
  <c r="CJ519" i="3"/>
  <c r="CI519" i="3"/>
  <c r="CH519" i="3"/>
  <c r="BE519" i="3"/>
  <c r="AX519" i="3"/>
  <c r="AU519" i="3"/>
  <c r="AT519" i="3" s="1"/>
  <c r="AS519" i="3"/>
  <c r="AR519" i="3" s="1"/>
  <c r="AP519" i="3"/>
  <c r="AO519" i="3"/>
  <c r="AN519" i="3"/>
  <c r="AM519" i="3" s="1"/>
  <c r="Y519" i="3"/>
  <c r="X519" i="3"/>
  <c r="DW518" i="3"/>
  <c r="DV518" i="3"/>
  <c r="DU518" i="3"/>
  <c r="DT518" i="3"/>
  <c r="DS518" i="3"/>
  <c r="DR518" i="3"/>
  <c r="DQ518" i="3"/>
  <c r="DP518" i="3"/>
  <c r="DO518" i="3"/>
  <c r="DN518" i="3"/>
  <c r="DM518" i="3"/>
  <c r="DL518" i="3"/>
  <c r="DK518" i="3"/>
  <c r="DJ518" i="3"/>
  <c r="DI518" i="3"/>
  <c r="DF518" i="3"/>
  <c r="DE518" i="3"/>
  <c r="DD518" i="3"/>
  <c r="DC518" i="3"/>
  <c r="DB518" i="3"/>
  <c r="DA518" i="3"/>
  <c r="CO518" i="3"/>
  <c r="CN518" i="3"/>
  <c r="CL518" i="3"/>
  <c r="CM518" i="3" s="1"/>
  <c r="AE518" i="3" s="1"/>
  <c r="AH518" i="3" s="1"/>
  <c r="CK518" i="3"/>
  <c r="CJ518" i="3"/>
  <c r="CI518" i="3"/>
  <c r="CH518" i="3"/>
  <c r="BE518" i="3"/>
  <c r="AX518" i="3"/>
  <c r="AU518" i="3"/>
  <c r="AT518" i="3" s="1"/>
  <c r="AS518" i="3"/>
  <c r="AR518" i="3" s="1"/>
  <c r="AP518" i="3"/>
  <c r="AO518" i="3"/>
  <c r="AN518" i="3"/>
  <c r="Y518" i="3"/>
  <c r="X518" i="3"/>
  <c r="DW517" i="3"/>
  <c r="DV517" i="3"/>
  <c r="DU517" i="3"/>
  <c r="DT517" i="3"/>
  <c r="DS517" i="3"/>
  <c r="DR517" i="3"/>
  <c r="DQ517" i="3"/>
  <c r="DP517" i="3"/>
  <c r="DO517" i="3"/>
  <c r="DN517" i="3"/>
  <c r="DM517" i="3"/>
  <c r="DL517" i="3"/>
  <c r="DK517" i="3"/>
  <c r="DJ517" i="3"/>
  <c r="DI517" i="3"/>
  <c r="DF517" i="3"/>
  <c r="DE517" i="3"/>
  <c r="DD517" i="3"/>
  <c r="DC517" i="3"/>
  <c r="DB517" i="3"/>
  <c r="DA517" i="3"/>
  <c r="CO517" i="3"/>
  <c r="CN517" i="3"/>
  <c r="CL517" i="3"/>
  <c r="CM517" i="3" s="1"/>
  <c r="AE517" i="3" s="1"/>
  <c r="CK517" i="3"/>
  <c r="CJ517" i="3"/>
  <c r="CI517" i="3"/>
  <c r="CH517" i="3"/>
  <c r="BE517" i="3"/>
  <c r="AX517" i="3"/>
  <c r="AU517" i="3"/>
  <c r="AT517" i="3" s="1"/>
  <c r="AS517" i="3"/>
  <c r="AR517" i="3" s="1"/>
  <c r="AP517" i="3"/>
  <c r="AO517" i="3"/>
  <c r="AN517" i="3"/>
  <c r="Y517" i="3"/>
  <c r="X517" i="3"/>
  <c r="DW516" i="3"/>
  <c r="DV516" i="3"/>
  <c r="DU516" i="3"/>
  <c r="DT516" i="3"/>
  <c r="DS516" i="3"/>
  <c r="DR516" i="3"/>
  <c r="DQ516" i="3"/>
  <c r="DP516" i="3"/>
  <c r="DO516" i="3"/>
  <c r="DN516" i="3"/>
  <c r="DM516" i="3"/>
  <c r="DL516" i="3"/>
  <c r="DK516" i="3"/>
  <c r="DJ516" i="3"/>
  <c r="DI516" i="3"/>
  <c r="DF516" i="3"/>
  <c r="DE516" i="3"/>
  <c r="DD516" i="3"/>
  <c r="DC516" i="3"/>
  <c r="DB516" i="3"/>
  <c r="DA516" i="3"/>
  <c r="CO516" i="3"/>
  <c r="CN516" i="3"/>
  <c r="CL516" i="3"/>
  <c r="CM516" i="3" s="1"/>
  <c r="AE516" i="3" s="1"/>
  <c r="AH516" i="3" s="1"/>
  <c r="AI516" i="3" s="1"/>
  <c r="CK516" i="3"/>
  <c r="CJ516" i="3"/>
  <c r="CI516" i="3"/>
  <c r="CH516" i="3"/>
  <c r="BE516" i="3"/>
  <c r="AX516" i="3"/>
  <c r="AU516" i="3"/>
  <c r="AT516" i="3" s="1"/>
  <c r="AS516" i="3"/>
  <c r="AR516" i="3" s="1"/>
  <c r="AP516" i="3"/>
  <c r="AO516" i="3"/>
  <c r="AN516" i="3"/>
  <c r="Y516" i="3"/>
  <c r="X516" i="3"/>
  <c r="DW515" i="3"/>
  <c r="DV515" i="3"/>
  <c r="DU515" i="3"/>
  <c r="DT515" i="3"/>
  <c r="DS515" i="3"/>
  <c r="DR515" i="3"/>
  <c r="DQ515" i="3"/>
  <c r="DP515" i="3"/>
  <c r="DO515" i="3"/>
  <c r="DN515" i="3"/>
  <c r="DM515" i="3"/>
  <c r="DL515" i="3"/>
  <c r="DK515" i="3"/>
  <c r="DJ515" i="3"/>
  <c r="DI515" i="3"/>
  <c r="DF515" i="3"/>
  <c r="DE515" i="3"/>
  <c r="DD515" i="3"/>
  <c r="DC515" i="3"/>
  <c r="DB515" i="3"/>
  <c r="DA515" i="3"/>
  <c r="CO515" i="3"/>
  <c r="CN515" i="3"/>
  <c r="CL515" i="3"/>
  <c r="CM515" i="3" s="1"/>
  <c r="AE515" i="3" s="1"/>
  <c r="CK515" i="3"/>
  <c r="CJ515" i="3"/>
  <c r="CI515" i="3"/>
  <c r="CH515" i="3"/>
  <c r="BE515" i="3"/>
  <c r="AX515" i="3"/>
  <c r="AU515" i="3"/>
  <c r="AT515" i="3" s="1"/>
  <c r="AS515" i="3"/>
  <c r="AR515" i="3" s="1"/>
  <c r="AP515" i="3"/>
  <c r="AO515" i="3"/>
  <c r="AN515" i="3"/>
  <c r="Y515" i="3"/>
  <c r="X515" i="3"/>
  <c r="DW514" i="3"/>
  <c r="DV514" i="3"/>
  <c r="DU514" i="3"/>
  <c r="DT514" i="3"/>
  <c r="DS514" i="3"/>
  <c r="DR514" i="3"/>
  <c r="DQ514" i="3"/>
  <c r="DP514" i="3"/>
  <c r="DO514" i="3"/>
  <c r="DN514" i="3"/>
  <c r="DM514" i="3"/>
  <c r="DL514" i="3"/>
  <c r="DK514" i="3"/>
  <c r="DJ514" i="3"/>
  <c r="DI514" i="3"/>
  <c r="DF514" i="3"/>
  <c r="DE514" i="3"/>
  <c r="DD514" i="3"/>
  <c r="DC514" i="3"/>
  <c r="DB514" i="3"/>
  <c r="DA514" i="3"/>
  <c r="CO514" i="3"/>
  <c r="CN514" i="3"/>
  <c r="CL514" i="3"/>
  <c r="CM514" i="3" s="1"/>
  <c r="AE514" i="3" s="1"/>
  <c r="AH514" i="3" s="1"/>
  <c r="AI514" i="3" s="1"/>
  <c r="CK514" i="3"/>
  <c r="CJ514" i="3"/>
  <c r="CI514" i="3"/>
  <c r="CH514" i="3"/>
  <c r="BE514" i="3"/>
  <c r="AX514" i="3"/>
  <c r="AU514" i="3"/>
  <c r="AT514" i="3" s="1"/>
  <c r="AS514" i="3"/>
  <c r="AR514" i="3" s="1"/>
  <c r="AP514" i="3"/>
  <c r="AO514" i="3"/>
  <c r="AN514" i="3"/>
  <c r="Y514" i="3"/>
  <c r="X514" i="3"/>
  <c r="DW513" i="3"/>
  <c r="DV513" i="3"/>
  <c r="DU513" i="3"/>
  <c r="DT513" i="3"/>
  <c r="DS513" i="3"/>
  <c r="DR513" i="3"/>
  <c r="DQ513" i="3"/>
  <c r="DP513" i="3"/>
  <c r="DO513" i="3"/>
  <c r="DN513" i="3"/>
  <c r="DM513" i="3"/>
  <c r="DL513" i="3"/>
  <c r="DK513" i="3"/>
  <c r="DJ513" i="3"/>
  <c r="DI513" i="3"/>
  <c r="DF513" i="3"/>
  <c r="DE513" i="3"/>
  <c r="DD513" i="3"/>
  <c r="DC513" i="3"/>
  <c r="DB513" i="3"/>
  <c r="DA513" i="3"/>
  <c r="CO513" i="3"/>
  <c r="CN513" i="3"/>
  <c r="CL513" i="3"/>
  <c r="CM513" i="3" s="1"/>
  <c r="AE513" i="3" s="1"/>
  <c r="AH513" i="3" s="1"/>
  <c r="CK513" i="3"/>
  <c r="CJ513" i="3"/>
  <c r="CI513" i="3"/>
  <c r="CH513" i="3"/>
  <c r="BE513" i="3"/>
  <c r="AX513" i="3"/>
  <c r="AU513" i="3"/>
  <c r="AT513" i="3" s="1"/>
  <c r="AS513" i="3"/>
  <c r="AR513" i="3" s="1"/>
  <c r="AP513" i="3"/>
  <c r="AO513" i="3"/>
  <c r="AN513" i="3"/>
  <c r="BM513" i="3" s="1"/>
  <c r="Y513" i="3"/>
  <c r="X513" i="3"/>
  <c r="DW512" i="3"/>
  <c r="DV512" i="3"/>
  <c r="DU512" i="3"/>
  <c r="DT512" i="3"/>
  <c r="DS512" i="3"/>
  <c r="DR512" i="3"/>
  <c r="DQ512" i="3"/>
  <c r="DP512" i="3"/>
  <c r="DO512" i="3"/>
  <c r="DN512" i="3"/>
  <c r="DM512" i="3"/>
  <c r="DL512" i="3"/>
  <c r="DK512" i="3"/>
  <c r="DJ512" i="3"/>
  <c r="DI512" i="3"/>
  <c r="DF512" i="3"/>
  <c r="DE512" i="3"/>
  <c r="DD512" i="3"/>
  <c r="DC512" i="3"/>
  <c r="DB512" i="3"/>
  <c r="DA512" i="3"/>
  <c r="CO512" i="3"/>
  <c r="CN512" i="3"/>
  <c r="CL512" i="3"/>
  <c r="CM512" i="3" s="1"/>
  <c r="AE512" i="3" s="1"/>
  <c r="CK512" i="3"/>
  <c r="CJ512" i="3"/>
  <c r="CI512" i="3"/>
  <c r="CH512" i="3"/>
  <c r="BE512" i="3"/>
  <c r="AX512" i="3"/>
  <c r="AU512" i="3"/>
  <c r="AT512" i="3" s="1"/>
  <c r="AS512" i="3"/>
  <c r="AR512" i="3" s="1"/>
  <c r="AP512" i="3"/>
  <c r="AO512" i="3"/>
  <c r="AN512" i="3"/>
  <c r="Y512" i="3"/>
  <c r="X512" i="3"/>
  <c r="DW511" i="3"/>
  <c r="DV511" i="3"/>
  <c r="DU511" i="3"/>
  <c r="DT511" i="3"/>
  <c r="DS511" i="3"/>
  <c r="DR511" i="3"/>
  <c r="DQ511" i="3"/>
  <c r="DP511" i="3"/>
  <c r="DO511" i="3"/>
  <c r="DN511" i="3"/>
  <c r="DM511" i="3"/>
  <c r="DL511" i="3"/>
  <c r="DK511" i="3"/>
  <c r="DJ511" i="3"/>
  <c r="DI511" i="3"/>
  <c r="DF511" i="3"/>
  <c r="DE511" i="3"/>
  <c r="DD511" i="3"/>
  <c r="DC511" i="3"/>
  <c r="DB511" i="3"/>
  <c r="DA511" i="3"/>
  <c r="CO511" i="3"/>
  <c r="CN511" i="3"/>
  <c r="CL511" i="3"/>
  <c r="CM511" i="3" s="1"/>
  <c r="AE511" i="3" s="1"/>
  <c r="AH511" i="3" s="1"/>
  <c r="CK511" i="3"/>
  <c r="CJ511" i="3"/>
  <c r="CI511" i="3"/>
  <c r="CH511" i="3"/>
  <c r="BE511" i="3"/>
  <c r="AX511" i="3"/>
  <c r="AU511" i="3"/>
  <c r="AT511" i="3" s="1"/>
  <c r="AS511" i="3"/>
  <c r="AR511" i="3" s="1"/>
  <c r="AP511" i="3"/>
  <c r="AO511" i="3"/>
  <c r="AN511" i="3"/>
  <c r="Y511" i="3"/>
  <c r="X511" i="3"/>
  <c r="DW510" i="3"/>
  <c r="DV510" i="3"/>
  <c r="DU510" i="3"/>
  <c r="DT510" i="3"/>
  <c r="DS510" i="3"/>
  <c r="DR510" i="3"/>
  <c r="DQ510" i="3"/>
  <c r="DP510" i="3"/>
  <c r="DO510" i="3"/>
  <c r="DN510" i="3"/>
  <c r="DM510" i="3"/>
  <c r="DL510" i="3"/>
  <c r="DK510" i="3"/>
  <c r="DJ510" i="3"/>
  <c r="DI510" i="3"/>
  <c r="DF510" i="3"/>
  <c r="DE510" i="3"/>
  <c r="DD510" i="3"/>
  <c r="DC510" i="3"/>
  <c r="DB510" i="3"/>
  <c r="DA510" i="3"/>
  <c r="CO510" i="3"/>
  <c r="CN510" i="3"/>
  <c r="CL510" i="3"/>
  <c r="CM510" i="3" s="1"/>
  <c r="AE510" i="3" s="1"/>
  <c r="CK510" i="3"/>
  <c r="CJ510" i="3"/>
  <c r="CI510" i="3"/>
  <c r="CH510" i="3"/>
  <c r="BE510" i="3"/>
  <c r="AX510" i="3"/>
  <c r="AU510" i="3"/>
  <c r="AT510" i="3" s="1"/>
  <c r="AS510" i="3"/>
  <c r="AR510" i="3" s="1"/>
  <c r="AP510" i="3"/>
  <c r="AO510" i="3"/>
  <c r="AN510" i="3"/>
  <c r="Y510" i="3"/>
  <c r="X510" i="3"/>
  <c r="DW509" i="3"/>
  <c r="DV509" i="3"/>
  <c r="DU509" i="3"/>
  <c r="DT509" i="3"/>
  <c r="DS509" i="3"/>
  <c r="DR509" i="3"/>
  <c r="DQ509" i="3"/>
  <c r="DP509" i="3"/>
  <c r="DO509" i="3"/>
  <c r="DN509" i="3"/>
  <c r="DM509" i="3"/>
  <c r="DL509" i="3"/>
  <c r="DK509" i="3"/>
  <c r="DJ509" i="3"/>
  <c r="DI509" i="3"/>
  <c r="DF509" i="3"/>
  <c r="DE509" i="3"/>
  <c r="DD509" i="3"/>
  <c r="DC509" i="3"/>
  <c r="DB509" i="3"/>
  <c r="DA509" i="3"/>
  <c r="CO509" i="3"/>
  <c r="CN509" i="3"/>
  <c r="CL509" i="3"/>
  <c r="CM509" i="3" s="1"/>
  <c r="AE509" i="3" s="1"/>
  <c r="AH509" i="3" s="1"/>
  <c r="CK509" i="3"/>
  <c r="CJ509" i="3"/>
  <c r="CI509" i="3"/>
  <c r="CH509" i="3"/>
  <c r="BE509" i="3"/>
  <c r="AX509" i="3"/>
  <c r="AU509" i="3"/>
  <c r="AT509" i="3" s="1"/>
  <c r="AS509" i="3"/>
  <c r="AR509" i="3" s="1"/>
  <c r="AP509" i="3"/>
  <c r="AO509" i="3"/>
  <c r="AN509" i="3"/>
  <c r="Y509" i="3"/>
  <c r="X509" i="3"/>
  <c r="DW508" i="3"/>
  <c r="DV508" i="3"/>
  <c r="DU508" i="3"/>
  <c r="DT508" i="3"/>
  <c r="DS508" i="3"/>
  <c r="DR508" i="3"/>
  <c r="DQ508" i="3"/>
  <c r="DP508" i="3"/>
  <c r="DO508" i="3"/>
  <c r="DN508" i="3"/>
  <c r="DM508" i="3"/>
  <c r="DL508" i="3"/>
  <c r="DK508" i="3"/>
  <c r="DJ508" i="3"/>
  <c r="DI508" i="3"/>
  <c r="DF508" i="3"/>
  <c r="DE508" i="3"/>
  <c r="DD508" i="3"/>
  <c r="DC508" i="3"/>
  <c r="DB508" i="3"/>
  <c r="DA508" i="3"/>
  <c r="CO508" i="3"/>
  <c r="CN508" i="3"/>
  <c r="CL508" i="3"/>
  <c r="CM508" i="3" s="1"/>
  <c r="AE508" i="3" s="1"/>
  <c r="AH508" i="3" s="1"/>
  <c r="AI508" i="3" s="1"/>
  <c r="CK508" i="3"/>
  <c r="CJ508" i="3"/>
  <c r="CI508" i="3"/>
  <c r="CH508" i="3"/>
  <c r="BE508" i="3"/>
  <c r="AX508" i="3"/>
  <c r="AU508" i="3"/>
  <c r="AT508" i="3" s="1"/>
  <c r="AS508" i="3"/>
  <c r="AR508" i="3" s="1"/>
  <c r="AP508" i="3"/>
  <c r="AO508" i="3"/>
  <c r="AN508" i="3"/>
  <c r="Y508" i="3"/>
  <c r="X508" i="3"/>
  <c r="DW507" i="3"/>
  <c r="DV507" i="3"/>
  <c r="DU507" i="3"/>
  <c r="DT507" i="3"/>
  <c r="DS507" i="3"/>
  <c r="DR507" i="3"/>
  <c r="DQ507" i="3"/>
  <c r="DP507" i="3"/>
  <c r="DO507" i="3"/>
  <c r="DN507" i="3"/>
  <c r="DM507" i="3"/>
  <c r="DL507" i="3"/>
  <c r="DK507" i="3"/>
  <c r="DJ507" i="3"/>
  <c r="DI507" i="3"/>
  <c r="DF507" i="3"/>
  <c r="DE507" i="3"/>
  <c r="DD507" i="3"/>
  <c r="DC507" i="3"/>
  <c r="DB507" i="3"/>
  <c r="DA507" i="3"/>
  <c r="CO507" i="3"/>
  <c r="CN507" i="3"/>
  <c r="CL507" i="3"/>
  <c r="CM507" i="3" s="1"/>
  <c r="AE507" i="3" s="1"/>
  <c r="CK507" i="3"/>
  <c r="CJ507" i="3"/>
  <c r="CI507" i="3"/>
  <c r="CH507" i="3"/>
  <c r="BE507" i="3"/>
  <c r="AX507" i="3"/>
  <c r="AU507" i="3"/>
  <c r="AT507" i="3" s="1"/>
  <c r="AS507" i="3"/>
  <c r="AR507" i="3" s="1"/>
  <c r="AP507" i="3"/>
  <c r="AO507" i="3"/>
  <c r="AN507" i="3"/>
  <c r="Y507" i="3"/>
  <c r="X507" i="3"/>
  <c r="DW506" i="3"/>
  <c r="DV506" i="3"/>
  <c r="DU506" i="3"/>
  <c r="DT506" i="3"/>
  <c r="DS506" i="3"/>
  <c r="DR506" i="3"/>
  <c r="DQ506" i="3"/>
  <c r="DP506" i="3"/>
  <c r="DO506" i="3"/>
  <c r="DN506" i="3"/>
  <c r="DM506" i="3"/>
  <c r="DL506" i="3"/>
  <c r="DK506" i="3"/>
  <c r="DJ506" i="3"/>
  <c r="DI506" i="3"/>
  <c r="DF506" i="3"/>
  <c r="DE506" i="3"/>
  <c r="DD506" i="3"/>
  <c r="DC506" i="3"/>
  <c r="DB506" i="3"/>
  <c r="DA506" i="3"/>
  <c r="CO506" i="3"/>
  <c r="CN506" i="3"/>
  <c r="CL506" i="3"/>
  <c r="CM506" i="3" s="1"/>
  <c r="AE506" i="3" s="1"/>
  <c r="CK506" i="3"/>
  <c r="CJ506" i="3"/>
  <c r="CI506" i="3"/>
  <c r="CH506" i="3"/>
  <c r="BE506" i="3"/>
  <c r="AX506" i="3"/>
  <c r="AU506" i="3"/>
  <c r="AT506" i="3" s="1"/>
  <c r="AS506" i="3"/>
  <c r="AR506" i="3" s="1"/>
  <c r="AP506" i="3"/>
  <c r="AO506" i="3"/>
  <c r="AN506" i="3"/>
  <c r="Y506" i="3"/>
  <c r="X506" i="3"/>
  <c r="DW505" i="3"/>
  <c r="DV505" i="3"/>
  <c r="DU505" i="3"/>
  <c r="DT505" i="3"/>
  <c r="DS505" i="3"/>
  <c r="DR505" i="3"/>
  <c r="DQ505" i="3"/>
  <c r="DP505" i="3"/>
  <c r="DO505" i="3"/>
  <c r="DN505" i="3"/>
  <c r="DM505" i="3"/>
  <c r="DL505" i="3"/>
  <c r="DK505" i="3"/>
  <c r="DJ505" i="3"/>
  <c r="DI505" i="3"/>
  <c r="DF505" i="3"/>
  <c r="DE505" i="3"/>
  <c r="DD505" i="3"/>
  <c r="DC505" i="3"/>
  <c r="DB505" i="3"/>
  <c r="DA505" i="3"/>
  <c r="CO505" i="3"/>
  <c r="CN505" i="3"/>
  <c r="CL505" i="3"/>
  <c r="CM505" i="3" s="1"/>
  <c r="AE505" i="3" s="1"/>
  <c r="AH505" i="3" s="1"/>
  <c r="CK505" i="3"/>
  <c r="CJ505" i="3"/>
  <c r="CI505" i="3"/>
  <c r="CH505" i="3"/>
  <c r="BE505" i="3"/>
  <c r="AX505" i="3"/>
  <c r="AU505" i="3"/>
  <c r="AT505" i="3" s="1"/>
  <c r="AS505" i="3"/>
  <c r="AR505" i="3" s="1"/>
  <c r="AP505" i="3"/>
  <c r="AO505" i="3"/>
  <c r="AN505" i="3"/>
  <c r="Y505" i="3"/>
  <c r="X505" i="3"/>
  <c r="DW504" i="3"/>
  <c r="DV504" i="3"/>
  <c r="DU504" i="3"/>
  <c r="DT504" i="3"/>
  <c r="DS504" i="3"/>
  <c r="DR504" i="3"/>
  <c r="DQ504" i="3"/>
  <c r="DP504" i="3"/>
  <c r="DO504" i="3"/>
  <c r="DN504" i="3"/>
  <c r="DM504" i="3"/>
  <c r="DL504" i="3"/>
  <c r="DK504" i="3"/>
  <c r="DJ504" i="3"/>
  <c r="DI504" i="3"/>
  <c r="DF504" i="3"/>
  <c r="DE504" i="3"/>
  <c r="DD504" i="3"/>
  <c r="DC504" i="3"/>
  <c r="DB504" i="3"/>
  <c r="DA504" i="3"/>
  <c r="CO504" i="3"/>
  <c r="CN504" i="3"/>
  <c r="CL504" i="3"/>
  <c r="CM504" i="3" s="1"/>
  <c r="AE504" i="3" s="1"/>
  <c r="CK504" i="3"/>
  <c r="CJ504" i="3"/>
  <c r="CI504" i="3"/>
  <c r="CH504" i="3"/>
  <c r="BE504" i="3"/>
  <c r="AX504" i="3"/>
  <c r="AU504" i="3"/>
  <c r="AT504" i="3" s="1"/>
  <c r="AS504" i="3"/>
  <c r="AR504" i="3" s="1"/>
  <c r="AP504" i="3"/>
  <c r="AO504" i="3"/>
  <c r="AN504" i="3"/>
  <c r="Y504" i="3"/>
  <c r="X504" i="3"/>
  <c r="DW503" i="3"/>
  <c r="DV503" i="3"/>
  <c r="DU503" i="3"/>
  <c r="DT503" i="3"/>
  <c r="DS503" i="3"/>
  <c r="DR503" i="3"/>
  <c r="DQ503" i="3"/>
  <c r="DP503" i="3"/>
  <c r="DO503" i="3"/>
  <c r="DN503" i="3"/>
  <c r="DM503" i="3"/>
  <c r="DL503" i="3"/>
  <c r="DK503" i="3"/>
  <c r="DJ503" i="3"/>
  <c r="DI503" i="3"/>
  <c r="DF503" i="3"/>
  <c r="DE503" i="3"/>
  <c r="DD503" i="3"/>
  <c r="DC503" i="3"/>
  <c r="DB503" i="3"/>
  <c r="DA503" i="3"/>
  <c r="CO503" i="3"/>
  <c r="CN503" i="3"/>
  <c r="CL503" i="3"/>
  <c r="CM503" i="3" s="1"/>
  <c r="AE503" i="3" s="1"/>
  <c r="CK503" i="3"/>
  <c r="CJ503" i="3"/>
  <c r="CI503" i="3"/>
  <c r="CH503" i="3"/>
  <c r="BE503" i="3"/>
  <c r="AX503" i="3"/>
  <c r="AU503" i="3"/>
  <c r="AT503" i="3" s="1"/>
  <c r="AS503" i="3"/>
  <c r="AR503" i="3" s="1"/>
  <c r="AP503" i="3"/>
  <c r="AO503" i="3"/>
  <c r="AN503" i="3"/>
  <c r="Y503" i="3"/>
  <c r="X503" i="3"/>
  <c r="DW502" i="3"/>
  <c r="DV502" i="3"/>
  <c r="DU502" i="3"/>
  <c r="DT502" i="3"/>
  <c r="DS502" i="3"/>
  <c r="DR502" i="3"/>
  <c r="DQ502" i="3"/>
  <c r="DP502" i="3"/>
  <c r="DO502" i="3"/>
  <c r="DN502" i="3"/>
  <c r="DM502" i="3"/>
  <c r="DL502" i="3"/>
  <c r="DK502" i="3"/>
  <c r="DJ502" i="3"/>
  <c r="DI502" i="3"/>
  <c r="DF502" i="3"/>
  <c r="DE502" i="3"/>
  <c r="DD502" i="3"/>
  <c r="DC502" i="3"/>
  <c r="DB502" i="3"/>
  <c r="DA502" i="3"/>
  <c r="CO502" i="3"/>
  <c r="CN502" i="3"/>
  <c r="CL502" i="3"/>
  <c r="CM502" i="3" s="1"/>
  <c r="AE502" i="3" s="1"/>
  <c r="CK502" i="3"/>
  <c r="CJ502" i="3"/>
  <c r="CI502" i="3"/>
  <c r="CH502" i="3"/>
  <c r="BE502" i="3"/>
  <c r="AX502" i="3"/>
  <c r="AU502" i="3"/>
  <c r="AT502" i="3" s="1"/>
  <c r="AS502" i="3"/>
  <c r="AR502" i="3" s="1"/>
  <c r="AP502" i="3"/>
  <c r="AO502" i="3"/>
  <c r="AN502" i="3"/>
  <c r="Y502" i="3"/>
  <c r="X502" i="3"/>
  <c r="DW501" i="3"/>
  <c r="DV501" i="3"/>
  <c r="DU501" i="3"/>
  <c r="DT501" i="3"/>
  <c r="DS501" i="3"/>
  <c r="DR501" i="3"/>
  <c r="DQ501" i="3"/>
  <c r="DP501" i="3"/>
  <c r="DO501" i="3"/>
  <c r="DN501" i="3"/>
  <c r="DM501" i="3"/>
  <c r="DL501" i="3"/>
  <c r="DK501" i="3"/>
  <c r="DJ501" i="3"/>
  <c r="DI501" i="3"/>
  <c r="DF501" i="3"/>
  <c r="DE501" i="3"/>
  <c r="DD501" i="3"/>
  <c r="DC501" i="3"/>
  <c r="DB501" i="3"/>
  <c r="DA501" i="3"/>
  <c r="CO501" i="3"/>
  <c r="CN501" i="3"/>
  <c r="CL501" i="3"/>
  <c r="CM501" i="3" s="1"/>
  <c r="AE501" i="3" s="1"/>
  <c r="CK501" i="3"/>
  <c r="CJ501" i="3"/>
  <c r="CI501" i="3"/>
  <c r="CH501" i="3"/>
  <c r="BE501" i="3"/>
  <c r="AX501" i="3"/>
  <c r="AU501" i="3"/>
  <c r="AT501" i="3" s="1"/>
  <c r="AS501" i="3"/>
  <c r="AR501" i="3" s="1"/>
  <c r="AP501" i="3"/>
  <c r="AO501" i="3"/>
  <c r="AN501" i="3"/>
  <c r="Y501" i="3"/>
  <c r="X501" i="3"/>
  <c r="DW500" i="3"/>
  <c r="DV500" i="3"/>
  <c r="DU500" i="3"/>
  <c r="DT500" i="3"/>
  <c r="DS500" i="3"/>
  <c r="DR500" i="3"/>
  <c r="DQ500" i="3"/>
  <c r="DP500" i="3"/>
  <c r="DO500" i="3"/>
  <c r="DN500" i="3"/>
  <c r="DM500" i="3"/>
  <c r="DL500" i="3"/>
  <c r="DK500" i="3"/>
  <c r="DJ500" i="3"/>
  <c r="DI500" i="3"/>
  <c r="DF500" i="3"/>
  <c r="DE500" i="3"/>
  <c r="DD500" i="3"/>
  <c r="DC500" i="3"/>
  <c r="DB500" i="3"/>
  <c r="DA500" i="3"/>
  <c r="CO500" i="3"/>
  <c r="CN500" i="3"/>
  <c r="CL500" i="3"/>
  <c r="CM500" i="3" s="1"/>
  <c r="AE500" i="3" s="1"/>
  <c r="CK500" i="3"/>
  <c r="CJ500" i="3"/>
  <c r="CI500" i="3"/>
  <c r="CH500" i="3"/>
  <c r="BE500" i="3"/>
  <c r="AX500" i="3"/>
  <c r="AU500" i="3"/>
  <c r="AT500" i="3" s="1"/>
  <c r="AS500" i="3"/>
  <c r="AR500" i="3" s="1"/>
  <c r="AP500" i="3"/>
  <c r="AO500" i="3"/>
  <c r="AN500" i="3"/>
  <c r="Y500" i="3"/>
  <c r="X500" i="3"/>
  <c r="DW499" i="3"/>
  <c r="DV499" i="3"/>
  <c r="DU499" i="3"/>
  <c r="DT499" i="3"/>
  <c r="DS499" i="3"/>
  <c r="DR499" i="3"/>
  <c r="DQ499" i="3"/>
  <c r="DP499" i="3"/>
  <c r="DO499" i="3"/>
  <c r="DN499" i="3"/>
  <c r="DM499" i="3"/>
  <c r="DL499" i="3"/>
  <c r="DK499" i="3"/>
  <c r="DJ499" i="3"/>
  <c r="DI499" i="3"/>
  <c r="DF499" i="3"/>
  <c r="DE499" i="3"/>
  <c r="DD499" i="3"/>
  <c r="DC499" i="3"/>
  <c r="DB499" i="3"/>
  <c r="DA499" i="3"/>
  <c r="CO499" i="3"/>
  <c r="CN499" i="3"/>
  <c r="CL499" i="3"/>
  <c r="CM499" i="3" s="1"/>
  <c r="AE499" i="3" s="1"/>
  <c r="AH499" i="3" s="1"/>
  <c r="AI499" i="3" s="1"/>
  <c r="CK499" i="3"/>
  <c r="CJ499" i="3"/>
  <c r="CI499" i="3"/>
  <c r="CH499" i="3"/>
  <c r="BE499" i="3"/>
  <c r="AX499" i="3"/>
  <c r="AU499" i="3"/>
  <c r="AT499" i="3" s="1"/>
  <c r="AS499" i="3"/>
  <c r="AR499" i="3" s="1"/>
  <c r="AP499" i="3"/>
  <c r="AO499" i="3"/>
  <c r="AN499" i="3"/>
  <c r="Y499" i="3"/>
  <c r="X499" i="3"/>
  <c r="DW498" i="3"/>
  <c r="DV498" i="3"/>
  <c r="DU498" i="3"/>
  <c r="DT498" i="3"/>
  <c r="DS498" i="3"/>
  <c r="DR498" i="3"/>
  <c r="DQ498" i="3"/>
  <c r="DP498" i="3"/>
  <c r="DO498" i="3"/>
  <c r="DN498" i="3"/>
  <c r="DM498" i="3"/>
  <c r="DL498" i="3"/>
  <c r="DK498" i="3"/>
  <c r="DJ498" i="3"/>
  <c r="DI498" i="3"/>
  <c r="DF498" i="3"/>
  <c r="DE498" i="3"/>
  <c r="DD498" i="3"/>
  <c r="DC498" i="3"/>
  <c r="DB498" i="3"/>
  <c r="DA498" i="3"/>
  <c r="CO498" i="3"/>
  <c r="CN498" i="3"/>
  <c r="CL498" i="3"/>
  <c r="CM498" i="3" s="1"/>
  <c r="AE498" i="3" s="1"/>
  <c r="CK498" i="3"/>
  <c r="CJ498" i="3"/>
  <c r="CI498" i="3"/>
  <c r="CH498" i="3"/>
  <c r="BE498" i="3"/>
  <c r="AX498" i="3"/>
  <c r="AU498" i="3"/>
  <c r="AT498" i="3" s="1"/>
  <c r="AS498" i="3"/>
  <c r="AR498" i="3" s="1"/>
  <c r="AP498" i="3"/>
  <c r="AO498" i="3"/>
  <c r="AN498" i="3"/>
  <c r="Y498" i="3"/>
  <c r="X498" i="3"/>
  <c r="DW497" i="3"/>
  <c r="DV497" i="3"/>
  <c r="DU497" i="3"/>
  <c r="DT497" i="3"/>
  <c r="DS497" i="3"/>
  <c r="DR497" i="3"/>
  <c r="DQ497" i="3"/>
  <c r="DP497" i="3"/>
  <c r="DO497" i="3"/>
  <c r="DN497" i="3"/>
  <c r="DM497" i="3"/>
  <c r="DL497" i="3"/>
  <c r="DK497" i="3"/>
  <c r="DJ497" i="3"/>
  <c r="DI497" i="3"/>
  <c r="DF497" i="3"/>
  <c r="DE497" i="3"/>
  <c r="DD497" i="3"/>
  <c r="DC497" i="3"/>
  <c r="DB497" i="3"/>
  <c r="DA497" i="3"/>
  <c r="CO497" i="3"/>
  <c r="CN497" i="3"/>
  <c r="CL497" i="3"/>
  <c r="CM497" i="3" s="1"/>
  <c r="AE497" i="3" s="1"/>
  <c r="CK497" i="3"/>
  <c r="CJ497" i="3"/>
  <c r="CI497" i="3"/>
  <c r="CH497" i="3"/>
  <c r="BE497" i="3"/>
  <c r="AX497" i="3"/>
  <c r="AU497" i="3"/>
  <c r="AT497" i="3" s="1"/>
  <c r="AS497" i="3"/>
  <c r="AR497" i="3" s="1"/>
  <c r="AP497" i="3"/>
  <c r="AO497" i="3"/>
  <c r="AN497" i="3"/>
  <c r="Y497" i="3"/>
  <c r="X497" i="3"/>
  <c r="DW496" i="3"/>
  <c r="DV496" i="3"/>
  <c r="DU496" i="3"/>
  <c r="DT496" i="3"/>
  <c r="DS496" i="3"/>
  <c r="DR496" i="3"/>
  <c r="DQ496" i="3"/>
  <c r="DP496" i="3"/>
  <c r="DO496" i="3"/>
  <c r="DN496" i="3"/>
  <c r="DM496" i="3"/>
  <c r="DL496" i="3"/>
  <c r="DK496" i="3"/>
  <c r="DJ496" i="3"/>
  <c r="DI496" i="3"/>
  <c r="DF496" i="3"/>
  <c r="DE496" i="3"/>
  <c r="DD496" i="3"/>
  <c r="DC496" i="3"/>
  <c r="DB496" i="3"/>
  <c r="DA496" i="3"/>
  <c r="CO496" i="3"/>
  <c r="CN496" i="3"/>
  <c r="CL496" i="3"/>
  <c r="CM496" i="3" s="1"/>
  <c r="AE496" i="3" s="1"/>
  <c r="CK496" i="3"/>
  <c r="CJ496" i="3"/>
  <c r="CI496" i="3"/>
  <c r="CH496" i="3"/>
  <c r="BE496" i="3"/>
  <c r="AX496" i="3"/>
  <c r="AU496" i="3"/>
  <c r="AT496" i="3" s="1"/>
  <c r="AS496" i="3"/>
  <c r="AR496" i="3" s="1"/>
  <c r="AP496" i="3"/>
  <c r="AO496" i="3"/>
  <c r="AN496" i="3"/>
  <c r="Y496" i="3"/>
  <c r="X496" i="3"/>
  <c r="DW495" i="3"/>
  <c r="DV495" i="3"/>
  <c r="DU495" i="3"/>
  <c r="DT495" i="3"/>
  <c r="DS495" i="3"/>
  <c r="DR495" i="3"/>
  <c r="DQ495" i="3"/>
  <c r="DP495" i="3"/>
  <c r="DO495" i="3"/>
  <c r="DN495" i="3"/>
  <c r="DM495" i="3"/>
  <c r="DL495" i="3"/>
  <c r="DK495" i="3"/>
  <c r="DJ495" i="3"/>
  <c r="DI495" i="3"/>
  <c r="DF495" i="3"/>
  <c r="DE495" i="3"/>
  <c r="DD495" i="3"/>
  <c r="DC495" i="3"/>
  <c r="DB495" i="3"/>
  <c r="DA495" i="3"/>
  <c r="CO495" i="3"/>
  <c r="CN495" i="3"/>
  <c r="CL495" i="3"/>
  <c r="CM495" i="3" s="1"/>
  <c r="AE495" i="3" s="1"/>
  <c r="AH495" i="3" s="1"/>
  <c r="CK495" i="3"/>
  <c r="CJ495" i="3"/>
  <c r="CI495" i="3"/>
  <c r="CH495" i="3"/>
  <c r="BE495" i="3"/>
  <c r="AX495" i="3"/>
  <c r="AU495" i="3"/>
  <c r="AT495" i="3" s="1"/>
  <c r="AS495" i="3"/>
  <c r="AR495" i="3" s="1"/>
  <c r="AP495" i="3"/>
  <c r="AO495" i="3"/>
  <c r="AN495" i="3"/>
  <c r="Y495" i="3"/>
  <c r="X495" i="3"/>
  <c r="DW494" i="3"/>
  <c r="DV494" i="3"/>
  <c r="DU494" i="3"/>
  <c r="DT494" i="3"/>
  <c r="DS494" i="3"/>
  <c r="DR494" i="3"/>
  <c r="DQ494" i="3"/>
  <c r="DP494" i="3"/>
  <c r="DO494" i="3"/>
  <c r="DN494" i="3"/>
  <c r="DM494" i="3"/>
  <c r="DL494" i="3"/>
  <c r="DK494" i="3"/>
  <c r="DJ494" i="3"/>
  <c r="DI494" i="3"/>
  <c r="DF494" i="3"/>
  <c r="DE494" i="3"/>
  <c r="DD494" i="3"/>
  <c r="DC494" i="3"/>
  <c r="DB494" i="3"/>
  <c r="DA494" i="3"/>
  <c r="CO494" i="3"/>
  <c r="CN494" i="3"/>
  <c r="CL494" i="3"/>
  <c r="CM494" i="3" s="1"/>
  <c r="AE494" i="3" s="1"/>
  <c r="AH494" i="3" s="1"/>
  <c r="CK494" i="3"/>
  <c r="CJ494" i="3"/>
  <c r="CI494" i="3"/>
  <c r="CH494" i="3"/>
  <c r="BE494" i="3"/>
  <c r="AX494" i="3"/>
  <c r="AU494" i="3"/>
  <c r="AT494" i="3" s="1"/>
  <c r="AS494" i="3"/>
  <c r="AR494" i="3" s="1"/>
  <c r="AP494" i="3"/>
  <c r="AO494" i="3"/>
  <c r="AN494" i="3"/>
  <c r="Y494" i="3"/>
  <c r="X494" i="3"/>
  <c r="DW493" i="3"/>
  <c r="DV493" i="3"/>
  <c r="DU493" i="3"/>
  <c r="DT493" i="3"/>
  <c r="DS493" i="3"/>
  <c r="DR493" i="3"/>
  <c r="DQ493" i="3"/>
  <c r="DP493" i="3"/>
  <c r="DO493" i="3"/>
  <c r="DN493" i="3"/>
  <c r="DM493" i="3"/>
  <c r="DL493" i="3"/>
  <c r="DK493" i="3"/>
  <c r="DJ493" i="3"/>
  <c r="DI493" i="3"/>
  <c r="DF493" i="3"/>
  <c r="DE493" i="3"/>
  <c r="DD493" i="3"/>
  <c r="DC493" i="3"/>
  <c r="DB493" i="3"/>
  <c r="DA493" i="3"/>
  <c r="CO493" i="3"/>
  <c r="CN493" i="3"/>
  <c r="CL493" i="3"/>
  <c r="CM493" i="3" s="1"/>
  <c r="AE493" i="3" s="1"/>
  <c r="AH493" i="3" s="1"/>
  <c r="CK493" i="3"/>
  <c r="CJ493" i="3"/>
  <c r="CI493" i="3"/>
  <c r="CH493" i="3"/>
  <c r="BE493" i="3"/>
  <c r="AX493" i="3"/>
  <c r="AU493" i="3"/>
  <c r="AT493" i="3" s="1"/>
  <c r="AS493" i="3"/>
  <c r="AR493" i="3" s="1"/>
  <c r="AP493" i="3"/>
  <c r="AO493" i="3"/>
  <c r="AN493" i="3"/>
  <c r="Y493" i="3"/>
  <c r="X493" i="3"/>
  <c r="DW492" i="3"/>
  <c r="DV492" i="3"/>
  <c r="DU492" i="3"/>
  <c r="DT492" i="3"/>
  <c r="DS492" i="3"/>
  <c r="DR492" i="3"/>
  <c r="DQ492" i="3"/>
  <c r="DP492" i="3"/>
  <c r="DO492" i="3"/>
  <c r="DN492" i="3"/>
  <c r="DM492" i="3"/>
  <c r="DL492" i="3"/>
  <c r="DK492" i="3"/>
  <c r="DJ492" i="3"/>
  <c r="DI492" i="3"/>
  <c r="DF492" i="3"/>
  <c r="DE492" i="3"/>
  <c r="DD492" i="3"/>
  <c r="DC492" i="3"/>
  <c r="DB492" i="3"/>
  <c r="DA492" i="3"/>
  <c r="CO492" i="3"/>
  <c r="CN492" i="3"/>
  <c r="CL492" i="3"/>
  <c r="CM492" i="3" s="1"/>
  <c r="AE492" i="3" s="1"/>
  <c r="AH492" i="3" s="1"/>
  <c r="AI492" i="3" s="1"/>
  <c r="CK492" i="3"/>
  <c r="CJ492" i="3"/>
  <c r="CI492" i="3"/>
  <c r="CH492" i="3"/>
  <c r="BE492" i="3"/>
  <c r="AX492" i="3"/>
  <c r="AU492" i="3"/>
  <c r="AT492" i="3" s="1"/>
  <c r="AS492" i="3"/>
  <c r="AR492" i="3" s="1"/>
  <c r="AP492" i="3"/>
  <c r="AO492" i="3"/>
  <c r="AN492" i="3"/>
  <c r="Y492" i="3"/>
  <c r="X492" i="3"/>
  <c r="DW491" i="3"/>
  <c r="DV491" i="3"/>
  <c r="DU491" i="3"/>
  <c r="DT491" i="3"/>
  <c r="DS491" i="3"/>
  <c r="DR491" i="3"/>
  <c r="DQ491" i="3"/>
  <c r="DP491" i="3"/>
  <c r="DO491" i="3"/>
  <c r="DN491" i="3"/>
  <c r="DM491" i="3"/>
  <c r="DL491" i="3"/>
  <c r="DK491" i="3"/>
  <c r="DJ491" i="3"/>
  <c r="DI491" i="3"/>
  <c r="DF491" i="3"/>
  <c r="DE491" i="3"/>
  <c r="DD491" i="3"/>
  <c r="DC491" i="3"/>
  <c r="DB491" i="3"/>
  <c r="DA491" i="3"/>
  <c r="CO491" i="3"/>
  <c r="CN491" i="3"/>
  <c r="CL491" i="3"/>
  <c r="CM491" i="3" s="1"/>
  <c r="AE491" i="3" s="1"/>
  <c r="CK491" i="3"/>
  <c r="CJ491" i="3"/>
  <c r="CI491" i="3"/>
  <c r="CH491" i="3"/>
  <c r="BE491" i="3"/>
  <c r="AX491" i="3"/>
  <c r="AU491" i="3"/>
  <c r="AT491" i="3" s="1"/>
  <c r="AS491" i="3"/>
  <c r="AR491" i="3" s="1"/>
  <c r="AP491" i="3"/>
  <c r="AO491" i="3"/>
  <c r="AN491" i="3"/>
  <c r="Y491" i="3"/>
  <c r="X491" i="3"/>
  <c r="DW490" i="3"/>
  <c r="DV490" i="3"/>
  <c r="DU490" i="3"/>
  <c r="DT490" i="3"/>
  <c r="DS490" i="3"/>
  <c r="DR490" i="3"/>
  <c r="DQ490" i="3"/>
  <c r="DP490" i="3"/>
  <c r="DO490" i="3"/>
  <c r="DN490" i="3"/>
  <c r="DM490" i="3"/>
  <c r="DL490" i="3"/>
  <c r="DK490" i="3"/>
  <c r="DJ490" i="3"/>
  <c r="DI490" i="3"/>
  <c r="DF490" i="3"/>
  <c r="DE490" i="3"/>
  <c r="DD490" i="3"/>
  <c r="DC490" i="3"/>
  <c r="DB490" i="3"/>
  <c r="DA490" i="3"/>
  <c r="CO490" i="3"/>
  <c r="CN490" i="3"/>
  <c r="CL490" i="3"/>
  <c r="CM490" i="3" s="1"/>
  <c r="AE490" i="3" s="1"/>
  <c r="CK490" i="3"/>
  <c r="CJ490" i="3"/>
  <c r="CI490" i="3"/>
  <c r="CH490" i="3"/>
  <c r="BE490" i="3"/>
  <c r="AX490" i="3"/>
  <c r="AU490" i="3"/>
  <c r="AT490" i="3" s="1"/>
  <c r="AS490" i="3"/>
  <c r="AR490" i="3" s="1"/>
  <c r="AP490" i="3"/>
  <c r="AO490" i="3"/>
  <c r="AN490" i="3"/>
  <c r="Y490" i="3"/>
  <c r="X490" i="3"/>
  <c r="DW489" i="3"/>
  <c r="DV489" i="3"/>
  <c r="DU489" i="3"/>
  <c r="DT489" i="3"/>
  <c r="DS489" i="3"/>
  <c r="DR489" i="3"/>
  <c r="DQ489" i="3"/>
  <c r="DP489" i="3"/>
  <c r="DO489" i="3"/>
  <c r="DN489" i="3"/>
  <c r="DM489" i="3"/>
  <c r="DL489" i="3"/>
  <c r="DK489" i="3"/>
  <c r="DJ489" i="3"/>
  <c r="DI489" i="3"/>
  <c r="DF489" i="3"/>
  <c r="DE489" i="3"/>
  <c r="DD489" i="3"/>
  <c r="DC489" i="3"/>
  <c r="DB489" i="3"/>
  <c r="DA489" i="3"/>
  <c r="CO489" i="3"/>
  <c r="CN489" i="3"/>
  <c r="CL489" i="3"/>
  <c r="CM489" i="3" s="1"/>
  <c r="AE489" i="3" s="1"/>
  <c r="AH489" i="3" s="1"/>
  <c r="CK489" i="3"/>
  <c r="CJ489" i="3"/>
  <c r="CI489" i="3"/>
  <c r="CH489" i="3"/>
  <c r="BE489" i="3"/>
  <c r="AX489" i="3"/>
  <c r="AU489" i="3"/>
  <c r="AT489" i="3" s="1"/>
  <c r="AS489" i="3"/>
  <c r="AR489" i="3" s="1"/>
  <c r="AP489" i="3"/>
  <c r="AO489" i="3"/>
  <c r="AN489" i="3"/>
  <c r="Y489" i="3"/>
  <c r="X489" i="3"/>
  <c r="DW488" i="3"/>
  <c r="DV488" i="3"/>
  <c r="DU488" i="3"/>
  <c r="DT488" i="3"/>
  <c r="DS488" i="3"/>
  <c r="DR488" i="3"/>
  <c r="DQ488" i="3"/>
  <c r="DP488" i="3"/>
  <c r="DO488" i="3"/>
  <c r="DN488" i="3"/>
  <c r="DM488" i="3"/>
  <c r="DL488" i="3"/>
  <c r="DK488" i="3"/>
  <c r="DJ488" i="3"/>
  <c r="DI488" i="3"/>
  <c r="DF488" i="3"/>
  <c r="DE488" i="3"/>
  <c r="DD488" i="3"/>
  <c r="DC488" i="3"/>
  <c r="DB488" i="3"/>
  <c r="DA488" i="3"/>
  <c r="CO488" i="3"/>
  <c r="CN488" i="3"/>
  <c r="CL488" i="3"/>
  <c r="CM488" i="3" s="1"/>
  <c r="AE488" i="3" s="1"/>
  <c r="CK488" i="3"/>
  <c r="CJ488" i="3"/>
  <c r="CI488" i="3"/>
  <c r="CH488" i="3"/>
  <c r="BE488" i="3"/>
  <c r="AX488" i="3"/>
  <c r="AU488" i="3"/>
  <c r="AT488" i="3" s="1"/>
  <c r="AS488" i="3"/>
  <c r="AR488" i="3" s="1"/>
  <c r="AP488" i="3"/>
  <c r="AO488" i="3"/>
  <c r="AN488" i="3"/>
  <c r="Y488" i="3"/>
  <c r="X488" i="3"/>
  <c r="DW487" i="3"/>
  <c r="DV487" i="3"/>
  <c r="DU487" i="3"/>
  <c r="DT487" i="3"/>
  <c r="DS487" i="3"/>
  <c r="DR487" i="3"/>
  <c r="DQ487" i="3"/>
  <c r="DP487" i="3"/>
  <c r="DO487" i="3"/>
  <c r="DN487" i="3"/>
  <c r="DM487" i="3"/>
  <c r="DL487" i="3"/>
  <c r="DK487" i="3"/>
  <c r="DJ487" i="3"/>
  <c r="DI487" i="3"/>
  <c r="DF487" i="3"/>
  <c r="DE487" i="3"/>
  <c r="DD487" i="3"/>
  <c r="DC487" i="3"/>
  <c r="DB487" i="3"/>
  <c r="DA487" i="3"/>
  <c r="CO487" i="3"/>
  <c r="CN487" i="3"/>
  <c r="CL487" i="3"/>
  <c r="CM487" i="3" s="1"/>
  <c r="AE487" i="3" s="1"/>
  <c r="CK487" i="3"/>
  <c r="CJ487" i="3"/>
  <c r="CI487" i="3"/>
  <c r="CH487" i="3"/>
  <c r="BE487" i="3"/>
  <c r="AX487" i="3"/>
  <c r="AU487" i="3"/>
  <c r="AT487" i="3" s="1"/>
  <c r="AS487" i="3"/>
  <c r="AR487" i="3" s="1"/>
  <c r="AP487" i="3"/>
  <c r="AO487" i="3"/>
  <c r="AN487" i="3"/>
  <c r="Y487" i="3"/>
  <c r="X487" i="3"/>
  <c r="DW486" i="3"/>
  <c r="DV486" i="3"/>
  <c r="DU486" i="3"/>
  <c r="DT486" i="3"/>
  <c r="DS486" i="3"/>
  <c r="DR486" i="3"/>
  <c r="DQ486" i="3"/>
  <c r="DP486" i="3"/>
  <c r="DO486" i="3"/>
  <c r="DN486" i="3"/>
  <c r="DM486" i="3"/>
  <c r="DL486" i="3"/>
  <c r="DK486" i="3"/>
  <c r="DJ486" i="3"/>
  <c r="DI486" i="3"/>
  <c r="DF486" i="3"/>
  <c r="DE486" i="3"/>
  <c r="DD486" i="3"/>
  <c r="DC486" i="3"/>
  <c r="DB486" i="3"/>
  <c r="DA486" i="3"/>
  <c r="CO486" i="3"/>
  <c r="CN486" i="3"/>
  <c r="CL486" i="3"/>
  <c r="CM486" i="3" s="1"/>
  <c r="AE486" i="3" s="1"/>
  <c r="AH486" i="3" s="1"/>
  <c r="CK486" i="3"/>
  <c r="CJ486" i="3"/>
  <c r="CI486" i="3"/>
  <c r="CH486" i="3"/>
  <c r="BE486" i="3"/>
  <c r="AX486" i="3"/>
  <c r="AU486" i="3"/>
  <c r="AT486" i="3" s="1"/>
  <c r="AS486" i="3"/>
  <c r="AR486" i="3" s="1"/>
  <c r="AP486" i="3"/>
  <c r="AO486" i="3"/>
  <c r="AN486" i="3"/>
  <c r="BM486" i="3" s="1"/>
  <c r="Y486" i="3"/>
  <c r="X486" i="3"/>
  <c r="DW485" i="3"/>
  <c r="DV485" i="3"/>
  <c r="DU485" i="3"/>
  <c r="DT485" i="3"/>
  <c r="DS485" i="3"/>
  <c r="DR485" i="3"/>
  <c r="DQ485" i="3"/>
  <c r="DP485" i="3"/>
  <c r="DO485" i="3"/>
  <c r="DN485" i="3"/>
  <c r="DM485" i="3"/>
  <c r="DL485" i="3"/>
  <c r="DK485" i="3"/>
  <c r="DJ485" i="3"/>
  <c r="DI485" i="3"/>
  <c r="DF485" i="3"/>
  <c r="DE485" i="3"/>
  <c r="DD485" i="3"/>
  <c r="DC485" i="3"/>
  <c r="DB485" i="3"/>
  <c r="DA485" i="3"/>
  <c r="CO485" i="3"/>
  <c r="CN485" i="3"/>
  <c r="CL485" i="3"/>
  <c r="CM485" i="3" s="1"/>
  <c r="AE485" i="3" s="1"/>
  <c r="AH485" i="3" s="1"/>
  <c r="CK485" i="3"/>
  <c r="CJ485" i="3"/>
  <c r="CI485" i="3"/>
  <c r="CH485" i="3"/>
  <c r="BE485" i="3"/>
  <c r="AX485" i="3"/>
  <c r="AU485" i="3"/>
  <c r="AT485" i="3" s="1"/>
  <c r="AS485" i="3"/>
  <c r="AR485" i="3" s="1"/>
  <c r="AP485" i="3"/>
  <c r="AO485" i="3"/>
  <c r="AN485" i="3"/>
  <c r="Y485" i="3"/>
  <c r="X485" i="3"/>
  <c r="DW484" i="3"/>
  <c r="DV484" i="3"/>
  <c r="DU484" i="3"/>
  <c r="DT484" i="3"/>
  <c r="DS484" i="3"/>
  <c r="DR484" i="3"/>
  <c r="DQ484" i="3"/>
  <c r="DP484" i="3"/>
  <c r="DO484" i="3"/>
  <c r="DN484" i="3"/>
  <c r="DM484" i="3"/>
  <c r="DL484" i="3"/>
  <c r="DK484" i="3"/>
  <c r="DJ484" i="3"/>
  <c r="DI484" i="3"/>
  <c r="DF484" i="3"/>
  <c r="DE484" i="3"/>
  <c r="DD484" i="3"/>
  <c r="DC484" i="3"/>
  <c r="DB484" i="3"/>
  <c r="DA484" i="3"/>
  <c r="CO484" i="3"/>
  <c r="CN484" i="3"/>
  <c r="CL484" i="3"/>
  <c r="CM484" i="3" s="1"/>
  <c r="AE484" i="3" s="1"/>
  <c r="AH484" i="3" s="1"/>
  <c r="AI484" i="3" s="1"/>
  <c r="CK484" i="3"/>
  <c r="CJ484" i="3"/>
  <c r="CI484" i="3"/>
  <c r="CH484" i="3"/>
  <c r="BE484" i="3"/>
  <c r="AX484" i="3"/>
  <c r="AU484" i="3"/>
  <c r="AT484" i="3" s="1"/>
  <c r="AS484" i="3"/>
  <c r="AR484" i="3" s="1"/>
  <c r="AP484" i="3"/>
  <c r="AO484" i="3"/>
  <c r="AN484" i="3"/>
  <c r="Y484" i="3"/>
  <c r="X484" i="3"/>
  <c r="DW483" i="3"/>
  <c r="DV483" i="3"/>
  <c r="DU483" i="3"/>
  <c r="DT483" i="3"/>
  <c r="DS483" i="3"/>
  <c r="DR483" i="3"/>
  <c r="DQ483" i="3"/>
  <c r="DP483" i="3"/>
  <c r="DO483" i="3"/>
  <c r="DN483" i="3"/>
  <c r="DM483" i="3"/>
  <c r="DL483" i="3"/>
  <c r="DK483" i="3"/>
  <c r="DJ483" i="3"/>
  <c r="DI483" i="3"/>
  <c r="DF483" i="3"/>
  <c r="DE483" i="3"/>
  <c r="DD483" i="3"/>
  <c r="DC483" i="3"/>
  <c r="DB483" i="3"/>
  <c r="DA483" i="3"/>
  <c r="CO483" i="3"/>
  <c r="CN483" i="3"/>
  <c r="CL483" i="3"/>
  <c r="CM483" i="3" s="1"/>
  <c r="AE483" i="3" s="1"/>
  <c r="CK483" i="3"/>
  <c r="CJ483" i="3"/>
  <c r="CI483" i="3"/>
  <c r="CH483" i="3"/>
  <c r="BE483" i="3"/>
  <c r="AX483" i="3"/>
  <c r="AU483" i="3"/>
  <c r="AT483" i="3" s="1"/>
  <c r="AS483" i="3"/>
  <c r="AR483" i="3" s="1"/>
  <c r="AP483" i="3"/>
  <c r="AO483" i="3"/>
  <c r="AN483" i="3"/>
  <c r="Y483" i="3"/>
  <c r="X483" i="3"/>
  <c r="DW482" i="3"/>
  <c r="DV482" i="3"/>
  <c r="DU482" i="3"/>
  <c r="DT482" i="3"/>
  <c r="DS482" i="3"/>
  <c r="DR482" i="3"/>
  <c r="DQ482" i="3"/>
  <c r="DP482" i="3"/>
  <c r="DO482" i="3"/>
  <c r="DN482" i="3"/>
  <c r="DM482" i="3"/>
  <c r="DL482" i="3"/>
  <c r="DK482" i="3"/>
  <c r="DJ482" i="3"/>
  <c r="DI482" i="3"/>
  <c r="DF482" i="3"/>
  <c r="DE482" i="3"/>
  <c r="DD482" i="3"/>
  <c r="DC482" i="3"/>
  <c r="DB482" i="3"/>
  <c r="DA482" i="3"/>
  <c r="CO482" i="3"/>
  <c r="CN482" i="3"/>
  <c r="CL482" i="3"/>
  <c r="CM482" i="3" s="1"/>
  <c r="AE482" i="3" s="1"/>
  <c r="AH482" i="3" s="1"/>
  <c r="AI482" i="3" s="1"/>
  <c r="CK482" i="3"/>
  <c r="CJ482" i="3"/>
  <c r="CI482" i="3"/>
  <c r="CH482" i="3"/>
  <c r="BE482" i="3"/>
  <c r="AX482" i="3"/>
  <c r="AU482" i="3"/>
  <c r="AT482" i="3" s="1"/>
  <c r="AS482" i="3"/>
  <c r="AR482" i="3" s="1"/>
  <c r="AP482" i="3"/>
  <c r="AO482" i="3"/>
  <c r="AN482" i="3"/>
  <c r="BM482" i="3" s="1"/>
  <c r="Y482" i="3"/>
  <c r="X482" i="3"/>
  <c r="DW481" i="3"/>
  <c r="DV481" i="3"/>
  <c r="DU481" i="3"/>
  <c r="DT481" i="3"/>
  <c r="DS481" i="3"/>
  <c r="DR481" i="3"/>
  <c r="DQ481" i="3"/>
  <c r="DP481" i="3"/>
  <c r="DO481" i="3"/>
  <c r="DN481" i="3"/>
  <c r="DM481" i="3"/>
  <c r="DL481" i="3"/>
  <c r="DK481" i="3"/>
  <c r="DJ481" i="3"/>
  <c r="DI481" i="3"/>
  <c r="DF481" i="3"/>
  <c r="DE481" i="3"/>
  <c r="DD481" i="3"/>
  <c r="DC481" i="3"/>
  <c r="DB481" i="3"/>
  <c r="DA481" i="3"/>
  <c r="CO481" i="3"/>
  <c r="CN481" i="3"/>
  <c r="CL481" i="3"/>
  <c r="CM481" i="3" s="1"/>
  <c r="AE481" i="3" s="1"/>
  <c r="CK481" i="3"/>
  <c r="CJ481" i="3"/>
  <c r="CI481" i="3"/>
  <c r="CH481" i="3"/>
  <c r="BE481" i="3"/>
  <c r="AX481" i="3"/>
  <c r="AU481" i="3"/>
  <c r="AT481" i="3" s="1"/>
  <c r="AS481" i="3"/>
  <c r="AR481" i="3" s="1"/>
  <c r="AP481" i="3"/>
  <c r="AO481" i="3"/>
  <c r="AN481" i="3"/>
  <c r="Y481" i="3"/>
  <c r="X481" i="3"/>
  <c r="DW480" i="3"/>
  <c r="DV480" i="3"/>
  <c r="DU480" i="3"/>
  <c r="DT480" i="3"/>
  <c r="DS480" i="3"/>
  <c r="DR480" i="3"/>
  <c r="DQ480" i="3"/>
  <c r="DP480" i="3"/>
  <c r="DO480" i="3"/>
  <c r="DN480" i="3"/>
  <c r="DM480" i="3"/>
  <c r="DL480" i="3"/>
  <c r="DK480" i="3"/>
  <c r="DJ480" i="3"/>
  <c r="DI480" i="3"/>
  <c r="DF480" i="3"/>
  <c r="DE480" i="3"/>
  <c r="DD480" i="3"/>
  <c r="DC480" i="3"/>
  <c r="DB480" i="3"/>
  <c r="DA480" i="3"/>
  <c r="CO480" i="3"/>
  <c r="CN480" i="3"/>
  <c r="CL480" i="3"/>
  <c r="CM480" i="3" s="1"/>
  <c r="AE480" i="3" s="1"/>
  <c r="AH480" i="3" s="1"/>
  <c r="CK480" i="3"/>
  <c r="CJ480" i="3"/>
  <c r="CI480" i="3"/>
  <c r="CH480" i="3"/>
  <c r="BE480" i="3"/>
  <c r="AX480" i="3"/>
  <c r="AU480" i="3"/>
  <c r="AT480" i="3" s="1"/>
  <c r="AS480" i="3"/>
  <c r="AR480" i="3" s="1"/>
  <c r="AP480" i="3"/>
  <c r="AO480" i="3"/>
  <c r="AN480" i="3"/>
  <c r="Y480" i="3"/>
  <c r="X480" i="3"/>
  <c r="DW479" i="3"/>
  <c r="DV479" i="3"/>
  <c r="DU479" i="3"/>
  <c r="DT479" i="3"/>
  <c r="DS479" i="3"/>
  <c r="DR479" i="3"/>
  <c r="DQ479" i="3"/>
  <c r="DP479" i="3"/>
  <c r="DO479" i="3"/>
  <c r="DN479" i="3"/>
  <c r="DM479" i="3"/>
  <c r="DL479" i="3"/>
  <c r="DK479" i="3"/>
  <c r="DJ479" i="3"/>
  <c r="DI479" i="3"/>
  <c r="DF479" i="3"/>
  <c r="DE479" i="3"/>
  <c r="DD479" i="3"/>
  <c r="DC479" i="3"/>
  <c r="DB479" i="3"/>
  <c r="DA479" i="3"/>
  <c r="CO479" i="3"/>
  <c r="CN479" i="3"/>
  <c r="CL479" i="3"/>
  <c r="CM479" i="3" s="1"/>
  <c r="AE479" i="3" s="1"/>
  <c r="CK479" i="3"/>
  <c r="CJ479" i="3"/>
  <c r="CI479" i="3"/>
  <c r="CH479" i="3"/>
  <c r="BE479" i="3"/>
  <c r="AX479" i="3"/>
  <c r="AU479" i="3"/>
  <c r="AT479" i="3" s="1"/>
  <c r="AS479" i="3"/>
  <c r="AR479" i="3" s="1"/>
  <c r="AP479" i="3"/>
  <c r="AO479" i="3"/>
  <c r="AN479" i="3"/>
  <c r="Y479" i="3"/>
  <c r="X479" i="3"/>
  <c r="DW478" i="3"/>
  <c r="DV478" i="3"/>
  <c r="DU478" i="3"/>
  <c r="DT478" i="3"/>
  <c r="DS478" i="3"/>
  <c r="DR478" i="3"/>
  <c r="DQ478" i="3"/>
  <c r="DP478" i="3"/>
  <c r="DO478" i="3"/>
  <c r="DN478" i="3"/>
  <c r="DM478" i="3"/>
  <c r="DL478" i="3"/>
  <c r="DK478" i="3"/>
  <c r="DJ478" i="3"/>
  <c r="DI478" i="3"/>
  <c r="DF478" i="3"/>
  <c r="DE478" i="3"/>
  <c r="DD478" i="3"/>
  <c r="DC478" i="3"/>
  <c r="DB478" i="3"/>
  <c r="DA478" i="3"/>
  <c r="CO478" i="3"/>
  <c r="CN478" i="3"/>
  <c r="CL478" i="3"/>
  <c r="CM478" i="3" s="1"/>
  <c r="AE478" i="3" s="1"/>
  <c r="AH478" i="3" s="1"/>
  <c r="CK478" i="3"/>
  <c r="CJ478" i="3"/>
  <c r="CI478" i="3"/>
  <c r="CH478" i="3"/>
  <c r="BE478" i="3"/>
  <c r="AX478" i="3"/>
  <c r="AU478" i="3"/>
  <c r="AT478" i="3" s="1"/>
  <c r="AS478" i="3"/>
  <c r="AR478" i="3" s="1"/>
  <c r="AP478" i="3"/>
  <c r="AO478" i="3"/>
  <c r="AN478" i="3"/>
  <c r="Y478" i="3"/>
  <c r="X478" i="3"/>
  <c r="DW477" i="3"/>
  <c r="DV477" i="3"/>
  <c r="DU477" i="3"/>
  <c r="DT477" i="3"/>
  <c r="DS477" i="3"/>
  <c r="DR477" i="3"/>
  <c r="DQ477" i="3"/>
  <c r="DP477" i="3"/>
  <c r="DO477" i="3"/>
  <c r="DN477" i="3"/>
  <c r="DM477" i="3"/>
  <c r="DL477" i="3"/>
  <c r="DK477" i="3"/>
  <c r="DJ477" i="3"/>
  <c r="DI477" i="3"/>
  <c r="DF477" i="3"/>
  <c r="DE477" i="3"/>
  <c r="DD477" i="3"/>
  <c r="DC477" i="3"/>
  <c r="DB477" i="3"/>
  <c r="DA477" i="3"/>
  <c r="CO477" i="3"/>
  <c r="CN477" i="3"/>
  <c r="CL477" i="3"/>
  <c r="CM477" i="3" s="1"/>
  <c r="AE477" i="3" s="1"/>
  <c r="CK477" i="3"/>
  <c r="CJ477" i="3"/>
  <c r="CI477" i="3"/>
  <c r="CH477" i="3"/>
  <c r="BE477" i="3"/>
  <c r="AX477" i="3"/>
  <c r="AU477" i="3"/>
  <c r="AT477" i="3" s="1"/>
  <c r="AS477" i="3"/>
  <c r="AR477" i="3" s="1"/>
  <c r="AP477" i="3"/>
  <c r="AO477" i="3"/>
  <c r="AN477" i="3"/>
  <c r="Y477" i="3"/>
  <c r="X477" i="3"/>
  <c r="DW476" i="3"/>
  <c r="DV476" i="3"/>
  <c r="DU476" i="3"/>
  <c r="DT476" i="3"/>
  <c r="DS476" i="3"/>
  <c r="DR476" i="3"/>
  <c r="DQ476" i="3"/>
  <c r="DP476" i="3"/>
  <c r="DO476" i="3"/>
  <c r="DN476" i="3"/>
  <c r="DM476" i="3"/>
  <c r="DL476" i="3"/>
  <c r="DK476" i="3"/>
  <c r="DJ476" i="3"/>
  <c r="DI476" i="3"/>
  <c r="DF476" i="3"/>
  <c r="DE476" i="3"/>
  <c r="DD476" i="3"/>
  <c r="DC476" i="3"/>
  <c r="DB476" i="3"/>
  <c r="DA476" i="3"/>
  <c r="CO476" i="3"/>
  <c r="CN476" i="3"/>
  <c r="CL476" i="3"/>
  <c r="CM476" i="3" s="1"/>
  <c r="AE476" i="3" s="1"/>
  <c r="CK476" i="3"/>
  <c r="CJ476" i="3"/>
  <c r="CI476" i="3"/>
  <c r="CH476" i="3"/>
  <c r="BE476" i="3"/>
  <c r="AX476" i="3"/>
  <c r="AU476" i="3"/>
  <c r="AT476" i="3" s="1"/>
  <c r="AS476" i="3"/>
  <c r="AR476" i="3" s="1"/>
  <c r="AP476" i="3"/>
  <c r="AO476" i="3"/>
  <c r="AN476" i="3"/>
  <c r="Y476" i="3"/>
  <c r="X476" i="3"/>
  <c r="DW475" i="3"/>
  <c r="DV475" i="3"/>
  <c r="DU475" i="3"/>
  <c r="DT475" i="3"/>
  <c r="DS475" i="3"/>
  <c r="DR475" i="3"/>
  <c r="DQ475" i="3"/>
  <c r="DP475" i="3"/>
  <c r="DO475" i="3"/>
  <c r="DN475" i="3"/>
  <c r="DM475" i="3"/>
  <c r="DL475" i="3"/>
  <c r="DK475" i="3"/>
  <c r="DJ475" i="3"/>
  <c r="DI475" i="3"/>
  <c r="DF475" i="3"/>
  <c r="DE475" i="3"/>
  <c r="DD475" i="3"/>
  <c r="DC475" i="3"/>
  <c r="DB475" i="3"/>
  <c r="DA475" i="3"/>
  <c r="CO475" i="3"/>
  <c r="CN475" i="3"/>
  <c r="CL475" i="3"/>
  <c r="CM475" i="3" s="1"/>
  <c r="AE475" i="3" s="1"/>
  <c r="CK475" i="3"/>
  <c r="CJ475" i="3"/>
  <c r="CI475" i="3"/>
  <c r="CH475" i="3"/>
  <c r="BE475" i="3"/>
  <c r="AX475" i="3"/>
  <c r="AU475" i="3"/>
  <c r="AT475" i="3" s="1"/>
  <c r="AS475" i="3"/>
  <c r="AR475" i="3" s="1"/>
  <c r="AP475" i="3"/>
  <c r="AO475" i="3"/>
  <c r="AN475" i="3"/>
  <c r="Y475" i="3"/>
  <c r="X475" i="3"/>
  <c r="DW474" i="3"/>
  <c r="DV474" i="3"/>
  <c r="DU474" i="3"/>
  <c r="DT474" i="3"/>
  <c r="DS474" i="3"/>
  <c r="DR474" i="3"/>
  <c r="DQ474" i="3"/>
  <c r="DP474" i="3"/>
  <c r="DO474" i="3"/>
  <c r="DN474" i="3"/>
  <c r="DM474" i="3"/>
  <c r="DL474" i="3"/>
  <c r="DK474" i="3"/>
  <c r="DJ474" i="3"/>
  <c r="DI474" i="3"/>
  <c r="DF474" i="3"/>
  <c r="DE474" i="3"/>
  <c r="DD474" i="3"/>
  <c r="DC474" i="3"/>
  <c r="DB474" i="3"/>
  <c r="DA474" i="3"/>
  <c r="CO474" i="3"/>
  <c r="CN474" i="3"/>
  <c r="CL474" i="3"/>
  <c r="CM474" i="3" s="1"/>
  <c r="AE474" i="3" s="1"/>
  <c r="CK474" i="3"/>
  <c r="CJ474" i="3"/>
  <c r="CI474" i="3"/>
  <c r="CH474" i="3"/>
  <c r="BE474" i="3"/>
  <c r="AX474" i="3"/>
  <c r="AU474" i="3"/>
  <c r="AT474" i="3" s="1"/>
  <c r="AS474" i="3"/>
  <c r="AR474" i="3" s="1"/>
  <c r="AP474" i="3"/>
  <c r="AO474" i="3"/>
  <c r="AN474" i="3"/>
  <c r="Y474" i="3"/>
  <c r="X474" i="3"/>
  <c r="DW473" i="3"/>
  <c r="DV473" i="3"/>
  <c r="DU473" i="3"/>
  <c r="DT473" i="3"/>
  <c r="DS473" i="3"/>
  <c r="DR473" i="3"/>
  <c r="DQ473" i="3"/>
  <c r="DP473" i="3"/>
  <c r="DO473" i="3"/>
  <c r="DN473" i="3"/>
  <c r="DM473" i="3"/>
  <c r="DL473" i="3"/>
  <c r="DK473" i="3"/>
  <c r="DJ473" i="3"/>
  <c r="DI473" i="3"/>
  <c r="DF473" i="3"/>
  <c r="DE473" i="3"/>
  <c r="DD473" i="3"/>
  <c r="DC473" i="3"/>
  <c r="DB473" i="3"/>
  <c r="DA473" i="3"/>
  <c r="CO473" i="3"/>
  <c r="CN473" i="3"/>
  <c r="CL473" i="3"/>
  <c r="CM473" i="3" s="1"/>
  <c r="AE473" i="3" s="1"/>
  <c r="CK473" i="3"/>
  <c r="CJ473" i="3"/>
  <c r="CI473" i="3"/>
  <c r="CH473" i="3"/>
  <c r="BE473" i="3"/>
  <c r="AX473" i="3"/>
  <c r="AU473" i="3"/>
  <c r="AT473" i="3" s="1"/>
  <c r="AS473" i="3"/>
  <c r="AR473" i="3" s="1"/>
  <c r="AP473" i="3"/>
  <c r="AO473" i="3"/>
  <c r="AN473" i="3"/>
  <c r="Y473" i="3"/>
  <c r="X473" i="3"/>
  <c r="DW472" i="3"/>
  <c r="DV472" i="3"/>
  <c r="DU472" i="3"/>
  <c r="DT472" i="3"/>
  <c r="DS472" i="3"/>
  <c r="DR472" i="3"/>
  <c r="DQ472" i="3"/>
  <c r="DP472" i="3"/>
  <c r="DO472" i="3"/>
  <c r="DN472" i="3"/>
  <c r="DM472" i="3"/>
  <c r="DL472" i="3"/>
  <c r="DK472" i="3"/>
  <c r="DJ472" i="3"/>
  <c r="DI472" i="3"/>
  <c r="DF472" i="3"/>
  <c r="DE472" i="3"/>
  <c r="DD472" i="3"/>
  <c r="DC472" i="3"/>
  <c r="DB472" i="3"/>
  <c r="DA472" i="3"/>
  <c r="CO472" i="3"/>
  <c r="CN472" i="3"/>
  <c r="CL472" i="3"/>
  <c r="CM472" i="3" s="1"/>
  <c r="AE472" i="3" s="1"/>
  <c r="AH472" i="3" s="1"/>
  <c r="CK472" i="3"/>
  <c r="CJ472" i="3"/>
  <c r="CI472" i="3"/>
  <c r="CH472" i="3"/>
  <c r="BE472" i="3"/>
  <c r="AX472" i="3"/>
  <c r="AU472" i="3"/>
  <c r="AT472" i="3" s="1"/>
  <c r="AS472" i="3"/>
  <c r="AR472" i="3" s="1"/>
  <c r="AP472" i="3"/>
  <c r="AO472" i="3"/>
  <c r="AN472" i="3"/>
  <c r="Y472" i="3"/>
  <c r="X472" i="3"/>
  <c r="DW471" i="3"/>
  <c r="DV471" i="3"/>
  <c r="DU471" i="3"/>
  <c r="DT471" i="3"/>
  <c r="DS471" i="3"/>
  <c r="DR471" i="3"/>
  <c r="DQ471" i="3"/>
  <c r="DP471" i="3"/>
  <c r="DO471" i="3"/>
  <c r="DN471" i="3"/>
  <c r="DM471" i="3"/>
  <c r="DL471" i="3"/>
  <c r="DK471" i="3"/>
  <c r="DJ471" i="3"/>
  <c r="DI471" i="3"/>
  <c r="DF471" i="3"/>
  <c r="DE471" i="3"/>
  <c r="DD471" i="3"/>
  <c r="DC471" i="3"/>
  <c r="DB471" i="3"/>
  <c r="DA471" i="3"/>
  <c r="CO471" i="3"/>
  <c r="CN471" i="3"/>
  <c r="CL471" i="3"/>
  <c r="CM471" i="3" s="1"/>
  <c r="AE471" i="3" s="1"/>
  <c r="AH471" i="3" s="1"/>
  <c r="CK471" i="3"/>
  <c r="CJ471" i="3"/>
  <c r="CI471" i="3"/>
  <c r="CH471" i="3"/>
  <c r="BE471" i="3"/>
  <c r="AX471" i="3"/>
  <c r="AU471" i="3"/>
  <c r="AT471" i="3" s="1"/>
  <c r="AS471" i="3"/>
  <c r="AR471" i="3" s="1"/>
  <c r="AP471" i="3"/>
  <c r="AO471" i="3"/>
  <c r="AN471" i="3"/>
  <c r="Y471" i="3"/>
  <c r="X471" i="3"/>
  <c r="DW470" i="3"/>
  <c r="DV470" i="3"/>
  <c r="DU470" i="3"/>
  <c r="DT470" i="3"/>
  <c r="DS470" i="3"/>
  <c r="DR470" i="3"/>
  <c r="DQ470" i="3"/>
  <c r="DP470" i="3"/>
  <c r="DO470" i="3"/>
  <c r="DN470" i="3"/>
  <c r="DM470" i="3"/>
  <c r="DL470" i="3"/>
  <c r="DK470" i="3"/>
  <c r="DJ470" i="3"/>
  <c r="DI470" i="3"/>
  <c r="DF470" i="3"/>
  <c r="DE470" i="3"/>
  <c r="DD470" i="3"/>
  <c r="DC470" i="3"/>
  <c r="DB470" i="3"/>
  <c r="DA470" i="3"/>
  <c r="CO470" i="3"/>
  <c r="CN470" i="3"/>
  <c r="CL470" i="3"/>
  <c r="CM470" i="3" s="1"/>
  <c r="AE470" i="3" s="1"/>
  <c r="CK470" i="3"/>
  <c r="CJ470" i="3"/>
  <c r="CI470" i="3"/>
  <c r="CH470" i="3"/>
  <c r="BE470" i="3"/>
  <c r="AX470" i="3"/>
  <c r="AU470" i="3"/>
  <c r="AT470" i="3" s="1"/>
  <c r="AS470" i="3"/>
  <c r="AR470" i="3" s="1"/>
  <c r="AP470" i="3"/>
  <c r="AO470" i="3"/>
  <c r="AN470" i="3"/>
  <c r="Y470" i="3"/>
  <c r="X470" i="3"/>
  <c r="DW469" i="3"/>
  <c r="DV469" i="3"/>
  <c r="DU469" i="3"/>
  <c r="DT469" i="3"/>
  <c r="DS469" i="3"/>
  <c r="DR469" i="3"/>
  <c r="DQ469" i="3"/>
  <c r="DP469" i="3"/>
  <c r="DO469" i="3"/>
  <c r="DN469" i="3"/>
  <c r="DM469" i="3"/>
  <c r="DL469" i="3"/>
  <c r="DK469" i="3"/>
  <c r="DJ469" i="3"/>
  <c r="DI469" i="3"/>
  <c r="DF469" i="3"/>
  <c r="DE469" i="3"/>
  <c r="DD469" i="3"/>
  <c r="DC469" i="3"/>
  <c r="DB469" i="3"/>
  <c r="DA469" i="3"/>
  <c r="CO469" i="3"/>
  <c r="CN469" i="3"/>
  <c r="CL469" i="3"/>
  <c r="CM469" i="3" s="1"/>
  <c r="AE469" i="3" s="1"/>
  <c r="CK469" i="3"/>
  <c r="CJ469" i="3"/>
  <c r="CI469" i="3"/>
  <c r="CH469" i="3"/>
  <c r="BE469" i="3"/>
  <c r="AX469" i="3"/>
  <c r="AU469" i="3"/>
  <c r="AT469" i="3" s="1"/>
  <c r="AS469" i="3"/>
  <c r="AR469" i="3" s="1"/>
  <c r="AP469" i="3"/>
  <c r="AO469" i="3"/>
  <c r="AN469" i="3"/>
  <c r="Y469" i="3"/>
  <c r="X469" i="3"/>
  <c r="DW468" i="3"/>
  <c r="DV468" i="3"/>
  <c r="DU468" i="3"/>
  <c r="DT468" i="3"/>
  <c r="DS468" i="3"/>
  <c r="DR468" i="3"/>
  <c r="DQ468" i="3"/>
  <c r="DP468" i="3"/>
  <c r="DO468" i="3"/>
  <c r="DN468" i="3"/>
  <c r="DM468" i="3"/>
  <c r="DL468" i="3"/>
  <c r="DK468" i="3"/>
  <c r="DJ468" i="3"/>
  <c r="DI468" i="3"/>
  <c r="DF468" i="3"/>
  <c r="DE468" i="3"/>
  <c r="DD468" i="3"/>
  <c r="DC468" i="3"/>
  <c r="DB468" i="3"/>
  <c r="DA468" i="3"/>
  <c r="CO468" i="3"/>
  <c r="CN468" i="3"/>
  <c r="CL468" i="3"/>
  <c r="CM468" i="3" s="1"/>
  <c r="AE468" i="3" s="1"/>
  <c r="CK468" i="3"/>
  <c r="CJ468" i="3"/>
  <c r="CI468" i="3"/>
  <c r="CH468" i="3"/>
  <c r="BE468" i="3"/>
  <c r="AX468" i="3"/>
  <c r="AU468" i="3"/>
  <c r="AT468" i="3" s="1"/>
  <c r="AS468" i="3"/>
  <c r="AR468" i="3" s="1"/>
  <c r="AP468" i="3"/>
  <c r="AO468" i="3"/>
  <c r="AN468" i="3"/>
  <c r="Y468" i="3"/>
  <c r="X468" i="3"/>
  <c r="DW467" i="3"/>
  <c r="DV467" i="3"/>
  <c r="DU467" i="3"/>
  <c r="DT467" i="3"/>
  <c r="DS467" i="3"/>
  <c r="DR467" i="3"/>
  <c r="DQ467" i="3"/>
  <c r="DP467" i="3"/>
  <c r="DO467" i="3"/>
  <c r="DN467" i="3"/>
  <c r="DM467" i="3"/>
  <c r="DL467" i="3"/>
  <c r="DK467" i="3"/>
  <c r="DJ467" i="3"/>
  <c r="DI467" i="3"/>
  <c r="DF467" i="3"/>
  <c r="DE467" i="3"/>
  <c r="DD467" i="3"/>
  <c r="DC467" i="3"/>
  <c r="DB467" i="3"/>
  <c r="DA467" i="3"/>
  <c r="CO467" i="3"/>
  <c r="CN467" i="3"/>
  <c r="CL467" i="3"/>
  <c r="CM467" i="3" s="1"/>
  <c r="AE467" i="3" s="1"/>
  <c r="CK467" i="3"/>
  <c r="CJ467" i="3"/>
  <c r="CI467" i="3"/>
  <c r="CH467" i="3"/>
  <c r="BE467" i="3"/>
  <c r="AX467" i="3"/>
  <c r="AU467" i="3"/>
  <c r="AT467" i="3" s="1"/>
  <c r="AS467" i="3"/>
  <c r="AR467" i="3" s="1"/>
  <c r="AP467" i="3"/>
  <c r="AO467" i="3"/>
  <c r="AN467" i="3"/>
  <c r="Y467" i="3"/>
  <c r="X467" i="3"/>
  <c r="DW466" i="3"/>
  <c r="DV466" i="3"/>
  <c r="DU466" i="3"/>
  <c r="DT466" i="3"/>
  <c r="DS466" i="3"/>
  <c r="DR466" i="3"/>
  <c r="DQ466" i="3"/>
  <c r="DP466" i="3"/>
  <c r="DO466" i="3"/>
  <c r="DN466" i="3"/>
  <c r="DM466" i="3"/>
  <c r="DL466" i="3"/>
  <c r="DK466" i="3"/>
  <c r="DJ466" i="3"/>
  <c r="DI466" i="3"/>
  <c r="DF466" i="3"/>
  <c r="DE466" i="3"/>
  <c r="DD466" i="3"/>
  <c r="DC466" i="3"/>
  <c r="DB466" i="3"/>
  <c r="DA466" i="3"/>
  <c r="CO466" i="3"/>
  <c r="CN466" i="3"/>
  <c r="CL466" i="3"/>
  <c r="CM466" i="3" s="1"/>
  <c r="AE466" i="3" s="1"/>
  <c r="AH466" i="3" s="1"/>
  <c r="AI466" i="3" s="1"/>
  <c r="CK466" i="3"/>
  <c r="CJ466" i="3"/>
  <c r="CI466" i="3"/>
  <c r="CH466" i="3"/>
  <c r="BE466" i="3"/>
  <c r="AX466" i="3"/>
  <c r="AU466" i="3"/>
  <c r="AT466" i="3" s="1"/>
  <c r="AS466" i="3"/>
  <c r="AR466" i="3" s="1"/>
  <c r="AP466" i="3"/>
  <c r="AO466" i="3"/>
  <c r="AN466" i="3"/>
  <c r="Y466" i="3"/>
  <c r="X466" i="3"/>
  <c r="DW465" i="3"/>
  <c r="DV465" i="3"/>
  <c r="DU465" i="3"/>
  <c r="DT465" i="3"/>
  <c r="DS465" i="3"/>
  <c r="DR465" i="3"/>
  <c r="DQ465" i="3"/>
  <c r="DP465" i="3"/>
  <c r="DO465" i="3"/>
  <c r="DN465" i="3"/>
  <c r="DM465" i="3"/>
  <c r="DL465" i="3"/>
  <c r="DK465" i="3"/>
  <c r="DJ465" i="3"/>
  <c r="DI465" i="3"/>
  <c r="DF465" i="3"/>
  <c r="DE465" i="3"/>
  <c r="DD465" i="3"/>
  <c r="DC465" i="3"/>
  <c r="DB465" i="3"/>
  <c r="DA465" i="3"/>
  <c r="CO465" i="3"/>
  <c r="CN465" i="3"/>
  <c r="CL465" i="3"/>
  <c r="CM465" i="3" s="1"/>
  <c r="AE465" i="3" s="1"/>
  <c r="AH465" i="3" s="1"/>
  <c r="CK465" i="3"/>
  <c r="CJ465" i="3"/>
  <c r="CI465" i="3"/>
  <c r="CH465" i="3"/>
  <c r="BE465" i="3"/>
  <c r="AX465" i="3"/>
  <c r="AU465" i="3"/>
  <c r="AT465" i="3" s="1"/>
  <c r="AS465" i="3"/>
  <c r="AR465" i="3" s="1"/>
  <c r="AP465" i="3"/>
  <c r="AO465" i="3"/>
  <c r="AN465" i="3"/>
  <c r="Y465" i="3"/>
  <c r="X465" i="3"/>
  <c r="DW464" i="3"/>
  <c r="DV464" i="3"/>
  <c r="DU464" i="3"/>
  <c r="DT464" i="3"/>
  <c r="DS464" i="3"/>
  <c r="DR464" i="3"/>
  <c r="DQ464" i="3"/>
  <c r="DP464" i="3"/>
  <c r="DO464" i="3"/>
  <c r="DN464" i="3"/>
  <c r="DM464" i="3"/>
  <c r="DL464" i="3"/>
  <c r="DK464" i="3"/>
  <c r="DJ464" i="3"/>
  <c r="DI464" i="3"/>
  <c r="DF464" i="3"/>
  <c r="DE464" i="3"/>
  <c r="DD464" i="3"/>
  <c r="DC464" i="3"/>
  <c r="DB464" i="3"/>
  <c r="DA464" i="3"/>
  <c r="CO464" i="3"/>
  <c r="CN464" i="3"/>
  <c r="CL464" i="3"/>
  <c r="CM464" i="3" s="1"/>
  <c r="AE464" i="3" s="1"/>
  <c r="CK464" i="3"/>
  <c r="CJ464" i="3"/>
  <c r="CI464" i="3"/>
  <c r="CH464" i="3"/>
  <c r="BE464" i="3"/>
  <c r="AX464" i="3"/>
  <c r="AU464" i="3"/>
  <c r="AT464" i="3" s="1"/>
  <c r="AS464" i="3"/>
  <c r="AR464" i="3" s="1"/>
  <c r="AP464" i="3"/>
  <c r="AO464" i="3"/>
  <c r="AN464" i="3"/>
  <c r="Y464" i="3"/>
  <c r="X464" i="3"/>
  <c r="DW463" i="3"/>
  <c r="DV463" i="3"/>
  <c r="DU463" i="3"/>
  <c r="DT463" i="3"/>
  <c r="DS463" i="3"/>
  <c r="DR463" i="3"/>
  <c r="DQ463" i="3"/>
  <c r="DP463" i="3"/>
  <c r="DO463" i="3"/>
  <c r="DN463" i="3"/>
  <c r="DM463" i="3"/>
  <c r="DL463" i="3"/>
  <c r="DK463" i="3"/>
  <c r="DJ463" i="3"/>
  <c r="DI463" i="3"/>
  <c r="DF463" i="3"/>
  <c r="DE463" i="3"/>
  <c r="DD463" i="3"/>
  <c r="DC463" i="3"/>
  <c r="DB463" i="3"/>
  <c r="DA463" i="3"/>
  <c r="CO463" i="3"/>
  <c r="CN463" i="3"/>
  <c r="CL463" i="3"/>
  <c r="CM463" i="3" s="1"/>
  <c r="AE463" i="3" s="1"/>
  <c r="AH463" i="3" s="1"/>
  <c r="CK463" i="3"/>
  <c r="CJ463" i="3"/>
  <c r="CI463" i="3"/>
  <c r="CH463" i="3"/>
  <c r="BE463" i="3"/>
  <c r="AX463" i="3"/>
  <c r="AU463" i="3"/>
  <c r="AT463" i="3" s="1"/>
  <c r="AS463" i="3"/>
  <c r="AR463" i="3" s="1"/>
  <c r="AP463" i="3"/>
  <c r="AO463" i="3"/>
  <c r="AN463" i="3"/>
  <c r="Y463" i="3"/>
  <c r="X463" i="3"/>
  <c r="DW462" i="3"/>
  <c r="DV462" i="3"/>
  <c r="DU462" i="3"/>
  <c r="DT462" i="3"/>
  <c r="DS462" i="3"/>
  <c r="DR462" i="3"/>
  <c r="DQ462" i="3"/>
  <c r="DP462" i="3"/>
  <c r="DO462" i="3"/>
  <c r="DN462" i="3"/>
  <c r="DM462" i="3"/>
  <c r="DL462" i="3"/>
  <c r="DK462" i="3"/>
  <c r="DJ462" i="3"/>
  <c r="DI462" i="3"/>
  <c r="DF462" i="3"/>
  <c r="DE462" i="3"/>
  <c r="DD462" i="3"/>
  <c r="DC462" i="3"/>
  <c r="DB462" i="3"/>
  <c r="DA462" i="3"/>
  <c r="CO462" i="3"/>
  <c r="CN462" i="3"/>
  <c r="CL462" i="3"/>
  <c r="CM462" i="3" s="1"/>
  <c r="AE462" i="3" s="1"/>
  <c r="CK462" i="3"/>
  <c r="CJ462" i="3"/>
  <c r="CI462" i="3"/>
  <c r="CH462" i="3"/>
  <c r="BE462" i="3"/>
  <c r="AX462" i="3"/>
  <c r="AU462" i="3"/>
  <c r="AT462" i="3" s="1"/>
  <c r="AS462" i="3"/>
  <c r="AR462" i="3" s="1"/>
  <c r="AP462" i="3"/>
  <c r="AO462" i="3"/>
  <c r="AN462" i="3"/>
  <c r="Y462" i="3"/>
  <c r="X462" i="3"/>
  <c r="DW461" i="3"/>
  <c r="DV461" i="3"/>
  <c r="DU461" i="3"/>
  <c r="DT461" i="3"/>
  <c r="DS461" i="3"/>
  <c r="DR461" i="3"/>
  <c r="DQ461" i="3"/>
  <c r="DP461" i="3"/>
  <c r="DO461" i="3"/>
  <c r="DN461" i="3"/>
  <c r="DM461" i="3"/>
  <c r="DL461" i="3"/>
  <c r="DK461" i="3"/>
  <c r="DJ461" i="3"/>
  <c r="DI461" i="3"/>
  <c r="DF461" i="3"/>
  <c r="DE461" i="3"/>
  <c r="DD461" i="3"/>
  <c r="DC461" i="3"/>
  <c r="DB461" i="3"/>
  <c r="DA461" i="3"/>
  <c r="CO461" i="3"/>
  <c r="CN461" i="3"/>
  <c r="CL461" i="3"/>
  <c r="CM461" i="3" s="1"/>
  <c r="AE461" i="3" s="1"/>
  <c r="AH461" i="3" s="1"/>
  <c r="AI461" i="3" s="1"/>
  <c r="CK461" i="3"/>
  <c r="CJ461" i="3"/>
  <c r="CI461" i="3"/>
  <c r="CH461" i="3"/>
  <c r="BE461" i="3"/>
  <c r="AX461" i="3"/>
  <c r="AU461" i="3"/>
  <c r="AT461" i="3" s="1"/>
  <c r="AS461" i="3"/>
  <c r="AR461" i="3" s="1"/>
  <c r="AP461" i="3"/>
  <c r="AO461" i="3"/>
  <c r="AN461" i="3"/>
  <c r="Y461" i="3"/>
  <c r="X461" i="3"/>
  <c r="DW460" i="3"/>
  <c r="DV460" i="3"/>
  <c r="DU460" i="3"/>
  <c r="DT460" i="3"/>
  <c r="DS460" i="3"/>
  <c r="DR460" i="3"/>
  <c r="DQ460" i="3"/>
  <c r="DP460" i="3"/>
  <c r="DO460" i="3"/>
  <c r="DN460" i="3"/>
  <c r="DM460" i="3"/>
  <c r="DL460" i="3"/>
  <c r="DK460" i="3"/>
  <c r="DJ460" i="3"/>
  <c r="DI460" i="3"/>
  <c r="DF460" i="3"/>
  <c r="DE460" i="3"/>
  <c r="DD460" i="3"/>
  <c r="DC460" i="3"/>
  <c r="DB460" i="3"/>
  <c r="DA460" i="3"/>
  <c r="CO460" i="3"/>
  <c r="CN460" i="3"/>
  <c r="CL460" i="3"/>
  <c r="CM460" i="3" s="1"/>
  <c r="AE460" i="3" s="1"/>
  <c r="CK460" i="3"/>
  <c r="CJ460" i="3"/>
  <c r="CI460" i="3"/>
  <c r="CH460" i="3"/>
  <c r="BE460" i="3"/>
  <c r="AX460" i="3"/>
  <c r="AU460" i="3"/>
  <c r="AT460" i="3" s="1"/>
  <c r="AS460" i="3"/>
  <c r="AR460" i="3" s="1"/>
  <c r="AP460" i="3"/>
  <c r="AO460" i="3"/>
  <c r="AN460" i="3"/>
  <c r="AM460" i="3" s="1"/>
  <c r="Y460" i="3"/>
  <c r="X460" i="3"/>
  <c r="DW459" i="3"/>
  <c r="DV459" i="3"/>
  <c r="DU459" i="3"/>
  <c r="DT459" i="3"/>
  <c r="DS459" i="3"/>
  <c r="DR459" i="3"/>
  <c r="DQ459" i="3"/>
  <c r="DP459" i="3"/>
  <c r="DO459" i="3"/>
  <c r="DN459" i="3"/>
  <c r="DM459" i="3"/>
  <c r="DL459" i="3"/>
  <c r="DK459" i="3"/>
  <c r="DJ459" i="3"/>
  <c r="DI459" i="3"/>
  <c r="DF459" i="3"/>
  <c r="DE459" i="3"/>
  <c r="DD459" i="3"/>
  <c r="DC459" i="3"/>
  <c r="DB459" i="3"/>
  <c r="DA459" i="3"/>
  <c r="CO459" i="3"/>
  <c r="CN459" i="3"/>
  <c r="CL459" i="3"/>
  <c r="CM459" i="3" s="1"/>
  <c r="AE459" i="3" s="1"/>
  <c r="AH459" i="3" s="1"/>
  <c r="AI459" i="3" s="1"/>
  <c r="CK459" i="3"/>
  <c r="CJ459" i="3"/>
  <c r="CI459" i="3"/>
  <c r="CH459" i="3"/>
  <c r="BE459" i="3"/>
  <c r="AX459" i="3"/>
  <c r="AU459" i="3"/>
  <c r="AT459" i="3" s="1"/>
  <c r="AS459" i="3"/>
  <c r="AR459" i="3" s="1"/>
  <c r="AP459" i="3"/>
  <c r="AO459" i="3"/>
  <c r="AN459" i="3"/>
  <c r="Y459" i="3"/>
  <c r="X459" i="3"/>
  <c r="DW458" i="3"/>
  <c r="DV458" i="3"/>
  <c r="DU458" i="3"/>
  <c r="DT458" i="3"/>
  <c r="DS458" i="3"/>
  <c r="DR458" i="3"/>
  <c r="DQ458" i="3"/>
  <c r="DP458" i="3"/>
  <c r="DO458" i="3"/>
  <c r="DN458" i="3"/>
  <c r="DM458" i="3"/>
  <c r="DL458" i="3"/>
  <c r="DK458" i="3"/>
  <c r="DJ458" i="3"/>
  <c r="DI458" i="3"/>
  <c r="DF458" i="3"/>
  <c r="DE458" i="3"/>
  <c r="DD458" i="3"/>
  <c r="DC458" i="3"/>
  <c r="DB458" i="3"/>
  <c r="DA458" i="3"/>
  <c r="CO458" i="3"/>
  <c r="CN458" i="3"/>
  <c r="CL458" i="3"/>
  <c r="CM458" i="3" s="1"/>
  <c r="AE458" i="3" s="1"/>
  <c r="CK458" i="3"/>
  <c r="CJ458" i="3"/>
  <c r="CI458" i="3"/>
  <c r="CH458" i="3"/>
  <c r="BE458" i="3"/>
  <c r="AX458" i="3"/>
  <c r="AU458" i="3"/>
  <c r="AT458" i="3" s="1"/>
  <c r="AS458" i="3"/>
  <c r="AR458" i="3" s="1"/>
  <c r="AP458" i="3"/>
  <c r="AO458" i="3"/>
  <c r="AN458" i="3"/>
  <c r="Y458" i="3"/>
  <c r="X458" i="3"/>
  <c r="DW457" i="3"/>
  <c r="DV457" i="3"/>
  <c r="DU457" i="3"/>
  <c r="DT457" i="3"/>
  <c r="DS457" i="3"/>
  <c r="DR457" i="3"/>
  <c r="DQ457" i="3"/>
  <c r="DP457" i="3"/>
  <c r="DO457" i="3"/>
  <c r="DN457" i="3"/>
  <c r="DM457" i="3"/>
  <c r="DL457" i="3"/>
  <c r="DK457" i="3"/>
  <c r="DJ457" i="3"/>
  <c r="DI457" i="3"/>
  <c r="DF457" i="3"/>
  <c r="DE457" i="3"/>
  <c r="DD457" i="3"/>
  <c r="DC457" i="3"/>
  <c r="DB457" i="3"/>
  <c r="DA457" i="3"/>
  <c r="CO457" i="3"/>
  <c r="CN457" i="3"/>
  <c r="CL457" i="3"/>
  <c r="CM457" i="3" s="1"/>
  <c r="AE457" i="3" s="1"/>
  <c r="CK457" i="3"/>
  <c r="CJ457" i="3"/>
  <c r="CI457" i="3"/>
  <c r="CH457" i="3"/>
  <c r="BE457" i="3"/>
  <c r="AX457" i="3"/>
  <c r="AU457" i="3"/>
  <c r="AT457" i="3" s="1"/>
  <c r="AS457" i="3"/>
  <c r="AR457" i="3" s="1"/>
  <c r="AP457" i="3"/>
  <c r="AO457" i="3"/>
  <c r="AN457" i="3"/>
  <c r="AM457" i="3" s="1"/>
  <c r="Y457" i="3"/>
  <c r="X457" i="3"/>
  <c r="DW456" i="3"/>
  <c r="DV456" i="3"/>
  <c r="DU456" i="3"/>
  <c r="DT456" i="3"/>
  <c r="DS456" i="3"/>
  <c r="DR456" i="3"/>
  <c r="DQ456" i="3"/>
  <c r="DP456" i="3"/>
  <c r="DO456" i="3"/>
  <c r="DN456" i="3"/>
  <c r="DM456" i="3"/>
  <c r="DL456" i="3"/>
  <c r="DK456" i="3"/>
  <c r="DJ456" i="3"/>
  <c r="DI456" i="3"/>
  <c r="DF456" i="3"/>
  <c r="DE456" i="3"/>
  <c r="DD456" i="3"/>
  <c r="DC456" i="3"/>
  <c r="DB456" i="3"/>
  <c r="DA456" i="3"/>
  <c r="CO456" i="3"/>
  <c r="CN456" i="3"/>
  <c r="CL456" i="3"/>
  <c r="CM456" i="3" s="1"/>
  <c r="AE456" i="3" s="1"/>
  <c r="CK456" i="3"/>
  <c r="CJ456" i="3"/>
  <c r="CI456" i="3"/>
  <c r="CH456" i="3"/>
  <c r="BE456" i="3"/>
  <c r="AX456" i="3"/>
  <c r="AU456" i="3"/>
  <c r="AT456" i="3" s="1"/>
  <c r="AS456" i="3"/>
  <c r="AR456" i="3" s="1"/>
  <c r="AP456" i="3"/>
  <c r="AO456" i="3"/>
  <c r="AN456" i="3"/>
  <c r="AM456" i="3" s="1"/>
  <c r="Y456" i="3"/>
  <c r="X456" i="3"/>
  <c r="DW455" i="3"/>
  <c r="DV455" i="3"/>
  <c r="DU455" i="3"/>
  <c r="DT455" i="3"/>
  <c r="DS455" i="3"/>
  <c r="DR455" i="3"/>
  <c r="DQ455" i="3"/>
  <c r="DP455" i="3"/>
  <c r="DO455" i="3"/>
  <c r="DN455" i="3"/>
  <c r="DM455" i="3"/>
  <c r="DL455" i="3"/>
  <c r="DK455" i="3"/>
  <c r="DJ455" i="3"/>
  <c r="DI455" i="3"/>
  <c r="DF455" i="3"/>
  <c r="DE455" i="3"/>
  <c r="DD455" i="3"/>
  <c r="DC455" i="3"/>
  <c r="DB455" i="3"/>
  <c r="DA455" i="3"/>
  <c r="CO455" i="3"/>
  <c r="CN455" i="3"/>
  <c r="CL455" i="3"/>
  <c r="CM455" i="3" s="1"/>
  <c r="AE455" i="3" s="1"/>
  <c r="CK455" i="3"/>
  <c r="CJ455" i="3"/>
  <c r="CI455" i="3"/>
  <c r="CH455" i="3"/>
  <c r="BE455" i="3"/>
  <c r="AX455" i="3"/>
  <c r="AU455" i="3"/>
  <c r="AT455" i="3" s="1"/>
  <c r="AS455" i="3"/>
  <c r="AR455" i="3" s="1"/>
  <c r="AP455" i="3"/>
  <c r="AO455" i="3"/>
  <c r="AN455" i="3"/>
  <c r="Y455" i="3"/>
  <c r="X455" i="3"/>
  <c r="DW454" i="3"/>
  <c r="DV454" i="3"/>
  <c r="DU454" i="3"/>
  <c r="DT454" i="3"/>
  <c r="DS454" i="3"/>
  <c r="DR454" i="3"/>
  <c r="DQ454" i="3"/>
  <c r="DP454" i="3"/>
  <c r="DO454" i="3"/>
  <c r="DN454" i="3"/>
  <c r="DM454" i="3"/>
  <c r="DL454" i="3"/>
  <c r="DK454" i="3"/>
  <c r="DJ454" i="3"/>
  <c r="DI454" i="3"/>
  <c r="DF454" i="3"/>
  <c r="DE454" i="3"/>
  <c r="DD454" i="3"/>
  <c r="DC454" i="3"/>
  <c r="DB454" i="3"/>
  <c r="DA454" i="3"/>
  <c r="CO454" i="3"/>
  <c r="CN454" i="3"/>
  <c r="CL454" i="3"/>
  <c r="CM454" i="3" s="1"/>
  <c r="AE454" i="3" s="1"/>
  <c r="AH454" i="3" s="1"/>
  <c r="CK454" i="3"/>
  <c r="CJ454" i="3"/>
  <c r="CI454" i="3"/>
  <c r="CH454" i="3"/>
  <c r="BE454" i="3"/>
  <c r="AX454" i="3"/>
  <c r="AU454" i="3"/>
  <c r="AT454" i="3" s="1"/>
  <c r="AS454" i="3"/>
  <c r="AR454" i="3" s="1"/>
  <c r="AP454" i="3"/>
  <c r="AO454" i="3"/>
  <c r="AN454" i="3"/>
  <c r="Y454" i="3"/>
  <c r="X454" i="3"/>
  <c r="DW453" i="3"/>
  <c r="DV453" i="3"/>
  <c r="DU453" i="3"/>
  <c r="DT453" i="3"/>
  <c r="DS453" i="3"/>
  <c r="DR453" i="3"/>
  <c r="DQ453" i="3"/>
  <c r="DP453" i="3"/>
  <c r="DO453" i="3"/>
  <c r="DN453" i="3"/>
  <c r="DM453" i="3"/>
  <c r="DL453" i="3"/>
  <c r="DK453" i="3"/>
  <c r="DJ453" i="3"/>
  <c r="DI453" i="3"/>
  <c r="DF453" i="3"/>
  <c r="DE453" i="3"/>
  <c r="DD453" i="3"/>
  <c r="DC453" i="3"/>
  <c r="DB453" i="3"/>
  <c r="DA453" i="3"/>
  <c r="CO453" i="3"/>
  <c r="CN453" i="3"/>
  <c r="CL453" i="3"/>
  <c r="CM453" i="3" s="1"/>
  <c r="AE453" i="3" s="1"/>
  <c r="AH453" i="3" s="1"/>
  <c r="AI453" i="3" s="1"/>
  <c r="CK453" i="3"/>
  <c r="CJ453" i="3"/>
  <c r="CI453" i="3"/>
  <c r="CH453" i="3"/>
  <c r="BE453" i="3"/>
  <c r="AX453" i="3"/>
  <c r="AU453" i="3"/>
  <c r="AT453" i="3" s="1"/>
  <c r="AS453" i="3"/>
  <c r="AR453" i="3" s="1"/>
  <c r="AP453" i="3"/>
  <c r="AO453" i="3"/>
  <c r="AN453" i="3"/>
  <c r="Y453" i="3"/>
  <c r="X453" i="3"/>
  <c r="DW452" i="3"/>
  <c r="DV452" i="3"/>
  <c r="DU452" i="3"/>
  <c r="DT452" i="3"/>
  <c r="DS452" i="3"/>
  <c r="DR452" i="3"/>
  <c r="DQ452" i="3"/>
  <c r="DP452" i="3"/>
  <c r="DO452" i="3"/>
  <c r="DN452" i="3"/>
  <c r="DM452" i="3"/>
  <c r="DL452" i="3"/>
  <c r="DK452" i="3"/>
  <c r="DJ452" i="3"/>
  <c r="DI452" i="3"/>
  <c r="DF452" i="3"/>
  <c r="DE452" i="3"/>
  <c r="DD452" i="3"/>
  <c r="DC452" i="3"/>
  <c r="DB452" i="3"/>
  <c r="DA452" i="3"/>
  <c r="CO452" i="3"/>
  <c r="CN452" i="3"/>
  <c r="CL452" i="3"/>
  <c r="CM452" i="3" s="1"/>
  <c r="AE452" i="3" s="1"/>
  <c r="CK452" i="3"/>
  <c r="CJ452" i="3"/>
  <c r="CI452" i="3"/>
  <c r="CH452" i="3"/>
  <c r="BE452" i="3"/>
  <c r="AX452" i="3"/>
  <c r="AU452" i="3"/>
  <c r="AT452" i="3" s="1"/>
  <c r="AS452" i="3"/>
  <c r="AR452" i="3" s="1"/>
  <c r="AP452" i="3"/>
  <c r="AO452" i="3"/>
  <c r="AN452" i="3"/>
  <c r="Y452" i="3"/>
  <c r="X452" i="3"/>
  <c r="DW451" i="3"/>
  <c r="DV451" i="3"/>
  <c r="DU451" i="3"/>
  <c r="DT451" i="3"/>
  <c r="DS451" i="3"/>
  <c r="DR451" i="3"/>
  <c r="DQ451" i="3"/>
  <c r="DP451" i="3"/>
  <c r="DO451" i="3"/>
  <c r="DN451" i="3"/>
  <c r="DM451" i="3"/>
  <c r="DL451" i="3"/>
  <c r="DK451" i="3"/>
  <c r="DJ451" i="3"/>
  <c r="DI451" i="3"/>
  <c r="DF451" i="3"/>
  <c r="DE451" i="3"/>
  <c r="DD451" i="3"/>
  <c r="DC451" i="3"/>
  <c r="DB451" i="3"/>
  <c r="DA451" i="3"/>
  <c r="CO451" i="3"/>
  <c r="CN451" i="3"/>
  <c r="CL451" i="3"/>
  <c r="CM451" i="3" s="1"/>
  <c r="AE451" i="3" s="1"/>
  <c r="AH451" i="3" s="1"/>
  <c r="AI451" i="3" s="1"/>
  <c r="CK451" i="3"/>
  <c r="CJ451" i="3"/>
  <c r="CI451" i="3"/>
  <c r="CH451" i="3"/>
  <c r="BE451" i="3"/>
  <c r="AX451" i="3"/>
  <c r="AU451" i="3"/>
  <c r="AT451" i="3" s="1"/>
  <c r="AS451" i="3"/>
  <c r="AR451" i="3" s="1"/>
  <c r="AP451" i="3"/>
  <c r="AO451" i="3"/>
  <c r="AN451" i="3"/>
  <c r="Y451" i="3"/>
  <c r="X451" i="3"/>
  <c r="DW450" i="3"/>
  <c r="DV450" i="3"/>
  <c r="DU450" i="3"/>
  <c r="DT450" i="3"/>
  <c r="DS450" i="3"/>
  <c r="DR450" i="3"/>
  <c r="DQ450" i="3"/>
  <c r="DP450" i="3"/>
  <c r="DO450" i="3"/>
  <c r="DN450" i="3"/>
  <c r="DM450" i="3"/>
  <c r="DL450" i="3"/>
  <c r="DK450" i="3"/>
  <c r="DJ450" i="3"/>
  <c r="DI450" i="3"/>
  <c r="DF450" i="3"/>
  <c r="DE450" i="3"/>
  <c r="DD450" i="3"/>
  <c r="DC450" i="3"/>
  <c r="DB450" i="3"/>
  <c r="DA450" i="3"/>
  <c r="CO450" i="3"/>
  <c r="CN450" i="3"/>
  <c r="CL450" i="3"/>
  <c r="CM450" i="3" s="1"/>
  <c r="AE450" i="3" s="1"/>
  <c r="CK450" i="3"/>
  <c r="CJ450" i="3"/>
  <c r="CI450" i="3"/>
  <c r="CH450" i="3"/>
  <c r="BE450" i="3"/>
  <c r="AX450" i="3"/>
  <c r="AU450" i="3"/>
  <c r="AT450" i="3" s="1"/>
  <c r="AS450" i="3"/>
  <c r="AR450" i="3" s="1"/>
  <c r="AP450" i="3"/>
  <c r="AO450" i="3"/>
  <c r="AN450" i="3"/>
  <c r="Y450" i="3"/>
  <c r="X450" i="3"/>
  <c r="DW449" i="3"/>
  <c r="DV449" i="3"/>
  <c r="DU449" i="3"/>
  <c r="DT449" i="3"/>
  <c r="DS449" i="3"/>
  <c r="DR449" i="3"/>
  <c r="DQ449" i="3"/>
  <c r="DP449" i="3"/>
  <c r="DO449" i="3"/>
  <c r="DN449" i="3"/>
  <c r="DM449" i="3"/>
  <c r="DL449" i="3"/>
  <c r="DK449" i="3"/>
  <c r="DJ449" i="3"/>
  <c r="DI449" i="3"/>
  <c r="DF449" i="3"/>
  <c r="DE449" i="3"/>
  <c r="DD449" i="3"/>
  <c r="DC449" i="3"/>
  <c r="DB449" i="3"/>
  <c r="DA449" i="3"/>
  <c r="CO449" i="3"/>
  <c r="CN449" i="3"/>
  <c r="CL449" i="3"/>
  <c r="CM449" i="3" s="1"/>
  <c r="AE449" i="3" s="1"/>
  <c r="AH449" i="3" s="1"/>
  <c r="CK449" i="3"/>
  <c r="CJ449" i="3"/>
  <c r="CI449" i="3"/>
  <c r="CH449" i="3"/>
  <c r="BE449" i="3"/>
  <c r="AX449" i="3"/>
  <c r="AU449" i="3"/>
  <c r="AT449" i="3" s="1"/>
  <c r="AS449" i="3"/>
  <c r="AR449" i="3" s="1"/>
  <c r="AP449" i="3"/>
  <c r="AO449" i="3"/>
  <c r="AN449" i="3"/>
  <c r="Y449" i="3"/>
  <c r="X449" i="3"/>
  <c r="DW448" i="3"/>
  <c r="DV448" i="3"/>
  <c r="DU448" i="3"/>
  <c r="DT448" i="3"/>
  <c r="DS448" i="3"/>
  <c r="DR448" i="3"/>
  <c r="DQ448" i="3"/>
  <c r="DP448" i="3"/>
  <c r="DO448" i="3"/>
  <c r="DN448" i="3"/>
  <c r="DM448" i="3"/>
  <c r="DL448" i="3"/>
  <c r="DK448" i="3"/>
  <c r="DJ448" i="3"/>
  <c r="DI448" i="3"/>
  <c r="DF448" i="3"/>
  <c r="DE448" i="3"/>
  <c r="DD448" i="3"/>
  <c r="DC448" i="3"/>
  <c r="DB448" i="3"/>
  <c r="DA448" i="3"/>
  <c r="CO448" i="3"/>
  <c r="CN448" i="3"/>
  <c r="CL448" i="3"/>
  <c r="CM448" i="3" s="1"/>
  <c r="AE448" i="3" s="1"/>
  <c r="CK448" i="3"/>
  <c r="CJ448" i="3"/>
  <c r="CI448" i="3"/>
  <c r="CH448" i="3"/>
  <c r="BE448" i="3"/>
  <c r="AX448" i="3"/>
  <c r="AU448" i="3"/>
  <c r="AT448" i="3" s="1"/>
  <c r="AS448" i="3"/>
  <c r="AR448" i="3" s="1"/>
  <c r="AP448" i="3"/>
  <c r="AO448" i="3"/>
  <c r="AN448" i="3"/>
  <c r="AM448" i="3" s="1"/>
  <c r="Y448" i="3"/>
  <c r="X448" i="3"/>
  <c r="DW447" i="3"/>
  <c r="DV447" i="3"/>
  <c r="DU447" i="3"/>
  <c r="DT447" i="3"/>
  <c r="DS447" i="3"/>
  <c r="DR447" i="3"/>
  <c r="DQ447" i="3"/>
  <c r="DP447" i="3"/>
  <c r="DO447" i="3"/>
  <c r="DN447" i="3"/>
  <c r="DM447" i="3"/>
  <c r="DL447" i="3"/>
  <c r="DK447" i="3"/>
  <c r="DJ447" i="3"/>
  <c r="DI447" i="3"/>
  <c r="DF447" i="3"/>
  <c r="DE447" i="3"/>
  <c r="DD447" i="3"/>
  <c r="DC447" i="3"/>
  <c r="DB447" i="3"/>
  <c r="DA447" i="3"/>
  <c r="CO447" i="3"/>
  <c r="CN447" i="3"/>
  <c r="CL447" i="3"/>
  <c r="CM447" i="3" s="1"/>
  <c r="AE447" i="3" s="1"/>
  <c r="AH447" i="3" s="1"/>
  <c r="CK447" i="3"/>
  <c r="CJ447" i="3"/>
  <c r="CI447" i="3"/>
  <c r="CH447" i="3"/>
  <c r="BE447" i="3"/>
  <c r="AX447" i="3"/>
  <c r="AU447" i="3"/>
  <c r="AT447" i="3" s="1"/>
  <c r="AS447" i="3"/>
  <c r="AR447" i="3" s="1"/>
  <c r="AP447" i="3"/>
  <c r="AO447" i="3"/>
  <c r="AN447" i="3"/>
  <c r="Y447" i="3"/>
  <c r="X447" i="3"/>
  <c r="DW446" i="3"/>
  <c r="DV446" i="3"/>
  <c r="DU446" i="3"/>
  <c r="DT446" i="3"/>
  <c r="DS446" i="3"/>
  <c r="DR446" i="3"/>
  <c r="DQ446" i="3"/>
  <c r="DP446" i="3"/>
  <c r="DO446" i="3"/>
  <c r="DN446" i="3"/>
  <c r="DM446" i="3"/>
  <c r="DL446" i="3"/>
  <c r="DK446" i="3"/>
  <c r="DJ446" i="3"/>
  <c r="DI446" i="3"/>
  <c r="DF446" i="3"/>
  <c r="DE446" i="3"/>
  <c r="DD446" i="3"/>
  <c r="DC446" i="3"/>
  <c r="DB446" i="3"/>
  <c r="DA446" i="3"/>
  <c r="CO446" i="3"/>
  <c r="CN446" i="3"/>
  <c r="CL446" i="3"/>
  <c r="CM446" i="3" s="1"/>
  <c r="AE446" i="3" s="1"/>
  <c r="CK446" i="3"/>
  <c r="CJ446" i="3"/>
  <c r="CI446" i="3"/>
  <c r="CH446" i="3"/>
  <c r="BE446" i="3"/>
  <c r="AX446" i="3"/>
  <c r="AU446" i="3"/>
  <c r="AT446" i="3" s="1"/>
  <c r="AS446" i="3"/>
  <c r="AR446" i="3" s="1"/>
  <c r="AP446" i="3"/>
  <c r="AO446" i="3"/>
  <c r="AN446" i="3"/>
  <c r="Y446" i="3"/>
  <c r="X446" i="3"/>
  <c r="DW445" i="3"/>
  <c r="DV445" i="3"/>
  <c r="DU445" i="3"/>
  <c r="DT445" i="3"/>
  <c r="DS445" i="3"/>
  <c r="DR445" i="3"/>
  <c r="DQ445" i="3"/>
  <c r="DP445" i="3"/>
  <c r="DO445" i="3"/>
  <c r="DN445" i="3"/>
  <c r="DM445" i="3"/>
  <c r="DL445" i="3"/>
  <c r="DK445" i="3"/>
  <c r="DJ445" i="3"/>
  <c r="DI445" i="3"/>
  <c r="DF445" i="3"/>
  <c r="DE445" i="3"/>
  <c r="DD445" i="3"/>
  <c r="DC445" i="3"/>
  <c r="DB445" i="3"/>
  <c r="DA445" i="3"/>
  <c r="CO445" i="3"/>
  <c r="CN445" i="3"/>
  <c r="CL445" i="3"/>
  <c r="CM445" i="3" s="1"/>
  <c r="AE445" i="3" s="1"/>
  <c r="AH445" i="3" s="1"/>
  <c r="AI445" i="3" s="1"/>
  <c r="CK445" i="3"/>
  <c r="CJ445" i="3"/>
  <c r="CI445" i="3"/>
  <c r="CH445" i="3"/>
  <c r="BE445" i="3"/>
  <c r="AX445" i="3"/>
  <c r="AU445" i="3"/>
  <c r="AT445" i="3" s="1"/>
  <c r="AS445" i="3"/>
  <c r="AR445" i="3" s="1"/>
  <c r="AP445" i="3"/>
  <c r="AO445" i="3"/>
  <c r="AN445" i="3"/>
  <c r="AM445" i="3" s="1"/>
  <c r="Y445" i="3"/>
  <c r="X445" i="3"/>
  <c r="DW444" i="3"/>
  <c r="DV444" i="3"/>
  <c r="DU444" i="3"/>
  <c r="DT444" i="3"/>
  <c r="DS444" i="3"/>
  <c r="DR444" i="3"/>
  <c r="DQ444" i="3"/>
  <c r="DP444" i="3"/>
  <c r="DO444" i="3"/>
  <c r="DN444" i="3"/>
  <c r="DM444" i="3"/>
  <c r="DL444" i="3"/>
  <c r="DK444" i="3"/>
  <c r="DJ444" i="3"/>
  <c r="DI444" i="3"/>
  <c r="DF444" i="3"/>
  <c r="DE444" i="3"/>
  <c r="DD444" i="3"/>
  <c r="DC444" i="3"/>
  <c r="DB444" i="3"/>
  <c r="DA444" i="3"/>
  <c r="CO444" i="3"/>
  <c r="CN444" i="3"/>
  <c r="CL444" i="3"/>
  <c r="CM444" i="3" s="1"/>
  <c r="AE444" i="3" s="1"/>
  <c r="AH444" i="3" s="1"/>
  <c r="AI444" i="3" s="1"/>
  <c r="CK444" i="3"/>
  <c r="CJ444" i="3"/>
  <c r="CI444" i="3"/>
  <c r="CH444" i="3"/>
  <c r="BE444" i="3"/>
  <c r="AX444" i="3"/>
  <c r="AU444" i="3"/>
  <c r="AT444" i="3" s="1"/>
  <c r="AS444" i="3"/>
  <c r="AR444" i="3" s="1"/>
  <c r="AP444" i="3"/>
  <c r="AO444" i="3"/>
  <c r="AN444" i="3"/>
  <c r="Y444" i="3"/>
  <c r="X444" i="3"/>
  <c r="DW443" i="3"/>
  <c r="DV443" i="3"/>
  <c r="DU443" i="3"/>
  <c r="DT443" i="3"/>
  <c r="DS443" i="3"/>
  <c r="DR443" i="3"/>
  <c r="DQ443" i="3"/>
  <c r="DP443" i="3"/>
  <c r="DO443" i="3"/>
  <c r="DN443" i="3"/>
  <c r="DM443" i="3"/>
  <c r="DL443" i="3"/>
  <c r="DK443" i="3"/>
  <c r="DJ443" i="3"/>
  <c r="DI443" i="3"/>
  <c r="DF443" i="3"/>
  <c r="DE443" i="3"/>
  <c r="DD443" i="3"/>
  <c r="DC443" i="3"/>
  <c r="DB443" i="3"/>
  <c r="DA443" i="3"/>
  <c r="CO443" i="3"/>
  <c r="CN443" i="3"/>
  <c r="CL443" i="3"/>
  <c r="CM443" i="3" s="1"/>
  <c r="AE443" i="3" s="1"/>
  <c r="AH443" i="3" s="1"/>
  <c r="AI443" i="3" s="1"/>
  <c r="CK443" i="3"/>
  <c r="CJ443" i="3"/>
  <c r="CI443" i="3"/>
  <c r="CH443" i="3"/>
  <c r="BE443" i="3"/>
  <c r="AX443" i="3"/>
  <c r="AU443" i="3"/>
  <c r="AT443" i="3" s="1"/>
  <c r="AS443" i="3"/>
  <c r="AR443" i="3" s="1"/>
  <c r="AP443" i="3"/>
  <c r="AO443" i="3"/>
  <c r="AN443" i="3"/>
  <c r="Y443" i="3"/>
  <c r="X443" i="3"/>
  <c r="DW442" i="3"/>
  <c r="DV442" i="3"/>
  <c r="DU442" i="3"/>
  <c r="DT442" i="3"/>
  <c r="DS442" i="3"/>
  <c r="DR442" i="3"/>
  <c r="DQ442" i="3"/>
  <c r="DP442" i="3"/>
  <c r="DO442" i="3"/>
  <c r="DN442" i="3"/>
  <c r="DM442" i="3"/>
  <c r="DL442" i="3"/>
  <c r="DK442" i="3"/>
  <c r="DJ442" i="3"/>
  <c r="DI442" i="3"/>
  <c r="DF442" i="3"/>
  <c r="DE442" i="3"/>
  <c r="DD442" i="3"/>
  <c r="DC442" i="3"/>
  <c r="DB442" i="3"/>
  <c r="DA442" i="3"/>
  <c r="CO442" i="3"/>
  <c r="CN442" i="3"/>
  <c r="CL442" i="3"/>
  <c r="CM442" i="3" s="1"/>
  <c r="AE442" i="3" s="1"/>
  <c r="AH442" i="3" s="1"/>
  <c r="CK442" i="3"/>
  <c r="CJ442" i="3"/>
  <c r="CI442" i="3"/>
  <c r="CH442" i="3"/>
  <c r="BE442" i="3"/>
  <c r="AX442" i="3"/>
  <c r="AU442" i="3"/>
  <c r="AT442" i="3" s="1"/>
  <c r="AS442" i="3"/>
  <c r="AR442" i="3" s="1"/>
  <c r="AP442" i="3"/>
  <c r="AO442" i="3"/>
  <c r="AN442" i="3"/>
  <c r="Y442" i="3"/>
  <c r="X442" i="3"/>
  <c r="DW441" i="3"/>
  <c r="DV441" i="3"/>
  <c r="DU441" i="3"/>
  <c r="DT441" i="3"/>
  <c r="DS441" i="3"/>
  <c r="DR441" i="3"/>
  <c r="DQ441" i="3"/>
  <c r="DP441" i="3"/>
  <c r="DO441" i="3"/>
  <c r="DN441" i="3"/>
  <c r="DM441" i="3"/>
  <c r="DL441" i="3"/>
  <c r="DK441" i="3"/>
  <c r="DJ441" i="3"/>
  <c r="DI441" i="3"/>
  <c r="DF441" i="3"/>
  <c r="DE441" i="3"/>
  <c r="DD441" i="3"/>
  <c r="DC441" i="3"/>
  <c r="DB441" i="3"/>
  <c r="DA441" i="3"/>
  <c r="CO441" i="3"/>
  <c r="CN441" i="3"/>
  <c r="CL441" i="3"/>
  <c r="CM441" i="3" s="1"/>
  <c r="AE441" i="3" s="1"/>
  <c r="CK441" i="3"/>
  <c r="CJ441" i="3"/>
  <c r="CI441" i="3"/>
  <c r="CH441" i="3"/>
  <c r="BE441" i="3"/>
  <c r="AX441" i="3"/>
  <c r="AU441" i="3"/>
  <c r="AT441" i="3" s="1"/>
  <c r="AS441" i="3"/>
  <c r="AR441" i="3" s="1"/>
  <c r="AP441" i="3"/>
  <c r="AO441" i="3"/>
  <c r="AN441" i="3"/>
  <c r="BM441" i="3" s="1"/>
  <c r="Y441" i="3"/>
  <c r="X441" i="3"/>
  <c r="DW440" i="3"/>
  <c r="DV440" i="3"/>
  <c r="DU440" i="3"/>
  <c r="DT440" i="3"/>
  <c r="DS440" i="3"/>
  <c r="DR440" i="3"/>
  <c r="DQ440" i="3"/>
  <c r="DP440" i="3"/>
  <c r="DO440" i="3"/>
  <c r="DN440" i="3"/>
  <c r="DM440" i="3"/>
  <c r="DL440" i="3"/>
  <c r="DK440" i="3"/>
  <c r="DJ440" i="3"/>
  <c r="DI440" i="3"/>
  <c r="DF440" i="3"/>
  <c r="DE440" i="3"/>
  <c r="DD440" i="3"/>
  <c r="DC440" i="3"/>
  <c r="DB440" i="3"/>
  <c r="DA440" i="3"/>
  <c r="CO440" i="3"/>
  <c r="CN440" i="3"/>
  <c r="CL440" i="3"/>
  <c r="CM440" i="3" s="1"/>
  <c r="AE440" i="3" s="1"/>
  <c r="CK440" i="3"/>
  <c r="CJ440" i="3"/>
  <c r="CI440" i="3"/>
  <c r="CH440" i="3"/>
  <c r="BE440" i="3"/>
  <c r="AX440" i="3"/>
  <c r="AU440" i="3"/>
  <c r="AT440" i="3" s="1"/>
  <c r="AS440" i="3"/>
  <c r="AR440" i="3" s="1"/>
  <c r="AP440" i="3"/>
  <c r="AO440" i="3"/>
  <c r="AN440" i="3"/>
  <c r="Y440" i="3"/>
  <c r="X440" i="3"/>
  <c r="DW439" i="3"/>
  <c r="DV439" i="3"/>
  <c r="DU439" i="3"/>
  <c r="DT439" i="3"/>
  <c r="DS439" i="3"/>
  <c r="DR439" i="3"/>
  <c r="DQ439" i="3"/>
  <c r="DP439" i="3"/>
  <c r="DO439" i="3"/>
  <c r="DN439" i="3"/>
  <c r="DM439" i="3"/>
  <c r="DL439" i="3"/>
  <c r="DK439" i="3"/>
  <c r="DJ439" i="3"/>
  <c r="DI439" i="3"/>
  <c r="DF439" i="3"/>
  <c r="DE439" i="3"/>
  <c r="DD439" i="3"/>
  <c r="DC439" i="3"/>
  <c r="DB439" i="3"/>
  <c r="DA439" i="3"/>
  <c r="CO439" i="3"/>
  <c r="CN439" i="3"/>
  <c r="CL439" i="3"/>
  <c r="CM439" i="3" s="1"/>
  <c r="AE439" i="3" s="1"/>
  <c r="CK439" i="3"/>
  <c r="CJ439" i="3"/>
  <c r="CI439" i="3"/>
  <c r="CH439" i="3"/>
  <c r="BE439" i="3"/>
  <c r="AX439" i="3"/>
  <c r="AU439" i="3"/>
  <c r="AT439" i="3" s="1"/>
  <c r="AS439" i="3"/>
  <c r="AR439" i="3" s="1"/>
  <c r="AP439" i="3"/>
  <c r="AO439" i="3"/>
  <c r="AN439" i="3"/>
  <c r="Y439" i="3"/>
  <c r="X439" i="3"/>
  <c r="DW438" i="3"/>
  <c r="DV438" i="3"/>
  <c r="DU438" i="3"/>
  <c r="DT438" i="3"/>
  <c r="DS438" i="3"/>
  <c r="DR438" i="3"/>
  <c r="DQ438" i="3"/>
  <c r="DP438" i="3"/>
  <c r="DO438" i="3"/>
  <c r="DN438" i="3"/>
  <c r="DM438" i="3"/>
  <c r="DL438" i="3"/>
  <c r="DK438" i="3"/>
  <c r="DJ438" i="3"/>
  <c r="DI438" i="3"/>
  <c r="DF438" i="3"/>
  <c r="DE438" i="3"/>
  <c r="DD438" i="3"/>
  <c r="DC438" i="3"/>
  <c r="DB438" i="3"/>
  <c r="DA438" i="3"/>
  <c r="CO438" i="3"/>
  <c r="CN438" i="3"/>
  <c r="CL438" i="3"/>
  <c r="CM438" i="3" s="1"/>
  <c r="AE438" i="3" s="1"/>
  <c r="AH438" i="3" s="1"/>
  <c r="CK438" i="3"/>
  <c r="CJ438" i="3"/>
  <c r="CI438" i="3"/>
  <c r="CH438" i="3"/>
  <c r="BE438" i="3"/>
  <c r="AX438" i="3"/>
  <c r="AU438" i="3"/>
  <c r="AT438" i="3" s="1"/>
  <c r="AS438" i="3"/>
  <c r="AR438" i="3" s="1"/>
  <c r="AP438" i="3"/>
  <c r="AO438" i="3"/>
  <c r="AN438" i="3"/>
  <c r="Y438" i="3"/>
  <c r="X438" i="3"/>
  <c r="DW437" i="3"/>
  <c r="DV437" i="3"/>
  <c r="DU437" i="3"/>
  <c r="DT437" i="3"/>
  <c r="DS437" i="3"/>
  <c r="DR437" i="3"/>
  <c r="DQ437" i="3"/>
  <c r="DP437" i="3"/>
  <c r="DO437" i="3"/>
  <c r="DN437" i="3"/>
  <c r="DM437" i="3"/>
  <c r="DL437" i="3"/>
  <c r="DK437" i="3"/>
  <c r="DJ437" i="3"/>
  <c r="DI437" i="3"/>
  <c r="DF437" i="3"/>
  <c r="DE437" i="3"/>
  <c r="DD437" i="3"/>
  <c r="DC437" i="3"/>
  <c r="DB437" i="3"/>
  <c r="DA437" i="3"/>
  <c r="CO437" i="3"/>
  <c r="CN437" i="3"/>
  <c r="CL437" i="3"/>
  <c r="CM437" i="3" s="1"/>
  <c r="AE437" i="3" s="1"/>
  <c r="AH437" i="3" s="1"/>
  <c r="AI437" i="3" s="1"/>
  <c r="CK437" i="3"/>
  <c r="CJ437" i="3"/>
  <c r="CI437" i="3"/>
  <c r="CH437" i="3"/>
  <c r="BE437" i="3"/>
  <c r="AX437" i="3"/>
  <c r="AU437" i="3"/>
  <c r="AT437" i="3" s="1"/>
  <c r="AS437" i="3"/>
  <c r="AR437" i="3" s="1"/>
  <c r="AP437" i="3"/>
  <c r="AO437" i="3"/>
  <c r="AN437" i="3"/>
  <c r="Y437" i="3"/>
  <c r="X437" i="3"/>
  <c r="DW436" i="3"/>
  <c r="DV436" i="3"/>
  <c r="DU436" i="3"/>
  <c r="DT436" i="3"/>
  <c r="DS436" i="3"/>
  <c r="DR436" i="3"/>
  <c r="DQ436" i="3"/>
  <c r="DP436" i="3"/>
  <c r="DO436" i="3"/>
  <c r="DN436" i="3"/>
  <c r="DM436" i="3"/>
  <c r="DL436" i="3"/>
  <c r="DK436" i="3"/>
  <c r="DJ436" i="3"/>
  <c r="DI436" i="3"/>
  <c r="DF436" i="3"/>
  <c r="DE436" i="3"/>
  <c r="DD436" i="3"/>
  <c r="DC436" i="3"/>
  <c r="DB436" i="3"/>
  <c r="DA436" i="3"/>
  <c r="CO436" i="3"/>
  <c r="CN436" i="3"/>
  <c r="CL436" i="3"/>
  <c r="CM436" i="3" s="1"/>
  <c r="AE436" i="3" s="1"/>
  <c r="AH436" i="3" s="1"/>
  <c r="AI436" i="3" s="1"/>
  <c r="CK436" i="3"/>
  <c r="CJ436" i="3"/>
  <c r="CI436" i="3"/>
  <c r="CH436" i="3"/>
  <c r="BE436" i="3"/>
  <c r="AX436" i="3"/>
  <c r="AU436" i="3"/>
  <c r="AT436" i="3" s="1"/>
  <c r="AS436" i="3"/>
  <c r="AR436" i="3" s="1"/>
  <c r="AP436" i="3"/>
  <c r="AO436" i="3"/>
  <c r="AN436" i="3"/>
  <c r="Y436" i="3"/>
  <c r="X436" i="3"/>
  <c r="DW435" i="3"/>
  <c r="DV435" i="3"/>
  <c r="DU435" i="3"/>
  <c r="DT435" i="3"/>
  <c r="DS435" i="3"/>
  <c r="DR435" i="3"/>
  <c r="DQ435" i="3"/>
  <c r="DP435" i="3"/>
  <c r="DO435" i="3"/>
  <c r="DN435" i="3"/>
  <c r="DM435" i="3"/>
  <c r="DL435" i="3"/>
  <c r="DK435" i="3"/>
  <c r="DJ435" i="3"/>
  <c r="DI435" i="3"/>
  <c r="DF435" i="3"/>
  <c r="DE435" i="3"/>
  <c r="DD435" i="3"/>
  <c r="DC435" i="3"/>
  <c r="DB435" i="3"/>
  <c r="DA435" i="3"/>
  <c r="CO435" i="3"/>
  <c r="CN435" i="3"/>
  <c r="CL435" i="3"/>
  <c r="CM435" i="3" s="1"/>
  <c r="AE435" i="3" s="1"/>
  <c r="AH435" i="3" s="1"/>
  <c r="AI435" i="3" s="1"/>
  <c r="CK435" i="3"/>
  <c r="CJ435" i="3"/>
  <c r="CI435" i="3"/>
  <c r="CH435" i="3"/>
  <c r="BE435" i="3"/>
  <c r="AX435" i="3"/>
  <c r="AU435" i="3"/>
  <c r="AT435" i="3" s="1"/>
  <c r="AS435" i="3"/>
  <c r="AR435" i="3" s="1"/>
  <c r="AP435" i="3"/>
  <c r="AO435" i="3"/>
  <c r="AN435" i="3"/>
  <c r="Y435" i="3"/>
  <c r="X435" i="3"/>
  <c r="DW434" i="3"/>
  <c r="DV434" i="3"/>
  <c r="DU434" i="3"/>
  <c r="DT434" i="3"/>
  <c r="DS434" i="3"/>
  <c r="DR434" i="3"/>
  <c r="DQ434" i="3"/>
  <c r="DP434" i="3"/>
  <c r="DO434" i="3"/>
  <c r="DN434" i="3"/>
  <c r="DM434" i="3"/>
  <c r="DL434" i="3"/>
  <c r="DK434" i="3"/>
  <c r="DJ434" i="3"/>
  <c r="DI434" i="3"/>
  <c r="DF434" i="3"/>
  <c r="DE434" i="3"/>
  <c r="DD434" i="3"/>
  <c r="DC434" i="3"/>
  <c r="DB434" i="3"/>
  <c r="DA434" i="3"/>
  <c r="CO434" i="3"/>
  <c r="CN434" i="3"/>
  <c r="CL434" i="3"/>
  <c r="CM434" i="3" s="1"/>
  <c r="AE434" i="3" s="1"/>
  <c r="AH434" i="3" s="1"/>
  <c r="CK434" i="3"/>
  <c r="CJ434" i="3"/>
  <c r="CI434" i="3"/>
  <c r="CH434" i="3"/>
  <c r="BE434" i="3"/>
  <c r="AX434" i="3"/>
  <c r="AU434" i="3"/>
  <c r="AT434" i="3" s="1"/>
  <c r="AS434" i="3"/>
  <c r="AR434" i="3" s="1"/>
  <c r="AP434" i="3"/>
  <c r="AO434" i="3"/>
  <c r="AN434" i="3"/>
  <c r="Y434" i="3"/>
  <c r="X434" i="3"/>
  <c r="DW433" i="3"/>
  <c r="DV433" i="3"/>
  <c r="DU433" i="3"/>
  <c r="DT433" i="3"/>
  <c r="DS433" i="3"/>
  <c r="DR433" i="3"/>
  <c r="DQ433" i="3"/>
  <c r="DP433" i="3"/>
  <c r="DO433" i="3"/>
  <c r="DN433" i="3"/>
  <c r="DM433" i="3"/>
  <c r="DL433" i="3"/>
  <c r="DK433" i="3"/>
  <c r="DJ433" i="3"/>
  <c r="DI433" i="3"/>
  <c r="DF433" i="3"/>
  <c r="DE433" i="3"/>
  <c r="DD433" i="3"/>
  <c r="DC433" i="3"/>
  <c r="DB433" i="3"/>
  <c r="DA433" i="3"/>
  <c r="CO433" i="3"/>
  <c r="CN433" i="3"/>
  <c r="CL433" i="3"/>
  <c r="CM433" i="3" s="1"/>
  <c r="AE433" i="3" s="1"/>
  <c r="AH433" i="3" s="1"/>
  <c r="CK433" i="3"/>
  <c r="CJ433" i="3"/>
  <c r="CI433" i="3"/>
  <c r="CH433" i="3"/>
  <c r="BE433" i="3"/>
  <c r="AX433" i="3"/>
  <c r="AU433" i="3"/>
  <c r="AT433" i="3" s="1"/>
  <c r="AS433" i="3"/>
  <c r="AR433" i="3" s="1"/>
  <c r="AP433" i="3"/>
  <c r="AO433" i="3"/>
  <c r="AN433" i="3"/>
  <c r="AM433" i="3" s="1"/>
  <c r="Y433" i="3"/>
  <c r="X433" i="3"/>
  <c r="DW432" i="3"/>
  <c r="DV432" i="3"/>
  <c r="DU432" i="3"/>
  <c r="DT432" i="3"/>
  <c r="DS432" i="3"/>
  <c r="DR432" i="3"/>
  <c r="DQ432" i="3"/>
  <c r="DP432" i="3"/>
  <c r="DO432" i="3"/>
  <c r="DN432" i="3"/>
  <c r="DM432" i="3"/>
  <c r="DL432" i="3"/>
  <c r="DK432" i="3"/>
  <c r="DJ432" i="3"/>
  <c r="DI432" i="3"/>
  <c r="DF432" i="3"/>
  <c r="DE432" i="3"/>
  <c r="DD432" i="3"/>
  <c r="DC432" i="3"/>
  <c r="DB432" i="3"/>
  <c r="DA432" i="3"/>
  <c r="CO432" i="3"/>
  <c r="CN432" i="3"/>
  <c r="CL432" i="3"/>
  <c r="CM432" i="3" s="1"/>
  <c r="AE432" i="3" s="1"/>
  <c r="AH432" i="3" s="1"/>
  <c r="CK432" i="3"/>
  <c r="CJ432" i="3"/>
  <c r="CI432" i="3"/>
  <c r="CH432" i="3"/>
  <c r="BE432" i="3"/>
  <c r="AX432" i="3"/>
  <c r="AU432" i="3"/>
  <c r="AT432" i="3" s="1"/>
  <c r="AS432" i="3"/>
  <c r="AR432" i="3" s="1"/>
  <c r="AP432" i="3"/>
  <c r="AO432" i="3"/>
  <c r="AN432" i="3"/>
  <c r="Y432" i="3"/>
  <c r="X432" i="3"/>
  <c r="DW431" i="3"/>
  <c r="DV431" i="3"/>
  <c r="DU431" i="3"/>
  <c r="DT431" i="3"/>
  <c r="DS431" i="3"/>
  <c r="DR431" i="3"/>
  <c r="DQ431" i="3"/>
  <c r="DP431" i="3"/>
  <c r="DO431" i="3"/>
  <c r="DN431" i="3"/>
  <c r="DM431" i="3"/>
  <c r="DL431" i="3"/>
  <c r="DK431" i="3"/>
  <c r="DJ431" i="3"/>
  <c r="DI431" i="3"/>
  <c r="DF431" i="3"/>
  <c r="DE431" i="3"/>
  <c r="DD431" i="3"/>
  <c r="DC431" i="3"/>
  <c r="DB431" i="3"/>
  <c r="DA431" i="3"/>
  <c r="CO431" i="3"/>
  <c r="CN431" i="3"/>
  <c r="CL431" i="3"/>
  <c r="CM431" i="3" s="1"/>
  <c r="AE431" i="3" s="1"/>
  <c r="CK431" i="3"/>
  <c r="CJ431" i="3"/>
  <c r="CI431" i="3"/>
  <c r="CH431" i="3"/>
  <c r="BE431" i="3"/>
  <c r="AX431" i="3"/>
  <c r="AU431" i="3"/>
  <c r="AT431" i="3" s="1"/>
  <c r="AS431" i="3"/>
  <c r="AR431" i="3" s="1"/>
  <c r="AP431" i="3"/>
  <c r="AO431" i="3"/>
  <c r="AN431" i="3"/>
  <c r="Y431" i="3"/>
  <c r="X431" i="3"/>
  <c r="DW430" i="3"/>
  <c r="DV430" i="3"/>
  <c r="DU430" i="3"/>
  <c r="DT430" i="3"/>
  <c r="DS430" i="3"/>
  <c r="DR430" i="3"/>
  <c r="DQ430" i="3"/>
  <c r="DP430" i="3"/>
  <c r="DO430" i="3"/>
  <c r="DN430" i="3"/>
  <c r="DM430" i="3"/>
  <c r="DL430" i="3"/>
  <c r="DK430" i="3"/>
  <c r="DJ430" i="3"/>
  <c r="DI430" i="3"/>
  <c r="DF430" i="3"/>
  <c r="DE430" i="3"/>
  <c r="DD430" i="3"/>
  <c r="DC430" i="3"/>
  <c r="DB430" i="3"/>
  <c r="DA430" i="3"/>
  <c r="CO430" i="3"/>
  <c r="CN430" i="3"/>
  <c r="CL430" i="3"/>
  <c r="CM430" i="3" s="1"/>
  <c r="AE430" i="3" s="1"/>
  <c r="CK430" i="3"/>
  <c r="CJ430" i="3"/>
  <c r="CI430" i="3"/>
  <c r="CH430" i="3"/>
  <c r="BE430" i="3"/>
  <c r="AX430" i="3"/>
  <c r="AU430" i="3"/>
  <c r="AT430" i="3" s="1"/>
  <c r="AS430" i="3"/>
  <c r="AR430" i="3" s="1"/>
  <c r="AP430" i="3"/>
  <c r="AO430" i="3"/>
  <c r="AN430" i="3"/>
  <c r="Y430" i="3"/>
  <c r="X430" i="3"/>
  <c r="DW429" i="3"/>
  <c r="DV429" i="3"/>
  <c r="DU429" i="3"/>
  <c r="DT429" i="3"/>
  <c r="DS429" i="3"/>
  <c r="DR429" i="3"/>
  <c r="DQ429" i="3"/>
  <c r="DP429" i="3"/>
  <c r="DO429" i="3"/>
  <c r="DN429" i="3"/>
  <c r="DM429" i="3"/>
  <c r="DL429" i="3"/>
  <c r="DK429" i="3"/>
  <c r="DJ429" i="3"/>
  <c r="DI429" i="3"/>
  <c r="DF429" i="3"/>
  <c r="DE429" i="3"/>
  <c r="DD429" i="3"/>
  <c r="DC429" i="3"/>
  <c r="DB429" i="3"/>
  <c r="DA429" i="3"/>
  <c r="CO429" i="3"/>
  <c r="CN429" i="3"/>
  <c r="CL429" i="3"/>
  <c r="CM429" i="3" s="1"/>
  <c r="AE429" i="3" s="1"/>
  <c r="CK429" i="3"/>
  <c r="CJ429" i="3"/>
  <c r="CI429" i="3"/>
  <c r="CH429" i="3"/>
  <c r="BE429" i="3"/>
  <c r="AX429" i="3"/>
  <c r="AU429" i="3"/>
  <c r="AT429" i="3" s="1"/>
  <c r="AS429" i="3"/>
  <c r="AR429" i="3" s="1"/>
  <c r="AP429" i="3"/>
  <c r="AO429" i="3"/>
  <c r="AN429" i="3"/>
  <c r="AM429" i="3" s="1"/>
  <c r="Y429" i="3"/>
  <c r="X429" i="3"/>
  <c r="DW428" i="3"/>
  <c r="DV428" i="3"/>
  <c r="DU428" i="3"/>
  <c r="DT428" i="3"/>
  <c r="DS428" i="3"/>
  <c r="DR428" i="3"/>
  <c r="DQ428" i="3"/>
  <c r="DP428" i="3"/>
  <c r="DO428" i="3"/>
  <c r="DN428" i="3"/>
  <c r="DM428" i="3"/>
  <c r="DL428" i="3"/>
  <c r="DK428" i="3"/>
  <c r="DJ428" i="3"/>
  <c r="DI428" i="3"/>
  <c r="DF428" i="3"/>
  <c r="DE428" i="3"/>
  <c r="DD428" i="3"/>
  <c r="DC428" i="3"/>
  <c r="DB428" i="3"/>
  <c r="DA428" i="3"/>
  <c r="CO428" i="3"/>
  <c r="CN428" i="3"/>
  <c r="CL428" i="3"/>
  <c r="CM428" i="3" s="1"/>
  <c r="AE428" i="3" s="1"/>
  <c r="CK428" i="3"/>
  <c r="CJ428" i="3"/>
  <c r="CI428" i="3"/>
  <c r="CH428" i="3"/>
  <c r="BE428" i="3"/>
  <c r="AX428" i="3"/>
  <c r="AU428" i="3"/>
  <c r="AT428" i="3" s="1"/>
  <c r="AS428" i="3"/>
  <c r="AR428" i="3" s="1"/>
  <c r="AP428" i="3"/>
  <c r="AO428" i="3"/>
  <c r="AN428" i="3"/>
  <c r="AM428" i="3" s="1"/>
  <c r="Y428" i="3"/>
  <c r="X428" i="3"/>
  <c r="DW427" i="3"/>
  <c r="DV427" i="3"/>
  <c r="DU427" i="3"/>
  <c r="DT427" i="3"/>
  <c r="DS427" i="3"/>
  <c r="DR427" i="3"/>
  <c r="DQ427" i="3"/>
  <c r="DP427" i="3"/>
  <c r="DO427" i="3"/>
  <c r="DN427" i="3"/>
  <c r="DM427" i="3"/>
  <c r="DL427" i="3"/>
  <c r="DK427" i="3"/>
  <c r="DJ427" i="3"/>
  <c r="DI427" i="3"/>
  <c r="DF427" i="3"/>
  <c r="DE427" i="3"/>
  <c r="DD427" i="3"/>
  <c r="DC427" i="3"/>
  <c r="DB427" i="3"/>
  <c r="DA427" i="3"/>
  <c r="CO427" i="3"/>
  <c r="CN427" i="3"/>
  <c r="CL427" i="3"/>
  <c r="CM427" i="3" s="1"/>
  <c r="AE427" i="3" s="1"/>
  <c r="AH427" i="3" s="1"/>
  <c r="AI427" i="3" s="1"/>
  <c r="CK427" i="3"/>
  <c r="CJ427" i="3"/>
  <c r="CI427" i="3"/>
  <c r="CH427" i="3"/>
  <c r="BE427" i="3"/>
  <c r="AX427" i="3"/>
  <c r="AU427" i="3"/>
  <c r="AT427" i="3" s="1"/>
  <c r="AS427" i="3"/>
  <c r="AR427" i="3" s="1"/>
  <c r="AP427" i="3"/>
  <c r="AO427" i="3"/>
  <c r="AN427" i="3"/>
  <c r="Y427" i="3"/>
  <c r="X427" i="3"/>
  <c r="DW426" i="3"/>
  <c r="DV426" i="3"/>
  <c r="DU426" i="3"/>
  <c r="DT426" i="3"/>
  <c r="DS426" i="3"/>
  <c r="DR426" i="3"/>
  <c r="DQ426" i="3"/>
  <c r="DP426" i="3"/>
  <c r="DO426" i="3"/>
  <c r="DN426" i="3"/>
  <c r="DM426" i="3"/>
  <c r="DL426" i="3"/>
  <c r="DK426" i="3"/>
  <c r="DJ426" i="3"/>
  <c r="DI426" i="3"/>
  <c r="DF426" i="3"/>
  <c r="DE426" i="3"/>
  <c r="DD426" i="3"/>
  <c r="DC426" i="3"/>
  <c r="DB426" i="3"/>
  <c r="DA426" i="3"/>
  <c r="CO426" i="3"/>
  <c r="CN426" i="3"/>
  <c r="CL426" i="3"/>
  <c r="CM426" i="3" s="1"/>
  <c r="AE426" i="3" s="1"/>
  <c r="AH426" i="3" s="1"/>
  <c r="CK426" i="3"/>
  <c r="CJ426" i="3"/>
  <c r="CI426" i="3"/>
  <c r="CH426" i="3"/>
  <c r="BE426" i="3"/>
  <c r="AX426" i="3"/>
  <c r="AU426" i="3"/>
  <c r="AT426" i="3" s="1"/>
  <c r="AS426" i="3"/>
  <c r="AR426" i="3" s="1"/>
  <c r="AP426" i="3"/>
  <c r="AO426" i="3"/>
  <c r="AN426" i="3"/>
  <c r="Y426" i="3"/>
  <c r="X426" i="3"/>
  <c r="DW425" i="3"/>
  <c r="DV425" i="3"/>
  <c r="DU425" i="3"/>
  <c r="DT425" i="3"/>
  <c r="DS425" i="3"/>
  <c r="DR425" i="3"/>
  <c r="DQ425" i="3"/>
  <c r="DP425" i="3"/>
  <c r="DO425" i="3"/>
  <c r="DN425" i="3"/>
  <c r="DM425" i="3"/>
  <c r="DL425" i="3"/>
  <c r="DK425" i="3"/>
  <c r="DJ425" i="3"/>
  <c r="DI425" i="3"/>
  <c r="DF425" i="3"/>
  <c r="DE425" i="3"/>
  <c r="DD425" i="3"/>
  <c r="DC425" i="3"/>
  <c r="DB425" i="3"/>
  <c r="DA425" i="3"/>
  <c r="CO425" i="3"/>
  <c r="CN425" i="3"/>
  <c r="CL425" i="3"/>
  <c r="CM425" i="3" s="1"/>
  <c r="AE425" i="3" s="1"/>
  <c r="AH425" i="3" s="1"/>
  <c r="CK425" i="3"/>
  <c r="CJ425" i="3"/>
  <c r="CI425" i="3"/>
  <c r="CH425" i="3"/>
  <c r="BE425" i="3"/>
  <c r="AX425" i="3"/>
  <c r="AU425" i="3"/>
  <c r="AT425" i="3" s="1"/>
  <c r="AS425" i="3"/>
  <c r="AR425" i="3" s="1"/>
  <c r="AP425" i="3"/>
  <c r="AO425" i="3"/>
  <c r="AN425" i="3"/>
  <c r="Y425" i="3"/>
  <c r="X425" i="3"/>
  <c r="DW424" i="3"/>
  <c r="DV424" i="3"/>
  <c r="DU424" i="3"/>
  <c r="DT424" i="3"/>
  <c r="DS424" i="3"/>
  <c r="DR424" i="3"/>
  <c r="DQ424" i="3"/>
  <c r="DP424" i="3"/>
  <c r="DO424" i="3"/>
  <c r="DN424" i="3"/>
  <c r="DM424" i="3"/>
  <c r="DL424" i="3"/>
  <c r="DK424" i="3"/>
  <c r="DJ424" i="3"/>
  <c r="DI424" i="3"/>
  <c r="DF424" i="3"/>
  <c r="DE424" i="3"/>
  <c r="DD424" i="3"/>
  <c r="DC424" i="3"/>
  <c r="DB424" i="3"/>
  <c r="DA424" i="3"/>
  <c r="CO424" i="3"/>
  <c r="CN424" i="3"/>
  <c r="CL424" i="3"/>
  <c r="CM424" i="3" s="1"/>
  <c r="AE424" i="3" s="1"/>
  <c r="CK424" i="3"/>
  <c r="CJ424" i="3"/>
  <c r="CI424" i="3"/>
  <c r="CH424" i="3"/>
  <c r="BE424" i="3"/>
  <c r="AX424" i="3"/>
  <c r="AU424" i="3"/>
  <c r="AT424" i="3" s="1"/>
  <c r="AS424" i="3"/>
  <c r="AR424" i="3" s="1"/>
  <c r="AP424" i="3"/>
  <c r="AO424" i="3"/>
  <c r="AN424" i="3"/>
  <c r="Y424" i="3"/>
  <c r="X424" i="3"/>
  <c r="DW423" i="3"/>
  <c r="DV423" i="3"/>
  <c r="DU423" i="3"/>
  <c r="DT423" i="3"/>
  <c r="DS423" i="3"/>
  <c r="DR423" i="3"/>
  <c r="DQ423" i="3"/>
  <c r="DP423" i="3"/>
  <c r="DO423" i="3"/>
  <c r="DN423" i="3"/>
  <c r="DM423" i="3"/>
  <c r="DL423" i="3"/>
  <c r="DK423" i="3"/>
  <c r="DJ423" i="3"/>
  <c r="DI423" i="3"/>
  <c r="DF423" i="3"/>
  <c r="DE423" i="3"/>
  <c r="DD423" i="3"/>
  <c r="DC423" i="3"/>
  <c r="DB423" i="3"/>
  <c r="DA423" i="3"/>
  <c r="CO423" i="3"/>
  <c r="CN423" i="3"/>
  <c r="CL423" i="3"/>
  <c r="CM423" i="3" s="1"/>
  <c r="AE423" i="3" s="1"/>
  <c r="CK423" i="3"/>
  <c r="CJ423" i="3"/>
  <c r="CI423" i="3"/>
  <c r="CH423" i="3"/>
  <c r="BE423" i="3"/>
  <c r="AX423" i="3"/>
  <c r="AU423" i="3"/>
  <c r="AT423" i="3" s="1"/>
  <c r="AS423" i="3"/>
  <c r="AR423" i="3" s="1"/>
  <c r="AP423" i="3"/>
  <c r="AO423" i="3"/>
  <c r="AN423" i="3"/>
  <c r="Y423" i="3"/>
  <c r="X423" i="3"/>
  <c r="DW422" i="3"/>
  <c r="DV422" i="3"/>
  <c r="DU422" i="3"/>
  <c r="DT422" i="3"/>
  <c r="DS422" i="3"/>
  <c r="DR422" i="3"/>
  <c r="DQ422" i="3"/>
  <c r="DP422" i="3"/>
  <c r="DO422" i="3"/>
  <c r="DN422" i="3"/>
  <c r="DM422" i="3"/>
  <c r="DL422" i="3"/>
  <c r="DK422" i="3"/>
  <c r="DJ422" i="3"/>
  <c r="DI422" i="3"/>
  <c r="DF422" i="3"/>
  <c r="DE422" i="3"/>
  <c r="DD422" i="3"/>
  <c r="DC422" i="3"/>
  <c r="DB422" i="3"/>
  <c r="DA422" i="3"/>
  <c r="CO422" i="3"/>
  <c r="CN422" i="3"/>
  <c r="CL422" i="3"/>
  <c r="CM422" i="3" s="1"/>
  <c r="AE422" i="3" s="1"/>
  <c r="CK422" i="3"/>
  <c r="CJ422" i="3"/>
  <c r="CI422" i="3"/>
  <c r="CH422" i="3"/>
  <c r="BE422" i="3"/>
  <c r="AX422" i="3"/>
  <c r="AU422" i="3"/>
  <c r="AT422" i="3" s="1"/>
  <c r="AS422" i="3"/>
  <c r="AR422" i="3" s="1"/>
  <c r="AP422" i="3"/>
  <c r="AO422" i="3"/>
  <c r="AN422" i="3"/>
  <c r="Y422" i="3"/>
  <c r="X422" i="3"/>
  <c r="DW421" i="3"/>
  <c r="DV421" i="3"/>
  <c r="DU421" i="3"/>
  <c r="DT421" i="3"/>
  <c r="DS421" i="3"/>
  <c r="DR421" i="3"/>
  <c r="DQ421" i="3"/>
  <c r="DP421" i="3"/>
  <c r="DO421" i="3"/>
  <c r="DN421" i="3"/>
  <c r="DM421" i="3"/>
  <c r="DL421" i="3"/>
  <c r="DK421" i="3"/>
  <c r="DJ421" i="3"/>
  <c r="DI421" i="3"/>
  <c r="DF421" i="3"/>
  <c r="DE421" i="3"/>
  <c r="DD421" i="3"/>
  <c r="DC421" i="3"/>
  <c r="DB421" i="3"/>
  <c r="DA421" i="3"/>
  <c r="CO421" i="3"/>
  <c r="CN421" i="3"/>
  <c r="CL421" i="3"/>
  <c r="CM421" i="3" s="1"/>
  <c r="AE421" i="3" s="1"/>
  <c r="AH421" i="3" s="1"/>
  <c r="AI421" i="3" s="1"/>
  <c r="CK421" i="3"/>
  <c r="CJ421" i="3"/>
  <c r="CI421" i="3"/>
  <c r="CH421" i="3"/>
  <c r="BE421" i="3"/>
  <c r="AX421" i="3"/>
  <c r="AU421" i="3"/>
  <c r="AT421" i="3" s="1"/>
  <c r="AS421" i="3"/>
  <c r="AR421" i="3" s="1"/>
  <c r="AP421" i="3"/>
  <c r="AO421" i="3"/>
  <c r="AN421" i="3"/>
  <c r="Y421" i="3"/>
  <c r="X421" i="3"/>
  <c r="DW420" i="3"/>
  <c r="DV420" i="3"/>
  <c r="DU420" i="3"/>
  <c r="DT420" i="3"/>
  <c r="DS420" i="3"/>
  <c r="DR420" i="3"/>
  <c r="DQ420" i="3"/>
  <c r="DP420" i="3"/>
  <c r="DO420" i="3"/>
  <c r="DN420" i="3"/>
  <c r="DM420" i="3"/>
  <c r="DL420" i="3"/>
  <c r="DK420" i="3"/>
  <c r="DJ420" i="3"/>
  <c r="DI420" i="3"/>
  <c r="DF420" i="3"/>
  <c r="DE420" i="3"/>
  <c r="DD420" i="3"/>
  <c r="DC420" i="3"/>
  <c r="DB420" i="3"/>
  <c r="DA420" i="3"/>
  <c r="CO420" i="3"/>
  <c r="CN420" i="3"/>
  <c r="CL420" i="3"/>
  <c r="CM420" i="3" s="1"/>
  <c r="AE420" i="3" s="1"/>
  <c r="AH420" i="3" s="1"/>
  <c r="AI420" i="3" s="1"/>
  <c r="CK420" i="3"/>
  <c r="CJ420" i="3"/>
  <c r="CI420" i="3"/>
  <c r="CH420" i="3"/>
  <c r="BE420" i="3"/>
  <c r="AX420" i="3"/>
  <c r="AU420" i="3"/>
  <c r="AT420" i="3" s="1"/>
  <c r="AS420" i="3"/>
  <c r="AR420" i="3" s="1"/>
  <c r="AP420" i="3"/>
  <c r="AO420" i="3"/>
  <c r="AN420" i="3"/>
  <c r="Y420" i="3"/>
  <c r="X420" i="3"/>
  <c r="DW419" i="3"/>
  <c r="DV419" i="3"/>
  <c r="DU419" i="3"/>
  <c r="DT419" i="3"/>
  <c r="DS419" i="3"/>
  <c r="DR419" i="3"/>
  <c r="DQ419" i="3"/>
  <c r="DP419" i="3"/>
  <c r="DO419" i="3"/>
  <c r="DN419" i="3"/>
  <c r="DM419" i="3"/>
  <c r="DL419" i="3"/>
  <c r="DK419" i="3"/>
  <c r="DJ419" i="3"/>
  <c r="DI419" i="3"/>
  <c r="DF419" i="3"/>
  <c r="DE419" i="3"/>
  <c r="DD419" i="3"/>
  <c r="DC419" i="3"/>
  <c r="DB419" i="3"/>
  <c r="DA419" i="3"/>
  <c r="CO419" i="3"/>
  <c r="CN419" i="3"/>
  <c r="CL419" i="3"/>
  <c r="CM419" i="3" s="1"/>
  <c r="AE419" i="3" s="1"/>
  <c r="AH419" i="3" s="1"/>
  <c r="AI419" i="3" s="1"/>
  <c r="CK419" i="3"/>
  <c r="CJ419" i="3"/>
  <c r="CI419" i="3"/>
  <c r="CH419" i="3"/>
  <c r="BE419" i="3"/>
  <c r="AX419" i="3"/>
  <c r="AU419" i="3"/>
  <c r="AT419" i="3" s="1"/>
  <c r="AS419" i="3"/>
  <c r="AR419" i="3" s="1"/>
  <c r="AP419" i="3"/>
  <c r="AO419" i="3"/>
  <c r="AN419" i="3"/>
  <c r="AM419" i="3" s="1"/>
  <c r="Y419" i="3"/>
  <c r="X419" i="3"/>
  <c r="DW418" i="3"/>
  <c r="DV418" i="3"/>
  <c r="DU418" i="3"/>
  <c r="DT418" i="3"/>
  <c r="DS418" i="3"/>
  <c r="DR418" i="3"/>
  <c r="DQ418" i="3"/>
  <c r="DP418" i="3"/>
  <c r="DO418" i="3"/>
  <c r="DN418" i="3"/>
  <c r="DM418" i="3"/>
  <c r="DL418" i="3"/>
  <c r="DK418" i="3"/>
  <c r="DJ418" i="3"/>
  <c r="DI418" i="3"/>
  <c r="DF418" i="3"/>
  <c r="DE418" i="3"/>
  <c r="DD418" i="3"/>
  <c r="DC418" i="3"/>
  <c r="DB418" i="3"/>
  <c r="DA418" i="3"/>
  <c r="CO418" i="3"/>
  <c r="CN418" i="3"/>
  <c r="CL418" i="3"/>
  <c r="CM418" i="3" s="1"/>
  <c r="AE418" i="3" s="1"/>
  <c r="AH418" i="3" s="1"/>
  <c r="CK418" i="3"/>
  <c r="CJ418" i="3"/>
  <c r="CI418" i="3"/>
  <c r="CH418" i="3"/>
  <c r="BE418" i="3"/>
  <c r="AX418" i="3"/>
  <c r="AU418" i="3"/>
  <c r="AT418" i="3" s="1"/>
  <c r="AS418" i="3"/>
  <c r="AR418" i="3" s="1"/>
  <c r="AP418" i="3"/>
  <c r="AO418" i="3"/>
  <c r="AN418" i="3"/>
  <c r="Y418" i="3"/>
  <c r="X418" i="3"/>
  <c r="DW417" i="3"/>
  <c r="DV417" i="3"/>
  <c r="DU417" i="3"/>
  <c r="DT417" i="3"/>
  <c r="DS417" i="3"/>
  <c r="DR417" i="3"/>
  <c r="DQ417" i="3"/>
  <c r="DP417" i="3"/>
  <c r="DO417" i="3"/>
  <c r="DN417" i="3"/>
  <c r="DM417" i="3"/>
  <c r="DL417" i="3"/>
  <c r="DK417" i="3"/>
  <c r="DJ417" i="3"/>
  <c r="DI417" i="3"/>
  <c r="DF417" i="3"/>
  <c r="DE417" i="3"/>
  <c r="DD417" i="3"/>
  <c r="DC417" i="3"/>
  <c r="DB417" i="3"/>
  <c r="DA417" i="3"/>
  <c r="CO417" i="3"/>
  <c r="CN417" i="3"/>
  <c r="CL417" i="3"/>
  <c r="CM417" i="3" s="1"/>
  <c r="AE417" i="3" s="1"/>
  <c r="CK417" i="3"/>
  <c r="CJ417" i="3"/>
  <c r="CI417" i="3"/>
  <c r="CH417" i="3"/>
  <c r="BE417" i="3"/>
  <c r="AX417" i="3"/>
  <c r="AU417" i="3"/>
  <c r="AT417" i="3" s="1"/>
  <c r="AS417" i="3"/>
  <c r="AR417" i="3" s="1"/>
  <c r="AP417" i="3"/>
  <c r="AO417" i="3"/>
  <c r="AN417" i="3"/>
  <c r="Y417" i="3"/>
  <c r="X417" i="3"/>
  <c r="DW416" i="3"/>
  <c r="DV416" i="3"/>
  <c r="DU416" i="3"/>
  <c r="DT416" i="3"/>
  <c r="DS416" i="3"/>
  <c r="DR416" i="3"/>
  <c r="DQ416" i="3"/>
  <c r="DP416" i="3"/>
  <c r="DO416" i="3"/>
  <c r="DN416" i="3"/>
  <c r="DM416" i="3"/>
  <c r="DL416" i="3"/>
  <c r="DK416" i="3"/>
  <c r="DJ416" i="3"/>
  <c r="DI416" i="3"/>
  <c r="DF416" i="3"/>
  <c r="DE416" i="3"/>
  <c r="DD416" i="3"/>
  <c r="DC416" i="3"/>
  <c r="DB416" i="3"/>
  <c r="DA416" i="3"/>
  <c r="CO416" i="3"/>
  <c r="CN416" i="3"/>
  <c r="CL416" i="3"/>
  <c r="CM416" i="3" s="1"/>
  <c r="AE416" i="3" s="1"/>
  <c r="AH416" i="3" s="1"/>
  <c r="CK416" i="3"/>
  <c r="CJ416" i="3"/>
  <c r="CI416" i="3"/>
  <c r="CH416" i="3"/>
  <c r="BE416" i="3"/>
  <c r="AX416" i="3"/>
  <c r="AU416" i="3"/>
  <c r="AT416" i="3" s="1"/>
  <c r="AS416" i="3"/>
  <c r="AR416" i="3" s="1"/>
  <c r="AP416" i="3"/>
  <c r="AO416" i="3"/>
  <c r="AN416" i="3"/>
  <c r="Y416" i="3"/>
  <c r="X416" i="3"/>
  <c r="DW415" i="3"/>
  <c r="DV415" i="3"/>
  <c r="DU415" i="3"/>
  <c r="DT415" i="3"/>
  <c r="DS415" i="3"/>
  <c r="DR415" i="3"/>
  <c r="DQ415" i="3"/>
  <c r="DP415" i="3"/>
  <c r="DO415" i="3"/>
  <c r="DN415" i="3"/>
  <c r="DM415" i="3"/>
  <c r="DL415" i="3"/>
  <c r="DK415" i="3"/>
  <c r="DJ415" i="3"/>
  <c r="DI415" i="3"/>
  <c r="DF415" i="3"/>
  <c r="DE415" i="3"/>
  <c r="DD415" i="3"/>
  <c r="DC415" i="3"/>
  <c r="DB415" i="3"/>
  <c r="DA415" i="3"/>
  <c r="CO415" i="3"/>
  <c r="CN415" i="3"/>
  <c r="CL415" i="3"/>
  <c r="CM415" i="3" s="1"/>
  <c r="AE415" i="3" s="1"/>
  <c r="CK415" i="3"/>
  <c r="CJ415" i="3"/>
  <c r="CI415" i="3"/>
  <c r="CH415" i="3"/>
  <c r="BE415" i="3"/>
  <c r="AX415" i="3"/>
  <c r="AU415" i="3"/>
  <c r="AT415" i="3" s="1"/>
  <c r="AS415" i="3"/>
  <c r="AR415" i="3" s="1"/>
  <c r="AP415" i="3"/>
  <c r="AO415" i="3"/>
  <c r="AN415" i="3"/>
  <c r="Y415" i="3"/>
  <c r="X415" i="3"/>
  <c r="DW414" i="3"/>
  <c r="DV414" i="3"/>
  <c r="DU414" i="3"/>
  <c r="DT414" i="3"/>
  <c r="DS414" i="3"/>
  <c r="DR414" i="3"/>
  <c r="DQ414" i="3"/>
  <c r="DP414" i="3"/>
  <c r="DO414" i="3"/>
  <c r="DN414" i="3"/>
  <c r="DM414" i="3"/>
  <c r="DL414" i="3"/>
  <c r="DK414" i="3"/>
  <c r="DJ414" i="3"/>
  <c r="DI414" i="3"/>
  <c r="DF414" i="3"/>
  <c r="DE414" i="3"/>
  <c r="DD414" i="3"/>
  <c r="DC414" i="3"/>
  <c r="DB414" i="3"/>
  <c r="DA414" i="3"/>
  <c r="CO414" i="3"/>
  <c r="CN414" i="3"/>
  <c r="CL414" i="3"/>
  <c r="CM414" i="3" s="1"/>
  <c r="AE414" i="3" s="1"/>
  <c r="CK414" i="3"/>
  <c r="CJ414" i="3"/>
  <c r="CI414" i="3"/>
  <c r="CH414" i="3"/>
  <c r="BE414" i="3"/>
  <c r="AX414" i="3"/>
  <c r="AU414" i="3"/>
  <c r="AT414" i="3" s="1"/>
  <c r="AS414" i="3"/>
  <c r="AR414" i="3" s="1"/>
  <c r="AP414" i="3"/>
  <c r="AO414" i="3"/>
  <c r="AN414" i="3"/>
  <c r="Y414" i="3"/>
  <c r="X414" i="3"/>
  <c r="DW413" i="3"/>
  <c r="DV413" i="3"/>
  <c r="DU413" i="3"/>
  <c r="DT413" i="3"/>
  <c r="DS413" i="3"/>
  <c r="DR413" i="3"/>
  <c r="DQ413" i="3"/>
  <c r="DP413" i="3"/>
  <c r="DO413" i="3"/>
  <c r="DN413" i="3"/>
  <c r="DM413" i="3"/>
  <c r="DL413" i="3"/>
  <c r="DK413" i="3"/>
  <c r="DJ413" i="3"/>
  <c r="DI413" i="3"/>
  <c r="DF413" i="3"/>
  <c r="DE413" i="3"/>
  <c r="DD413" i="3"/>
  <c r="DC413" i="3"/>
  <c r="DB413" i="3"/>
  <c r="DA413" i="3"/>
  <c r="CO413" i="3"/>
  <c r="CN413" i="3"/>
  <c r="CL413" i="3"/>
  <c r="CM413" i="3" s="1"/>
  <c r="AE413" i="3" s="1"/>
  <c r="AH413" i="3" s="1"/>
  <c r="AI413" i="3" s="1"/>
  <c r="CK413" i="3"/>
  <c r="CJ413" i="3"/>
  <c r="CI413" i="3"/>
  <c r="CH413" i="3"/>
  <c r="BE413" i="3"/>
  <c r="AX413" i="3"/>
  <c r="AU413" i="3"/>
  <c r="AT413" i="3" s="1"/>
  <c r="AS413" i="3"/>
  <c r="AR413" i="3" s="1"/>
  <c r="AP413" i="3"/>
  <c r="AO413" i="3"/>
  <c r="AN413" i="3"/>
  <c r="Y413" i="3"/>
  <c r="X413" i="3"/>
  <c r="DW412" i="3"/>
  <c r="DV412" i="3"/>
  <c r="DU412" i="3"/>
  <c r="DT412" i="3"/>
  <c r="DS412" i="3"/>
  <c r="DR412" i="3"/>
  <c r="DQ412" i="3"/>
  <c r="DP412" i="3"/>
  <c r="DO412" i="3"/>
  <c r="DN412" i="3"/>
  <c r="DM412" i="3"/>
  <c r="DL412" i="3"/>
  <c r="DK412" i="3"/>
  <c r="DJ412" i="3"/>
  <c r="DI412" i="3"/>
  <c r="DF412" i="3"/>
  <c r="DE412" i="3"/>
  <c r="DD412" i="3"/>
  <c r="DC412" i="3"/>
  <c r="DB412" i="3"/>
  <c r="DA412" i="3"/>
  <c r="CO412" i="3"/>
  <c r="CN412" i="3"/>
  <c r="CL412" i="3"/>
  <c r="CM412" i="3" s="1"/>
  <c r="AE412" i="3" s="1"/>
  <c r="CK412" i="3"/>
  <c r="CJ412" i="3"/>
  <c r="CI412" i="3"/>
  <c r="CH412" i="3"/>
  <c r="BE412" i="3"/>
  <c r="AX412" i="3"/>
  <c r="AU412" i="3"/>
  <c r="AT412" i="3" s="1"/>
  <c r="AS412" i="3"/>
  <c r="AR412" i="3" s="1"/>
  <c r="AP412" i="3"/>
  <c r="AO412" i="3"/>
  <c r="AN412" i="3"/>
  <c r="Y412" i="3"/>
  <c r="X412" i="3"/>
  <c r="DW411" i="3"/>
  <c r="DV411" i="3"/>
  <c r="DU411" i="3"/>
  <c r="DT411" i="3"/>
  <c r="DS411" i="3"/>
  <c r="DR411" i="3"/>
  <c r="DQ411" i="3"/>
  <c r="DP411" i="3"/>
  <c r="DO411" i="3"/>
  <c r="DN411" i="3"/>
  <c r="DM411" i="3"/>
  <c r="DL411" i="3"/>
  <c r="DK411" i="3"/>
  <c r="DJ411" i="3"/>
  <c r="DI411" i="3"/>
  <c r="DF411" i="3"/>
  <c r="DE411" i="3"/>
  <c r="DD411" i="3"/>
  <c r="DC411" i="3"/>
  <c r="DB411" i="3"/>
  <c r="DA411" i="3"/>
  <c r="CO411" i="3"/>
  <c r="CN411" i="3"/>
  <c r="CL411" i="3"/>
  <c r="CM411" i="3" s="1"/>
  <c r="AE411" i="3" s="1"/>
  <c r="AH411" i="3" s="1"/>
  <c r="AI411" i="3" s="1"/>
  <c r="CK411" i="3"/>
  <c r="CJ411" i="3"/>
  <c r="CI411" i="3"/>
  <c r="CH411" i="3"/>
  <c r="BE411" i="3"/>
  <c r="AX411" i="3"/>
  <c r="AU411" i="3"/>
  <c r="AT411" i="3" s="1"/>
  <c r="AS411" i="3"/>
  <c r="AR411" i="3" s="1"/>
  <c r="AP411" i="3"/>
  <c r="AO411" i="3"/>
  <c r="AN411" i="3"/>
  <c r="Y411" i="3"/>
  <c r="X411" i="3"/>
  <c r="DW410" i="3"/>
  <c r="DV410" i="3"/>
  <c r="DU410" i="3"/>
  <c r="DT410" i="3"/>
  <c r="DS410" i="3"/>
  <c r="DR410" i="3"/>
  <c r="DQ410" i="3"/>
  <c r="DP410" i="3"/>
  <c r="DO410" i="3"/>
  <c r="DN410" i="3"/>
  <c r="DM410" i="3"/>
  <c r="DL410" i="3"/>
  <c r="DK410" i="3"/>
  <c r="DJ410" i="3"/>
  <c r="DI410" i="3"/>
  <c r="DF410" i="3"/>
  <c r="DE410" i="3"/>
  <c r="DD410" i="3"/>
  <c r="DC410" i="3"/>
  <c r="DB410" i="3"/>
  <c r="DA410" i="3"/>
  <c r="CO410" i="3"/>
  <c r="CN410" i="3"/>
  <c r="CL410" i="3"/>
  <c r="CM410" i="3" s="1"/>
  <c r="AE410" i="3" s="1"/>
  <c r="CK410" i="3"/>
  <c r="CJ410" i="3"/>
  <c r="CI410" i="3"/>
  <c r="CH410" i="3"/>
  <c r="BE410" i="3"/>
  <c r="AX410" i="3"/>
  <c r="AU410" i="3"/>
  <c r="AT410" i="3" s="1"/>
  <c r="AS410" i="3"/>
  <c r="AR410" i="3" s="1"/>
  <c r="AP410" i="3"/>
  <c r="AO410" i="3"/>
  <c r="AN410" i="3"/>
  <c r="Y410" i="3"/>
  <c r="X410" i="3"/>
  <c r="DW409" i="3"/>
  <c r="DV409" i="3"/>
  <c r="DU409" i="3"/>
  <c r="DT409" i="3"/>
  <c r="DS409" i="3"/>
  <c r="DR409" i="3"/>
  <c r="DQ409" i="3"/>
  <c r="DP409" i="3"/>
  <c r="DO409" i="3"/>
  <c r="DN409" i="3"/>
  <c r="DM409" i="3"/>
  <c r="DL409" i="3"/>
  <c r="DK409" i="3"/>
  <c r="DJ409" i="3"/>
  <c r="DI409" i="3"/>
  <c r="DF409" i="3"/>
  <c r="DE409" i="3"/>
  <c r="DD409" i="3"/>
  <c r="DC409" i="3"/>
  <c r="DB409" i="3"/>
  <c r="DA409" i="3"/>
  <c r="CO409" i="3"/>
  <c r="CN409" i="3"/>
  <c r="CL409" i="3"/>
  <c r="CM409" i="3" s="1"/>
  <c r="AE409" i="3" s="1"/>
  <c r="CK409" i="3"/>
  <c r="CJ409" i="3"/>
  <c r="CI409" i="3"/>
  <c r="CH409" i="3"/>
  <c r="BE409" i="3"/>
  <c r="AX409" i="3"/>
  <c r="AU409" i="3"/>
  <c r="AT409" i="3" s="1"/>
  <c r="AS409" i="3"/>
  <c r="AR409" i="3" s="1"/>
  <c r="AP409" i="3"/>
  <c r="AO409" i="3"/>
  <c r="AN409" i="3"/>
  <c r="Y409" i="3"/>
  <c r="X409" i="3"/>
  <c r="DW408" i="3"/>
  <c r="DV408" i="3"/>
  <c r="DU408" i="3"/>
  <c r="DT408" i="3"/>
  <c r="DS408" i="3"/>
  <c r="DR408" i="3"/>
  <c r="DQ408" i="3"/>
  <c r="DP408" i="3"/>
  <c r="DO408" i="3"/>
  <c r="DN408" i="3"/>
  <c r="DM408" i="3"/>
  <c r="DL408" i="3"/>
  <c r="DK408" i="3"/>
  <c r="DJ408" i="3"/>
  <c r="DI408" i="3"/>
  <c r="DF408" i="3"/>
  <c r="DE408" i="3"/>
  <c r="DD408" i="3"/>
  <c r="DC408" i="3"/>
  <c r="DB408" i="3"/>
  <c r="DA408" i="3"/>
  <c r="CO408" i="3"/>
  <c r="CN408" i="3"/>
  <c r="CL408" i="3"/>
  <c r="CM408" i="3" s="1"/>
  <c r="AE408" i="3" s="1"/>
  <c r="AH408" i="3" s="1"/>
  <c r="CK408" i="3"/>
  <c r="CJ408" i="3"/>
  <c r="CI408" i="3"/>
  <c r="CH408" i="3"/>
  <c r="BE408" i="3"/>
  <c r="AX408" i="3"/>
  <c r="AU408" i="3"/>
  <c r="AT408" i="3" s="1"/>
  <c r="AS408" i="3"/>
  <c r="AR408" i="3" s="1"/>
  <c r="AP408" i="3"/>
  <c r="AO408" i="3"/>
  <c r="AN408" i="3"/>
  <c r="AM408" i="3" s="1"/>
  <c r="Y408" i="3"/>
  <c r="X408" i="3"/>
  <c r="DW407" i="3"/>
  <c r="DV407" i="3"/>
  <c r="DU407" i="3"/>
  <c r="DT407" i="3"/>
  <c r="DS407" i="3"/>
  <c r="DR407" i="3"/>
  <c r="DQ407" i="3"/>
  <c r="DP407" i="3"/>
  <c r="DO407" i="3"/>
  <c r="DN407" i="3"/>
  <c r="DM407" i="3"/>
  <c r="DL407" i="3"/>
  <c r="DK407" i="3"/>
  <c r="DJ407" i="3"/>
  <c r="DI407" i="3"/>
  <c r="DF407" i="3"/>
  <c r="DE407" i="3"/>
  <c r="DD407" i="3"/>
  <c r="DC407" i="3"/>
  <c r="DB407" i="3"/>
  <c r="DA407" i="3"/>
  <c r="CO407" i="3"/>
  <c r="CN407" i="3"/>
  <c r="CL407" i="3"/>
  <c r="CM407" i="3" s="1"/>
  <c r="AE407" i="3" s="1"/>
  <c r="CK407" i="3"/>
  <c r="CJ407" i="3"/>
  <c r="CI407" i="3"/>
  <c r="CH407" i="3"/>
  <c r="BE407" i="3"/>
  <c r="AX407" i="3"/>
  <c r="AU407" i="3"/>
  <c r="AT407" i="3" s="1"/>
  <c r="AS407" i="3"/>
  <c r="AR407" i="3" s="1"/>
  <c r="AP407" i="3"/>
  <c r="AO407" i="3"/>
  <c r="AN407" i="3"/>
  <c r="BM407" i="3" s="1"/>
  <c r="Y407" i="3"/>
  <c r="X407" i="3"/>
  <c r="DW406" i="3"/>
  <c r="DV406" i="3"/>
  <c r="DU406" i="3"/>
  <c r="DT406" i="3"/>
  <c r="DS406" i="3"/>
  <c r="DR406" i="3"/>
  <c r="DQ406" i="3"/>
  <c r="DP406" i="3"/>
  <c r="DO406" i="3"/>
  <c r="DN406" i="3"/>
  <c r="DM406" i="3"/>
  <c r="DL406" i="3"/>
  <c r="DK406" i="3"/>
  <c r="DJ406" i="3"/>
  <c r="DI406" i="3"/>
  <c r="DF406" i="3"/>
  <c r="DE406" i="3"/>
  <c r="DD406" i="3"/>
  <c r="DC406" i="3"/>
  <c r="DB406" i="3"/>
  <c r="DA406" i="3"/>
  <c r="CO406" i="3"/>
  <c r="CN406" i="3"/>
  <c r="CL406" i="3"/>
  <c r="CM406" i="3" s="1"/>
  <c r="AE406" i="3" s="1"/>
  <c r="CK406" i="3"/>
  <c r="CJ406" i="3"/>
  <c r="CI406" i="3"/>
  <c r="CH406" i="3"/>
  <c r="BE406" i="3"/>
  <c r="AX406" i="3"/>
  <c r="AU406" i="3"/>
  <c r="AT406" i="3" s="1"/>
  <c r="AS406" i="3"/>
  <c r="AR406" i="3" s="1"/>
  <c r="AP406" i="3"/>
  <c r="AO406" i="3"/>
  <c r="AN406" i="3"/>
  <c r="Y406" i="3"/>
  <c r="X406" i="3"/>
  <c r="DW405" i="3"/>
  <c r="DV405" i="3"/>
  <c r="DU405" i="3"/>
  <c r="DT405" i="3"/>
  <c r="DS405" i="3"/>
  <c r="DR405" i="3"/>
  <c r="DQ405" i="3"/>
  <c r="DP405" i="3"/>
  <c r="DO405" i="3"/>
  <c r="DN405" i="3"/>
  <c r="DM405" i="3"/>
  <c r="DL405" i="3"/>
  <c r="DK405" i="3"/>
  <c r="DJ405" i="3"/>
  <c r="DI405" i="3"/>
  <c r="DF405" i="3"/>
  <c r="DE405" i="3"/>
  <c r="DD405" i="3"/>
  <c r="DC405" i="3"/>
  <c r="DB405" i="3"/>
  <c r="DA405" i="3"/>
  <c r="CO405" i="3"/>
  <c r="CN405" i="3"/>
  <c r="CL405" i="3"/>
  <c r="CM405" i="3" s="1"/>
  <c r="AE405" i="3" s="1"/>
  <c r="AH405" i="3" s="1"/>
  <c r="AI405" i="3" s="1"/>
  <c r="CK405" i="3"/>
  <c r="CJ405" i="3"/>
  <c r="CI405" i="3"/>
  <c r="CH405" i="3"/>
  <c r="BE405" i="3"/>
  <c r="AX405" i="3"/>
  <c r="AU405" i="3"/>
  <c r="AT405" i="3" s="1"/>
  <c r="AS405" i="3"/>
  <c r="AR405" i="3" s="1"/>
  <c r="AP405" i="3"/>
  <c r="AO405" i="3"/>
  <c r="AN405" i="3"/>
  <c r="Y405" i="3"/>
  <c r="X405" i="3"/>
  <c r="DW404" i="3"/>
  <c r="DV404" i="3"/>
  <c r="DU404" i="3"/>
  <c r="DT404" i="3"/>
  <c r="DS404" i="3"/>
  <c r="DR404" i="3"/>
  <c r="DQ404" i="3"/>
  <c r="DP404" i="3"/>
  <c r="DO404" i="3"/>
  <c r="DN404" i="3"/>
  <c r="DM404" i="3"/>
  <c r="DL404" i="3"/>
  <c r="DK404" i="3"/>
  <c r="DJ404" i="3"/>
  <c r="DI404" i="3"/>
  <c r="DF404" i="3"/>
  <c r="DE404" i="3"/>
  <c r="DD404" i="3"/>
  <c r="DC404" i="3"/>
  <c r="DB404" i="3"/>
  <c r="DA404" i="3"/>
  <c r="CO404" i="3"/>
  <c r="CN404" i="3"/>
  <c r="CL404" i="3"/>
  <c r="CM404" i="3" s="1"/>
  <c r="AE404" i="3" s="1"/>
  <c r="AH404" i="3" s="1"/>
  <c r="AI404" i="3" s="1"/>
  <c r="CK404" i="3"/>
  <c r="CJ404" i="3"/>
  <c r="CI404" i="3"/>
  <c r="CH404" i="3"/>
  <c r="BE404" i="3"/>
  <c r="AX404" i="3"/>
  <c r="AU404" i="3"/>
  <c r="AT404" i="3" s="1"/>
  <c r="AS404" i="3"/>
  <c r="AR404" i="3" s="1"/>
  <c r="AP404" i="3"/>
  <c r="AO404" i="3"/>
  <c r="AN404" i="3"/>
  <c r="Y404" i="3"/>
  <c r="X404" i="3"/>
  <c r="DW403" i="3"/>
  <c r="DV403" i="3"/>
  <c r="DU403" i="3"/>
  <c r="DT403" i="3"/>
  <c r="DS403" i="3"/>
  <c r="DR403" i="3"/>
  <c r="DQ403" i="3"/>
  <c r="DP403" i="3"/>
  <c r="DO403" i="3"/>
  <c r="DN403" i="3"/>
  <c r="DM403" i="3"/>
  <c r="DL403" i="3"/>
  <c r="DK403" i="3"/>
  <c r="DJ403" i="3"/>
  <c r="DI403" i="3"/>
  <c r="DF403" i="3"/>
  <c r="DE403" i="3"/>
  <c r="DD403" i="3"/>
  <c r="DC403" i="3"/>
  <c r="DB403" i="3"/>
  <c r="DA403" i="3"/>
  <c r="CO403" i="3"/>
  <c r="CN403" i="3"/>
  <c r="CL403" i="3"/>
  <c r="CM403" i="3" s="1"/>
  <c r="AE403" i="3" s="1"/>
  <c r="CK403" i="3"/>
  <c r="CJ403" i="3"/>
  <c r="CI403" i="3"/>
  <c r="CH403" i="3"/>
  <c r="BE403" i="3"/>
  <c r="AX403" i="3"/>
  <c r="AU403" i="3"/>
  <c r="AT403" i="3" s="1"/>
  <c r="AS403" i="3"/>
  <c r="AR403" i="3" s="1"/>
  <c r="AP403" i="3"/>
  <c r="AO403" i="3"/>
  <c r="AN403" i="3"/>
  <c r="BM403" i="3" s="1"/>
  <c r="Y403" i="3"/>
  <c r="X403" i="3"/>
  <c r="DW402" i="3"/>
  <c r="DV402" i="3"/>
  <c r="DU402" i="3"/>
  <c r="DT402" i="3"/>
  <c r="DS402" i="3"/>
  <c r="DR402" i="3"/>
  <c r="DQ402" i="3"/>
  <c r="DP402" i="3"/>
  <c r="DO402" i="3"/>
  <c r="DN402" i="3"/>
  <c r="DM402" i="3"/>
  <c r="DL402" i="3"/>
  <c r="DK402" i="3"/>
  <c r="DJ402" i="3"/>
  <c r="DI402" i="3"/>
  <c r="DF402" i="3"/>
  <c r="DE402" i="3"/>
  <c r="DD402" i="3"/>
  <c r="DC402" i="3"/>
  <c r="DB402" i="3"/>
  <c r="DA402" i="3"/>
  <c r="CO402" i="3"/>
  <c r="CN402" i="3"/>
  <c r="CL402" i="3"/>
  <c r="CM402" i="3" s="1"/>
  <c r="AE402" i="3" s="1"/>
  <c r="AH402" i="3" s="1"/>
  <c r="CK402" i="3"/>
  <c r="CJ402" i="3"/>
  <c r="CI402" i="3"/>
  <c r="CH402" i="3"/>
  <c r="BE402" i="3"/>
  <c r="AX402" i="3"/>
  <c r="AU402" i="3"/>
  <c r="AT402" i="3" s="1"/>
  <c r="AS402" i="3"/>
  <c r="AR402" i="3" s="1"/>
  <c r="AP402" i="3"/>
  <c r="AO402" i="3"/>
  <c r="AN402" i="3"/>
  <c r="Y402" i="3"/>
  <c r="X402" i="3"/>
  <c r="DW401" i="3"/>
  <c r="DV401" i="3"/>
  <c r="DU401" i="3"/>
  <c r="DT401" i="3"/>
  <c r="DS401" i="3"/>
  <c r="DR401" i="3"/>
  <c r="DQ401" i="3"/>
  <c r="DP401" i="3"/>
  <c r="DO401" i="3"/>
  <c r="DN401" i="3"/>
  <c r="DM401" i="3"/>
  <c r="DL401" i="3"/>
  <c r="DK401" i="3"/>
  <c r="DJ401" i="3"/>
  <c r="DI401" i="3"/>
  <c r="DF401" i="3"/>
  <c r="DE401" i="3"/>
  <c r="DD401" i="3"/>
  <c r="DC401" i="3"/>
  <c r="DB401" i="3"/>
  <c r="DA401" i="3"/>
  <c r="CO401" i="3"/>
  <c r="CN401" i="3"/>
  <c r="CL401" i="3"/>
  <c r="CM401" i="3" s="1"/>
  <c r="AE401" i="3" s="1"/>
  <c r="CK401" i="3"/>
  <c r="CJ401" i="3"/>
  <c r="CI401" i="3"/>
  <c r="CH401" i="3"/>
  <c r="BE401" i="3"/>
  <c r="AX401" i="3"/>
  <c r="AU401" i="3"/>
  <c r="AT401" i="3" s="1"/>
  <c r="AS401" i="3"/>
  <c r="AR401" i="3" s="1"/>
  <c r="AP401" i="3"/>
  <c r="AO401" i="3"/>
  <c r="AN401" i="3"/>
  <c r="Y401" i="3"/>
  <c r="X401" i="3"/>
  <c r="DW400" i="3"/>
  <c r="DV400" i="3"/>
  <c r="DU400" i="3"/>
  <c r="DT400" i="3"/>
  <c r="DS400" i="3"/>
  <c r="DR400" i="3"/>
  <c r="DQ400" i="3"/>
  <c r="DP400" i="3"/>
  <c r="DO400" i="3"/>
  <c r="DN400" i="3"/>
  <c r="DM400" i="3"/>
  <c r="DL400" i="3"/>
  <c r="DK400" i="3"/>
  <c r="DJ400" i="3"/>
  <c r="DI400" i="3"/>
  <c r="DF400" i="3"/>
  <c r="DE400" i="3"/>
  <c r="DD400" i="3"/>
  <c r="DC400" i="3"/>
  <c r="DB400" i="3"/>
  <c r="DA400" i="3"/>
  <c r="CO400" i="3"/>
  <c r="CN400" i="3"/>
  <c r="CL400" i="3"/>
  <c r="CM400" i="3" s="1"/>
  <c r="AE400" i="3" s="1"/>
  <c r="AH400" i="3" s="1"/>
  <c r="CK400" i="3"/>
  <c r="CJ400" i="3"/>
  <c r="CI400" i="3"/>
  <c r="CH400" i="3"/>
  <c r="BE400" i="3"/>
  <c r="AX400" i="3"/>
  <c r="AU400" i="3"/>
  <c r="AT400" i="3" s="1"/>
  <c r="AS400" i="3"/>
  <c r="AR400" i="3" s="1"/>
  <c r="AP400" i="3"/>
  <c r="AO400" i="3"/>
  <c r="AN400" i="3"/>
  <c r="Y400" i="3"/>
  <c r="X400" i="3"/>
  <c r="DW399" i="3"/>
  <c r="DV399" i="3"/>
  <c r="DU399" i="3"/>
  <c r="DT399" i="3"/>
  <c r="DS399" i="3"/>
  <c r="DR399" i="3"/>
  <c r="DQ399" i="3"/>
  <c r="DP399" i="3"/>
  <c r="DO399" i="3"/>
  <c r="DN399" i="3"/>
  <c r="DM399" i="3"/>
  <c r="DL399" i="3"/>
  <c r="DK399" i="3"/>
  <c r="DJ399" i="3"/>
  <c r="DI399" i="3"/>
  <c r="DF399" i="3"/>
  <c r="DE399" i="3"/>
  <c r="DD399" i="3"/>
  <c r="DC399" i="3"/>
  <c r="DB399" i="3"/>
  <c r="DA399" i="3"/>
  <c r="CO399" i="3"/>
  <c r="CN399" i="3"/>
  <c r="CL399" i="3"/>
  <c r="CM399" i="3" s="1"/>
  <c r="AE399" i="3" s="1"/>
  <c r="AH399" i="3" s="1"/>
  <c r="CK399" i="3"/>
  <c r="CJ399" i="3"/>
  <c r="CI399" i="3"/>
  <c r="CH399" i="3"/>
  <c r="BE399" i="3"/>
  <c r="AX399" i="3"/>
  <c r="AU399" i="3"/>
  <c r="AT399" i="3" s="1"/>
  <c r="AS399" i="3"/>
  <c r="AR399" i="3" s="1"/>
  <c r="AP399" i="3"/>
  <c r="AO399" i="3"/>
  <c r="AN399" i="3"/>
  <c r="Y399" i="3"/>
  <c r="X399" i="3"/>
  <c r="DW398" i="3"/>
  <c r="DV398" i="3"/>
  <c r="DU398" i="3"/>
  <c r="DT398" i="3"/>
  <c r="DS398" i="3"/>
  <c r="DR398" i="3"/>
  <c r="DQ398" i="3"/>
  <c r="DP398" i="3"/>
  <c r="DO398" i="3"/>
  <c r="DN398" i="3"/>
  <c r="DM398" i="3"/>
  <c r="DL398" i="3"/>
  <c r="DK398" i="3"/>
  <c r="DJ398" i="3"/>
  <c r="DI398" i="3"/>
  <c r="DF398" i="3"/>
  <c r="DE398" i="3"/>
  <c r="DD398" i="3"/>
  <c r="DC398" i="3"/>
  <c r="DB398" i="3"/>
  <c r="DA398" i="3"/>
  <c r="CO398" i="3"/>
  <c r="CN398" i="3"/>
  <c r="CL398" i="3"/>
  <c r="CM398" i="3" s="1"/>
  <c r="AE398" i="3" s="1"/>
  <c r="CK398" i="3"/>
  <c r="CJ398" i="3"/>
  <c r="CI398" i="3"/>
  <c r="CH398" i="3"/>
  <c r="BE398" i="3"/>
  <c r="AX398" i="3"/>
  <c r="AU398" i="3"/>
  <c r="AT398" i="3" s="1"/>
  <c r="AS398" i="3"/>
  <c r="AR398" i="3" s="1"/>
  <c r="AP398" i="3"/>
  <c r="AO398" i="3"/>
  <c r="AN398" i="3"/>
  <c r="Y398" i="3"/>
  <c r="X398" i="3"/>
  <c r="DW397" i="3"/>
  <c r="DV397" i="3"/>
  <c r="DU397" i="3"/>
  <c r="DT397" i="3"/>
  <c r="DS397" i="3"/>
  <c r="DR397" i="3"/>
  <c r="DQ397" i="3"/>
  <c r="DP397" i="3"/>
  <c r="DO397" i="3"/>
  <c r="DN397" i="3"/>
  <c r="DM397" i="3"/>
  <c r="DL397" i="3"/>
  <c r="DK397" i="3"/>
  <c r="DJ397" i="3"/>
  <c r="DI397" i="3"/>
  <c r="DF397" i="3"/>
  <c r="DE397" i="3"/>
  <c r="DD397" i="3"/>
  <c r="DC397" i="3"/>
  <c r="DB397" i="3"/>
  <c r="DA397" i="3"/>
  <c r="CO397" i="3"/>
  <c r="CN397" i="3"/>
  <c r="CL397" i="3"/>
  <c r="CM397" i="3" s="1"/>
  <c r="AE397" i="3" s="1"/>
  <c r="CK397" i="3"/>
  <c r="CJ397" i="3"/>
  <c r="CI397" i="3"/>
  <c r="CH397" i="3"/>
  <c r="BE397" i="3"/>
  <c r="AX397" i="3"/>
  <c r="AU397" i="3"/>
  <c r="AT397" i="3" s="1"/>
  <c r="AS397" i="3"/>
  <c r="AR397" i="3" s="1"/>
  <c r="AP397" i="3"/>
  <c r="AO397" i="3"/>
  <c r="AN397" i="3"/>
  <c r="Y397" i="3"/>
  <c r="X397" i="3"/>
  <c r="DW396" i="3"/>
  <c r="DV396" i="3"/>
  <c r="DU396" i="3"/>
  <c r="DT396" i="3"/>
  <c r="DS396" i="3"/>
  <c r="DR396" i="3"/>
  <c r="DQ396" i="3"/>
  <c r="DP396" i="3"/>
  <c r="DO396" i="3"/>
  <c r="DN396" i="3"/>
  <c r="DM396" i="3"/>
  <c r="DL396" i="3"/>
  <c r="DK396" i="3"/>
  <c r="DJ396" i="3"/>
  <c r="DI396" i="3"/>
  <c r="DF396" i="3"/>
  <c r="DE396" i="3"/>
  <c r="DD396" i="3"/>
  <c r="DC396" i="3"/>
  <c r="DB396" i="3"/>
  <c r="DA396" i="3"/>
  <c r="CO396" i="3"/>
  <c r="CN396" i="3"/>
  <c r="CL396" i="3"/>
  <c r="CM396" i="3" s="1"/>
  <c r="AE396" i="3" s="1"/>
  <c r="CK396" i="3"/>
  <c r="CJ396" i="3"/>
  <c r="CI396" i="3"/>
  <c r="CH396" i="3"/>
  <c r="BE396" i="3"/>
  <c r="AX396" i="3"/>
  <c r="AU396" i="3"/>
  <c r="AT396" i="3" s="1"/>
  <c r="AS396" i="3"/>
  <c r="AR396" i="3" s="1"/>
  <c r="AP396" i="3"/>
  <c r="AO396" i="3"/>
  <c r="AN396" i="3"/>
  <c r="AM396" i="3" s="1"/>
  <c r="Y396" i="3"/>
  <c r="X396" i="3"/>
  <c r="DW395" i="3"/>
  <c r="DV395" i="3"/>
  <c r="DU395" i="3"/>
  <c r="DT395" i="3"/>
  <c r="DS395" i="3"/>
  <c r="DR395" i="3"/>
  <c r="DQ395" i="3"/>
  <c r="DP395" i="3"/>
  <c r="DO395" i="3"/>
  <c r="DN395" i="3"/>
  <c r="DM395" i="3"/>
  <c r="DL395" i="3"/>
  <c r="DK395" i="3"/>
  <c r="DJ395" i="3"/>
  <c r="DI395" i="3"/>
  <c r="DF395" i="3"/>
  <c r="DE395" i="3"/>
  <c r="DD395" i="3"/>
  <c r="DC395" i="3"/>
  <c r="DB395" i="3"/>
  <c r="DA395" i="3"/>
  <c r="CO395" i="3"/>
  <c r="CN395" i="3"/>
  <c r="CL395" i="3"/>
  <c r="CM395" i="3" s="1"/>
  <c r="AE395" i="3" s="1"/>
  <c r="CK395" i="3"/>
  <c r="CJ395" i="3"/>
  <c r="CI395" i="3"/>
  <c r="CH395" i="3"/>
  <c r="BE395" i="3"/>
  <c r="AX395" i="3"/>
  <c r="AU395" i="3"/>
  <c r="AT395" i="3" s="1"/>
  <c r="AS395" i="3"/>
  <c r="AR395" i="3" s="1"/>
  <c r="AP395" i="3"/>
  <c r="AO395" i="3"/>
  <c r="AN395" i="3"/>
  <c r="Y395" i="3"/>
  <c r="X395" i="3"/>
  <c r="DW394" i="3"/>
  <c r="DV394" i="3"/>
  <c r="DU394" i="3"/>
  <c r="DT394" i="3"/>
  <c r="DS394" i="3"/>
  <c r="DR394" i="3"/>
  <c r="DQ394" i="3"/>
  <c r="DP394" i="3"/>
  <c r="DO394" i="3"/>
  <c r="DN394" i="3"/>
  <c r="DM394" i="3"/>
  <c r="DL394" i="3"/>
  <c r="DK394" i="3"/>
  <c r="DJ394" i="3"/>
  <c r="DI394" i="3"/>
  <c r="DF394" i="3"/>
  <c r="DE394" i="3"/>
  <c r="DD394" i="3"/>
  <c r="DC394" i="3"/>
  <c r="DB394" i="3"/>
  <c r="DA394" i="3"/>
  <c r="CO394" i="3"/>
  <c r="CN394" i="3"/>
  <c r="CL394" i="3"/>
  <c r="CM394" i="3" s="1"/>
  <c r="AE394" i="3" s="1"/>
  <c r="AH394" i="3" s="1"/>
  <c r="CK394" i="3"/>
  <c r="CJ394" i="3"/>
  <c r="CI394" i="3"/>
  <c r="CH394" i="3"/>
  <c r="BE394" i="3"/>
  <c r="AX394" i="3"/>
  <c r="AU394" i="3"/>
  <c r="AT394" i="3" s="1"/>
  <c r="AS394" i="3"/>
  <c r="AR394" i="3" s="1"/>
  <c r="AP394" i="3"/>
  <c r="AO394" i="3"/>
  <c r="AN394" i="3"/>
  <c r="Y394" i="3"/>
  <c r="X394" i="3"/>
  <c r="DW393" i="3"/>
  <c r="DV393" i="3"/>
  <c r="DU393" i="3"/>
  <c r="DT393" i="3"/>
  <c r="DS393" i="3"/>
  <c r="DR393" i="3"/>
  <c r="DQ393" i="3"/>
  <c r="DP393" i="3"/>
  <c r="DO393" i="3"/>
  <c r="DN393" i="3"/>
  <c r="DM393" i="3"/>
  <c r="DL393" i="3"/>
  <c r="DK393" i="3"/>
  <c r="DJ393" i="3"/>
  <c r="DI393" i="3"/>
  <c r="DF393" i="3"/>
  <c r="DE393" i="3"/>
  <c r="DD393" i="3"/>
  <c r="DC393" i="3"/>
  <c r="DB393" i="3"/>
  <c r="DA393" i="3"/>
  <c r="CO393" i="3"/>
  <c r="CN393" i="3"/>
  <c r="CL393" i="3"/>
  <c r="CM393" i="3" s="1"/>
  <c r="AE393" i="3" s="1"/>
  <c r="CK393" i="3"/>
  <c r="CJ393" i="3"/>
  <c r="CI393" i="3"/>
  <c r="CH393" i="3"/>
  <c r="BE393" i="3"/>
  <c r="AX393" i="3"/>
  <c r="AU393" i="3"/>
  <c r="AT393" i="3" s="1"/>
  <c r="AS393" i="3"/>
  <c r="AR393" i="3" s="1"/>
  <c r="AP393" i="3"/>
  <c r="AO393" i="3"/>
  <c r="AN393" i="3"/>
  <c r="Y393" i="3"/>
  <c r="X393" i="3"/>
  <c r="DW392" i="3"/>
  <c r="DV392" i="3"/>
  <c r="DU392" i="3"/>
  <c r="DT392" i="3"/>
  <c r="DS392" i="3"/>
  <c r="DR392" i="3"/>
  <c r="DQ392" i="3"/>
  <c r="DP392" i="3"/>
  <c r="DO392" i="3"/>
  <c r="DN392" i="3"/>
  <c r="DM392" i="3"/>
  <c r="DL392" i="3"/>
  <c r="DK392" i="3"/>
  <c r="DJ392" i="3"/>
  <c r="DI392" i="3"/>
  <c r="DF392" i="3"/>
  <c r="DE392" i="3"/>
  <c r="DD392" i="3"/>
  <c r="DC392" i="3"/>
  <c r="DB392" i="3"/>
  <c r="DA392" i="3"/>
  <c r="CO392" i="3"/>
  <c r="CN392" i="3"/>
  <c r="CL392" i="3"/>
  <c r="CM392" i="3" s="1"/>
  <c r="AE392" i="3" s="1"/>
  <c r="CK392" i="3"/>
  <c r="CJ392" i="3"/>
  <c r="CI392" i="3"/>
  <c r="CH392" i="3"/>
  <c r="BE392" i="3"/>
  <c r="AX392" i="3"/>
  <c r="AU392" i="3"/>
  <c r="AT392" i="3" s="1"/>
  <c r="AS392" i="3"/>
  <c r="AR392" i="3" s="1"/>
  <c r="AP392" i="3"/>
  <c r="AO392" i="3"/>
  <c r="AN392" i="3"/>
  <c r="AM392" i="3" s="1"/>
  <c r="Y392" i="3"/>
  <c r="X392" i="3"/>
  <c r="DW391" i="3"/>
  <c r="DV391" i="3"/>
  <c r="DU391" i="3"/>
  <c r="DT391" i="3"/>
  <c r="DS391" i="3"/>
  <c r="DR391" i="3"/>
  <c r="DQ391" i="3"/>
  <c r="DP391" i="3"/>
  <c r="DO391" i="3"/>
  <c r="DN391" i="3"/>
  <c r="DM391" i="3"/>
  <c r="DL391" i="3"/>
  <c r="DK391" i="3"/>
  <c r="DJ391" i="3"/>
  <c r="DI391" i="3"/>
  <c r="DF391" i="3"/>
  <c r="DE391" i="3"/>
  <c r="DD391" i="3"/>
  <c r="DC391" i="3"/>
  <c r="DB391" i="3"/>
  <c r="DA391" i="3"/>
  <c r="CO391" i="3"/>
  <c r="CN391" i="3"/>
  <c r="CL391" i="3"/>
  <c r="CM391" i="3" s="1"/>
  <c r="AE391" i="3" s="1"/>
  <c r="CK391" i="3"/>
  <c r="CJ391" i="3"/>
  <c r="CI391" i="3"/>
  <c r="CH391" i="3"/>
  <c r="BE391" i="3"/>
  <c r="AX391" i="3"/>
  <c r="AU391" i="3"/>
  <c r="AT391" i="3" s="1"/>
  <c r="AS391" i="3"/>
  <c r="AR391" i="3" s="1"/>
  <c r="AP391" i="3"/>
  <c r="AO391" i="3"/>
  <c r="AN391" i="3"/>
  <c r="Y391" i="3"/>
  <c r="X391" i="3"/>
  <c r="DW390" i="3"/>
  <c r="DV390" i="3"/>
  <c r="DU390" i="3"/>
  <c r="DT390" i="3"/>
  <c r="DS390" i="3"/>
  <c r="DR390" i="3"/>
  <c r="DQ390" i="3"/>
  <c r="DP390" i="3"/>
  <c r="DO390" i="3"/>
  <c r="DN390" i="3"/>
  <c r="DM390" i="3"/>
  <c r="DL390" i="3"/>
  <c r="DK390" i="3"/>
  <c r="DJ390" i="3"/>
  <c r="DI390" i="3"/>
  <c r="DF390" i="3"/>
  <c r="DE390" i="3"/>
  <c r="DD390" i="3"/>
  <c r="DC390" i="3"/>
  <c r="DB390" i="3"/>
  <c r="DA390" i="3"/>
  <c r="CO390" i="3"/>
  <c r="CN390" i="3"/>
  <c r="CL390" i="3"/>
  <c r="CM390" i="3" s="1"/>
  <c r="AE390" i="3" s="1"/>
  <c r="AH390" i="3" s="1"/>
  <c r="CK390" i="3"/>
  <c r="CJ390" i="3"/>
  <c r="CI390" i="3"/>
  <c r="CH390" i="3"/>
  <c r="BE390" i="3"/>
  <c r="AX390" i="3"/>
  <c r="AU390" i="3"/>
  <c r="AT390" i="3" s="1"/>
  <c r="AS390" i="3"/>
  <c r="AR390" i="3" s="1"/>
  <c r="AP390" i="3"/>
  <c r="AO390" i="3"/>
  <c r="AN390" i="3"/>
  <c r="AM390" i="3" s="1"/>
  <c r="Y390" i="3"/>
  <c r="X390" i="3"/>
  <c r="DW389" i="3"/>
  <c r="DV389" i="3"/>
  <c r="DU389" i="3"/>
  <c r="DT389" i="3"/>
  <c r="DS389" i="3"/>
  <c r="DR389" i="3"/>
  <c r="DQ389" i="3"/>
  <c r="DP389" i="3"/>
  <c r="DO389" i="3"/>
  <c r="DN389" i="3"/>
  <c r="DM389" i="3"/>
  <c r="DL389" i="3"/>
  <c r="DK389" i="3"/>
  <c r="DJ389" i="3"/>
  <c r="DI389" i="3"/>
  <c r="DF389" i="3"/>
  <c r="DE389" i="3"/>
  <c r="DD389" i="3"/>
  <c r="DC389" i="3"/>
  <c r="DB389" i="3"/>
  <c r="DA389" i="3"/>
  <c r="CO389" i="3"/>
  <c r="CN389" i="3"/>
  <c r="CL389" i="3"/>
  <c r="CM389" i="3" s="1"/>
  <c r="AE389" i="3" s="1"/>
  <c r="AH389" i="3" s="1"/>
  <c r="AI389" i="3" s="1"/>
  <c r="CK389" i="3"/>
  <c r="CJ389" i="3"/>
  <c r="CI389" i="3"/>
  <c r="CH389" i="3"/>
  <c r="BE389" i="3"/>
  <c r="AX389" i="3"/>
  <c r="AU389" i="3"/>
  <c r="AT389" i="3" s="1"/>
  <c r="AS389" i="3"/>
  <c r="AR389" i="3" s="1"/>
  <c r="AP389" i="3"/>
  <c r="AO389" i="3"/>
  <c r="AN389" i="3"/>
  <c r="Y389" i="3"/>
  <c r="X389" i="3"/>
  <c r="DW388" i="3"/>
  <c r="DV388" i="3"/>
  <c r="DU388" i="3"/>
  <c r="DT388" i="3"/>
  <c r="DS388" i="3"/>
  <c r="DR388" i="3"/>
  <c r="DQ388" i="3"/>
  <c r="DP388" i="3"/>
  <c r="DO388" i="3"/>
  <c r="DN388" i="3"/>
  <c r="DM388" i="3"/>
  <c r="DL388" i="3"/>
  <c r="DK388" i="3"/>
  <c r="DJ388" i="3"/>
  <c r="DI388" i="3"/>
  <c r="DF388" i="3"/>
  <c r="DE388" i="3"/>
  <c r="DD388" i="3"/>
  <c r="DC388" i="3"/>
  <c r="DB388" i="3"/>
  <c r="DA388" i="3"/>
  <c r="CO388" i="3"/>
  <c r="CN388" i="3"/>
  <c r="CL388" i="3"/>
  <c r="CM388" i="3" s="1"/>
  <c r="AE388" i="3" s="1"/>
  <c r="AH388" i="3" s="1"/>
  <c r="AI388" i="3" s="1"/>
  <c r="CK388" i="3"/>
  <c r="CJ388" i="3"/>
  <c r="CI388" i="3"/>
  <c r="CH388" i="3"/>
  <c r="BE388" i="3"/>
  <c r="AX388" i="3"/>
  <c r="AU388" i="3"/>
  <c r="AT388" i="3" s="1"/>
  <c r="AS388" i="3"/>
  <c r="AR388" i="3" s="1"/>
  <c r="AP388" i="3"/>
  <c r="AO388" i="3"/>
  <c r="AN388" i="3"/>
  <c r="Y388" i="3"/>
  <c r="X388" i="3"/>
  <c r="DW387" i="3"/>
  <c r="DV387" i="3"/>
  <c r="DU387" i="3"/>
  <c r="DT387" i="3"/>
  <c r="DS387" i="3"/>
  <c r="DR387" i="3"/>
  <c r="DQ387" i="3"/>
  <c r="DP387" i="3"/>
  <c r="DO387" i="3"/>
  <c r="DN387" i="3"/>
  <c r="DM387" i="3"/>
  <c r="DL387" i="3"/>
  <c r="DK387" i="3"/>
  <c r="DJ387" i="3"/>
  <c r="DI387" i="3"/>
  <c r="DF387" i="3"/>
  <c r="DE387" i="3"/>
  <c r="DD387" i="3"/>
  <c r="DC387" i="3"/>
  <c r="DB387" i="3"/>
  <c r="DA387" i="3"/>
  <c r="CO387" i="3"/>
  <c r="CN387" i="3"/>
  <c r="CL387" i="3"/>
  <c r="CM387" i="3" s="1"/>
  <c r="AE387" i="3" s="1"/>
  <c r="AH387" i="3" s="1"/>
  <c r="AI387" i="3" s="1"/>
  <c r="CK387" i="3"/>
  <c r="CJ387" i="3"/>
  <c r="CI387" i="3"/>
  <c r="CH387" i="3"/>
  <c r="BE387" i="3"/>
  <c r="AX387" i="3"/>
  <c r="AU387" i="3"/>
  <c r="AT387" i="3" s="1"/>
  <c r="AS387" i="3"/>
  <c r="AR387" i="3" s="1"/>
  <c r="AP387" i="3"/>
  <c r="AO387" i="3"/>
  <c r="AN387" i="3"/>
  <c r="Y387" i="3"/>
  <c r="X387" i="3"/>
  <c r="DW386" i="3"/>
  <c r="DV386" i="3"/>
  <c r="DU386" i="3"/>
  <c r="DT386" i="3"/>
  <c r="DS386" i="3"/>
  <c r="DR386" i="3"/>
  <c r="DQ386" i="3"/>
  <c r="DP386" i="3"/>
  <c r="DO386" i="3"/>
  <c r="DN386" i="3"/>
  <c r="DM386" i="3"/>
  <c r="DL386" i="3"/>
  <c r="DK386" i="3"/>
  <c r="DJ386" i="3"/>
  <c r="DI386" i="3"/>
  <c r="DF386" i="3"/>
  <c r="DE386" i="3"/>
  <c r="DD386" i="3"/>
  <c r="DC386" i="3"/>
  <c r="DB386" i="3"/>
  <c r="DA386" i="3"/>
  <c r="CO386" i="3"/>
  <c r="CN386" i="3"/>
  <c r="CL386" i="3"/>
  <c r="CM386" i="3" s="1"/>
  <c r="AE386" i="3" s="1"/>
  <c r="CK386" i="3"/>
  <c r="CJ386" i="3"/>
  <c r="CI386" i="3"/>
  <c r="CH386" i="3"/>
  <c r="BE386" i="3"/>
  <c r="AX386" i="3"/>
  <c r="AU386" i="3"/>
  <c r="AT386" i="3" s="1"/>
  <c r="AS386" i="3"/>
  <c r="AR386" i="3" s="1"/>
  <c r="AP386" i="3"/>
  <c r="AO386" i="3"/>
  <c r="AN386" i="3"/>
  <c r="Y386" i="3"/>
  <c r="X386" i="3"/>
  <c r="DW385" i="3"/>
  <c r="DV385" i="3"/>
  <c r="DU385" i="3"/>
  <c r="DT385" i="3"/>
  <c r="DS385" i="3"/>
  <c r="DR385" i="3"/>
  <c r="DQ385" i="3"/>
  <c r="DP385" i="3"/>
  <c r="DO385" i="3"/>
  <c r="DN385" i="3"/>
  <c r="DM385" i="3"/>
  <c r="DL385" i="3"/>
  <c r="DK385" i="3"/>
  <c r="DJ385" i="3"/>
  <c r="DI385" i="3"/>
  <c r="DF385" i="3"/>
  <c r="DE385" i="3"/>
  <c r="DD385" i="3"/>
  <c r="DC385" i="3"/>
  <c r="DB385" i="3"/>
  <c r="DA385" i="3"/>
  <c r="CO385" i="3"/>
  <c r="CN385" i="3"/>
  <c r="CL385" i="3"/>
  <c r="CM385" i="3" s="1"/>
  <c r="AE385" i="3" s="1"/>
  <c r="CK385" i="3"/>
  <c r="CJ385" i="3"/>
  <c r="CI385" i="3"/>
  <c r="CH385" i="3"/>
  <c r="BE385" i="3"/>
  <c r="AX385" i="3"/>
  <c r="AU385" i="3"/>
  <c r="AT385" i="3" s="1"/>
  <c r="AS385" i="3"/>
  <c r="AR385" i="3" s="1"/>
  <c r="AP385" i="3"/>
  <c r="AO385" i="3"/>
  <c r="AN385" i="3"/>
  <c r="Y385" i="3"/>
  <c r="X385" i="3"/>
  <c r="DW384" i="3"/>
  <c r="DV384" i="3"/>
  <c r="DU384" i="3"/>
  <c r="DT384" i="3"/>
  <c r="DS384" i="3"/>
  <c r="DR384" i="3"/>
  <c r="DQ384" i="3"/>
  <c r="DP384" i="3"/>
  <c r="DO384" i="3"/>
  <c r="DN384" i="3"/>
  <c r="DM384" i="3"/>
  <c r="DL384" i="3"/>
  <c r="DK384" i="3"/>
  <c r="DJ384" i="3"/>
  <c r="DI384" i="3"/>
  <c r="DF384" i="3"/>
  <c r="DE384" i="3"/>
  <c r="DD384" i="3"/>
  <c r="DC384" i="3"/>
  <c r="DB384" i="3"/>
  <c r="DA384" i="3"/>
  <c r="CO384" i="3"/>
  <c r="CN384" i="3"/>
  <c r="CL384" i="3"/>
  <c r="CM384" i="3" s="1"/>
  <c r="AE384" i="3" s="1"/>
  <c r="CK384" i="3"/>
  <c r="CJ384" i="3"/>
  <c r="CI384" i="3"/>
  <c r="CH384" i="3"/>
  <c r="BE384" i="3"/>
  <c r="AX384" i="3"/>
  <c r="AU384" i="3"/>
  <c r="AT384" i="3" s="1"/>
  <c r="AS384" i="3"/>
  <c r="AR384" i="3" s="1"/>
  <c r="AP384" i="3"/>
  <c r="AO384" i="3"/>
  <c r="AN384" i="3"/>
  <c r="Y384" i="3"/>
  <c r="X384" i="3"/>
  <c r="DW383" i="3"/>
  <c r="DV383" i="3"/>
  <c r="DU383" i="3"/>
  <c r="DT383" i="3"/>
  <c r="DS383" i="3"/>
  <c r="DR383" i="3"/>
  <c r="DQ383" i="3"/>
  <c r="DP383" i="3"/>
  <c r="DO383" i="3"/>
  <c r="DN383" i="3"/>
  <c r="DM383" i="3"/>
  <c r="DL383" i="3"/>
  <c r="DK383" i="3"/>
  <c r="DJ383" i="3"/>
  <c r="DI383" i="3"/>
  <c r="DF383" i="3"/>
  <c r="DE383" i="3"/>
  <c r="DD383" i="3"/>
  <c r="DC383" i="3"/>
  <c r="DB383" i="3"/>
  <c r="DA383" i="3"/>
  <c r="CO383" i="3"/>
  <c r="CN383" i="3"/>
  <c r="CL383" i="3"/>
  <c r="CM383" i="3" s="1"/>
  <c r="AE383" i="3" s="1"/>
  <c r="CK383" i="3"/>
  <c r="CJ383" i="3"/>
  <c r="CI383" i="3"/>
  <c r="CH383" i="3"/>
  <c r="BE383" i="3"/>
  <c r="AX383" i="3"/>
  <c r="AU383" i="3"/>
  <c r="AT383" i="3" s="1"/>
  <c r="AS383" i="3"/>
  <c r="AR383" i="3" s="1"/>
  <c r="AP383" i="3"/>
  <c r="AO383" i="3"/>
  <c r="AN383" i="3"/>
  <c r="Y383" i="3"/>
  <c r="X383" i="3"/>
  <c r="DW382" i="3"/>
  <c r="DV382" i="3"/>
  <c r="DU382" i="3"/>
  <c r="DT382" i="3"/>
  <c r="DS382" i="3"/>
  <c r="DR382" i="3"/>
  <c r="DQ382" i="3"/>
  <c r="DP382" i="3"/>
  <c r="DO382" i="3"/>
  <c r="DN382" i="3"/>
  <c r="DM382" i="3"/>
  <c r="DL382" i="3"/>
  <c r="DK382" i="3"/>
  <c r="DJ382" i="3"/>
  <c r="DI382" i="3"/>
  <c r="DF382" i="3"/>
  <c r="DE382" i="3"/>
  <c r="DD382" i="3"/>
  <c r="DC382" i="3"/>
  <c r="DB382" i="3"/>
  <c r="DA382" i="3"/>
  <c r="CO382" i="3"/>
  <c r="CN382" i="3"/>
  <c r="CL382" i="3"/>
  <c r="CM382" i="3" s="1"/>
  <c r="AE382" i="3" s="1"/>
  <c r="AH382" i="3" s="1"/>
  <c r="CK382" i="3"/>
  <c r="CJ382" i="3"/>
  <c r="CI382" i="3"/>
  <c r="CH382" i="3"/>
  <c r="BE382" i="3"/>
  <c r="AX382" i="3"/>
  <c r="AU382" i="3"/>
  <c r="AT382" i="3" s="1"/>
  <c r="AS382" i="3"/>
  <c r="AR382" i="3" s="1"/>
  <c r="AP382" i="3"/>
  <c r="AO382" i="3"/>
  <c r="AN382" i="3"/>
  <c r="Y382" i="3"/>
  <c r="X382" i="3"/>
  <c r="DW381" i="3"/>
  <c r="DV381" i="3"/>
  <c r="DU381" i="3"/>
  <c r="DT381" i="3"/>
  <c r="DS381" i="3"/>
  <c r="DR381" i="3"/>
  <c r="DQ381" i="3"/>
  <c r="DP381" i="3"/>
  <c r="DO381" i="3"/>
  <c r="DN381" i="3"/>
  <c r="DM381" i="3"/>
  <c r="DL381" i="3"/>
  <c r="DK381" i="3"/>
  <c r="DJ381" i="3"/>
  <c r="DI381" i="3"/>
  <c r="DF381" i="3"/>
  <c r="DE381" i="3"/>
  <c r="DD381" i="3"/>
  <c r="DC381" i="3"/>
  <c r="DB381" i="3"/>
  <c r="DA381" i="3"/>
  <c r="CO381" i="3"/>
  <c r="CN381" i="3"/>
  <c r="CL381" i="3"/>
  <c r="CM381" i="3" s="1"/>
  <c r="AE381" i="3" s="1"/>
  <c r="CK381" i="3"/>
  <c r="CJ381" i="3"/>
  <c r="CI381" i="3"/>
  <c r="CH381" i="3"/>
  <c r="BE381" i="3"/>
  <c r="AX381" i="3"/>
  <c r="AU381" i="3"/>
  <c r="AT381" i="3" s="1"/>
  <c r="AS381" i="3"/>
  <c r="AR381" i="3" s="1"/>
  <c r="AP381" i="3"/>
  <c r="AO381" i="3"/>
  <c r="AN381" i="3"/>
  <c r="Y381" i="3"/>
  <c r="X381" i="3"/>
  <c r="DW380" i="3"/>
  <c r="DV380" i="3"/>
  <c r="DU380" i="3"/>
  <c r="DT380" i="3"/>
  <c r="DS380" i="3"/>
  <c r="DR380" i="3"/>
  <c r="DQ380" i="3"/>
  <c r="DP380" i="3"/>
  <c r="DO380" i="3"/>
  <c r="DN380" i="3"/>
  <c r="DM380" i="3"/>
  <c r="DL380" i="3"/>
  <c r="DK380" i="3"/>
  <c r="DJ380" i="3"/>
  <c r="DI380" i="3"/>
  <c r="DF380" i="3"/>
  <c r="DE380" i="3"/>
  <c r="DD380" i="3"/>
  <c r="DC380" i="3"/>
  <c r="DB380" i="3"/>
  <c r="DA380" i="3"/>
  <c r="CO380" i="3"/>
  <c r="CN380" i="3"/>
  <c r="CL380" i="3"/>
  <c r="CM380" i="3" s="1"/>
  <c r="AE380" i="3" s="1"/>
  <c r="AH380" i="3" s="1"/>
  <c r="AI380" i="3" s="1"/>
  <c r="CK380" i="3"/>
  <c r="CJ380" i="3"/>
  <c r="CI380" i="3"/>
  <c r="CH380" i="3"/>
  <c r="BE380" i="3"/>
  <c r="AX380" i="3"/>
  <c r="AU380" i="3"/>
  <c r="AT380" i="3" s="1"/>
  <c r="AS380" i="3"/>
  <c r="AR380" i="3" s="1"/>
  <c r="AP380" i="3"/>
  <c r="AO380" i="3"/>
  <c r="AN380" i="3"/>
  <c r="Y380" i="3"/>
  <c r="X380" i="3"/>
  <c r="DW379" i="3"/>
  <c r="DV379" i="3"/>
  <c r="DU379" i="3"/>
  <c r="DT379" i="3"/>
  <c r="DS379" i="3"/>
  <c r="DR379" i="3"/>
  <c r="DQ379" i="3"/>
  <c r="DP379" i="3"/>
  <c r="DO379" i="3"/>
  <c r="DN379" i="3"/>
  <c r="DM379" i="3"/>
  <c r="DL379" i="3"/>
  <c r="DK379" i="3"/>
  <c r="DJ379" i="3"/>
  <c r="DI379" i="3"/>
  <c r="DF379" i="3"/>
  <c r="DE379" i="3"/>
  <c r="DD379" i="3"/>
  <c r="DC379" i="3"/>
  <c r="DB379" i="3"/>
  <c r="DA379" i="3"/>
  <c r="CO379" i="3"/>
  <c r="CN379" i="3"/>
  <c r="CL379" i="3"/>
  <c r="CM379" i="3" s="1"/>
  <c r="AE379" i="3" s="1"/>
  <c r="CK379" i="3"/>
  <c r="CJ379" i="3"/>
  <c r="CI379" i="3"/>
  <c r="CH379" i="3"/>
  <c r="BE379" i="3"/>
  <c r="AX379" i="3"/>
  <c r="AU379" i="3"/>
  <c r="AT379" i="3" s="1"/>
  <c r="AS379" i="3"/>
  <c r="AR379" i="3" s="1"/>
  <c r="AP379" i="3"/>
  <c r="AO379" i="3"/>
  <c r="AN379" i="3"/>
  <c r="Y379" i="3"/>
  <c r="X379" i="3"/>
  <c r="DW378" i="3"/>
  <c r="DV378" i="3"/>
  <c r="DU378" i="3"/>
  <c r="DT378" i="3"/>
  <c r="DS378" i="3"/>
  <c r="DR378" i="3"/>
  <c r="DQ378" i="3"/>
  <c r="DP378" i="3"/>
  <c r="DO378" i="3"/>
  <c r="DN378" i="3"/>
  <c r="DM378" i="3"/>
  <c r="DL378" i="3"/>
  <c r="DK378" i="3"/>
  <c r="DJ378" i="3"/>
  <c r="DI378" i="3"/>
  <c r="DF378" i="3"/>
  <c r="DE378" i="3"/>
  <c r="DD378" i="3"/>
  <c r="DC378" i="3"/>
  <c r="DB378" i="3"/>
  <c r="DA378" i="3"/>
  <c r="CO378" i="3"/>
  <c r="CN378" i="3"/>
  <c r="CL378" i="3"/>
  <c r="CM378" i="3" s="1"/>
  <c r="AE378" i="3" s="1"/>
  <c r="CK378" i="3"/>
  <c r="CJ378" i="3"/>
  <c r="CI378" i="3"/>
  <c r="CH378" i="3"/>
  <c r="BE378" i="3"/>
  <c r="AX378" i="3"/>
  <c r="AU378" i="3"/>
  <c r="AT378" i="3" s="1"/>
  <c r="AS378" i="3"/>
  <c r="AR378" i="3" s="1"/>
  <c r="AP378" i="3"/>
  <c r="AO378" i="3"/>
  <c r="AN378" i="3"/>
  <c r="Y378" i="3"/>
  <c r="X378" i="3"/>
  <c r="DW377" i="3"/>
  <c r="DV377" i="3"/>
  <c r="DU377" i="3"/>
  <c r="DT377" i="3"/>
  <c r="DS377" i="3"/>
  <c r="DR377" i="3"/>
  <c r="DQ377" i="3"/>
  <c r="DP377" i="3"/>
  <c r="DO377" i="3"/>
  <c r="DN377" i="3"/>
  <c r="DM377" i="3"/>
  <c r="DL377" i="3"/>
  <c r="DK377" i="3"/>
  <c r="DJ377" i="3"/>
  <c r="DI377" i="3"/>
  <c r="DF377" i="3"/>
  <c r="DE377" i="3"/>
  <c r="DD377" i="3"/>
  <c r="DC377" i="3"/>
  <c r="DB377" i="3"/>
  <c r="DA377" i="3"/>
  <c r="CO377" i="3"/>
  <c r="CN377" i="3"/>
  <c r="CL377" i="3"/>
  <c r="CM377" i="3" s="1"/>
  <c r="AE377" i="3" s="1"/>
  <c r="AH377" i="3" s="1"/>
  <c r="CK377" i="3"/>
  <c r="CJ377" i="3"/>
  <c r="CI377" i="3"/>
  <c r="CH377" i="3"/>
  <c r="BE377" i="3"/>
  <c r="AX377" i="3"/>
  <c r="AU377" i="3"/>
  <c r="AT377" i="3" s="1"/>
  <c r="AS377" i="3"/>
  <c r="AR377" i="3" s="1"/>
  <c r="AP377" i="3"/>
  <c r="AO377" i="3"/>
  <c r="AN377" i="3"/>
  <c r="Y377" i="3"/>
  <c r="X377" i="3"/>
  <c r="DW376" i="3"/>
  <c r="DV376" i="3"/>
  <c r="DU376" i="3"/>
  <c r="DT376" i="3"/>
  <c r="DS376" i="3"/>
  <c r="DR376" i="3"/>
  <c r="DQ376" i="3"/>
  <c r="DP376" i="3"/>
  <c r="DO376" i="3"/>
  <c r="DN376" i="3"/>
  <c r="DM376" i="3"/>
  <c r="DL376" i="3"/>
  <c r="DK376" i="3"/>
  <c r="DJ376" i="3"/>
  <c r="DI376" i="3"/>
  <c r="DF376" i="3"/>
  <c r="DE376" i="3"/>
  <c r="DD376" i="3"/>
  <c r="DC376" i="3"/>
  <c r="DB376" i="3"/>
  <c r="DA376" i="3"/>
  <c r="CO376" i="3"/>
  <c r="CN376" i="3"/>
  <c r="CL376" i="3"/>
  <c r="CM376" i="3" s="1"/>
  <c r="AE376" i="3" s="1"/>
  <c r="CK376" i="3"/>
  <c r="CJ376" i="3"/>
  <c r="CI376" i="3"/>
  <c r="CH376" i="3"/>
  <c r="BE376" i="3"/>
  <c r="AX376" i="3"/>
  <c r="AU376" i="3"/>
  <c r="AT376" i="3" s="1"/>
  <c r="AS376" i="3"/>
  <c r="AR376" i="3" s="1"/>
  <c r="AP376" i="3"/>
  <c r="AO376" i="3"/>
  <c r="AN376" i="3"/>
  <c r="Y376" i="3"/>
  <c r="X376" i="3"/>
  <c r="DW375" i="3"/>
  <c r="DV375" i="3"/>
  <c r="DU375" i="3"/>
  <c r="DT375" i="3"/>
  <c r="DS375" i="3"/>
  <c r="DR375" i="3"/>
  <c r="DQ375" i="3"/>
  <c r="DP375" i="3"/>
  <c r="DO375" i="3"/>
  <c r="DN375" i="3"/>
  <c r="DM375" i="3"/>
  <c r="DL375" i="3"/>
  <c r="DK375" i="3"/>
  <c r="DJ375" i="3"/>
  <c r="DI375" i="3"/>
  <c r="DF375" i="3"/>
  <c r="DE375" i="3"/>
  <c r="DD375" i="3"/>
  <c r="DC375" i="3"/>
  <c r="DB375" i="3"/>
  <c r="DA375" i="3"/>
  <c r="CO375" i="3"/>
  <c r="CN375" i="3"/>
  <c r="CL375" i="3"/>
  <c r="CM375" i="3" s="1"/>
  <c r="AE375" i="3" s="1"/>
  <c r="AH375" i="3" s="1"/>
  <c r="CK375" i="3"/>
  <c r="CJ375" i="3"/>
  <c r="CI375" i="3"/>
  <c r="CH375" i="3"/>
  <c r="BE375" i="3"/>
  <c r="AX375" i="3"/>
  <c r="AU375" i="3"/>
  <c r="AT375" i="3" s="1"/>
  <c r="AS375" i="3"/>
  <c r="AR375" i="3" s="1"/>
  <c r="AP375" i="3"/>
  <c r="AO375" i="3"/>
  <c r="AN375" i="3"/>
  <c r="Y375" i="3"/>
  <c r="X375" i="3"/>
  <c r="DW374" i="3"/>
  <c r="DV374" i="3"/>
  <c r="DU374" i="3"/>
  <c r="DT374" i="3"/>
  <c r="DS374" i="3"/>
  <c r="DR374" i="3"/>
  <c r="DQ374" i="3"/>
  <c r="DP374" i="3"/>
  <c r="DO374" i="3"/>
  <c r="DN374" i="3"/>
  <c r="DM374" i="3"/>
  <c r="DL374" i="3"/>
  <c r="DK374" i="3"/>
  <c r="DJ374" i="3"/>
  <c r="DI374" i="3"/>
  <c r="DF374" i="3"/>
  <c r="DE374" i="3"/>
  <c r="DD374" i="3"/>
  <c r="DC374" i="3"/>
  <c r="DB374" i="3"/>
  <c r="DA374" i="3"/>
  <c r="CO374" i="3"/>
  <c r="CN374" i="3"/>
  <c r="CL374" i="3"/>
  <c r="CM374" i="3" s="1"/>
  <c r="AE374" i="3" s="1"/>
  <c r="AH374" i="3" s="1"/>
  <c r="CK374" i="3"/>
  <c r="CJ374" i="3"/>
  <c r="CI374" i="3"/>
  <c r="CH374" i="3"/>
  <c r="BE374" i="3"/>
  <c r="AX374" i="3"/>
  <c r="AU374" i="3"/>
  <c r="AT374" i="3" s="1"/>
  <c r="AS374" i="3"/>
  <c r="AR374" i="3" s="1"/>
  <c r="AP374" i="3"/>
  <c r="AO374" i="3"/>
  <c r="AN374" i="3"/>
  <c r="Y374" i="3"/>
  <c r="X374" i="3"/>
  <c r="DW373" i="3"/>
  <c r="DV373" i="3"/>
  <c r="DU373" i="3"/>
  <c r="DT373" i="3"/>
  <c r="DS373" i="3"/>
  <c r="DR373" i="3"/>
  <c r="DQ373" i="3"/>
  <c r="DP373" i="3"/>
  <c r="DO373" i="3"/>
  <c r="DN373" i="3"/>
  <c r="DM373" i="3"/>
  <c r="DL373" i="3"/>
  <c r="DK373" i="3"/>
  <c r="DJ373" i="3"/>
  <c r="DI373" i="3"/>
  <c r="DF373" i="3"/>
  <c r="DE373" i="3"/>
  <c r="DD373" i="3"/>
  <c r="DC373" i="3"/>
  <c r="DB373" i="3"/>
  <c r="DA373" i="3"/>
  <c r="CO373" i="3"/>
  <c r="CN373" i="3"/>
  <c r="CL373" i="3"/>
  <c r="CM373" i="3" s="1"/>
  <c r="AE373" i="3" s="1"/>
  <c r="AH373" i="3" s="1"/>
  <c r="AI373" i="3" s="1"/>
  <c r="CK373" i="3"/>
  <c r="CJ373" i="3"/>
  <c r="CI373" i="3"/>
  <c r="CH373" i="3"/>
  <c r="BE373" i="3"/>
  <c r="AX373" i="3"/>
  <c r="AU373" i="3"/>
  <c r="AT373" i="3" s="1"/>
  <c r="AS373" i="3"/>
  <c r="AR373" i="3" s="1"/>
  <c r="AP373" i="3"/>
  <c r="AO373" i="3"/>
  <c r="AN373" i="3"/>
  <c r="Y373" i="3"/>
  <c r="X373" i="3"/>
  <c r="DW372" i="3"/>
  <c r="DV372" i="3"/>
  <c r="DU372" i="3"/>
  <c r="DT372" i="3"/>
  <c r="DS372" i="3"/>
  <c r="DR372" i="3"/>
  <c r="DQ372" i="3"/>
  <c r="DP372" i="3"/>
  <c r="DO372" i="3"/>
  <c r="DN372" i="3"/>
  <c r="DM372" i="3"/>
  <c r="DL372" i="3"/>
  <c r="DK372" i="3"/>
  <c r="DJ372" i="3"/>
  <c r="DI372" i="3"/>
  <c r="DF372" i="3"/>
  <c r="DE372" i="3"/>
  <c r="DD372" i="3"/>
  <c r="DC372" i="3"/>
  <c r="DB372" i="3"/>
  <c r="DA372" i="3"/>
  <c r="CO372" i="3"/>
  <c r="CN372" i="3"/>
  <c r="CL372" i="3"/>
  <c r="CM372" i="3" s="1"/>
  <c r="AE372" i="3" s="1"/>
  <c r="AH372" i="3" s="1"/>
  <c r="AI372" i="3" s="1"/>
  <c r="CK372" i="3"/>
  <c r="CJ372" i="3"/>
  <c r="CI372" i="3"/>
  <c r="CH372" i="3"/>
  <c r="BE372" i="3"/>
  <c r="AX372" i="3"/>
  <c r="AU372" i="3"/>
  <c r="AT372" i="3" s="1"/>
  <c r="AS372" i="3"/>
  <c r="AR372" i="3" s="1"/>
  <c r="AP372" i="3"/>
  <c r="AO372" i="3"/>
  <c r="AN372" i="3"/>
  <c r="Y372" i="3"/>
  <c r="X372" i="3"/>
  <c r="DW371" i="3"/>
  <c r="DV371" i="3"/>
  <c r="DU371" i="3"/>
  <c r="DT371" i="3"/>
  <c r="DS371" i="3"/>
  <c r="DR371" i="3"/>
  <c r="DQ371" i="3"/>
  <c r="DP371" i="3"/>
  <c r="DO371" i="3"/>
  <c r="DN371" i="3"/>
  <c r="DM371" i="3"/>
  <c r="DL371" i="3"/>
  <c r="DK371" i="3"/>
  <c r="DJ371" i="3"/>
  <c r="DI371" i="3"/>
  <c r="DF371" i="3"/>
  <c r="DE371" i="3"/>
  <c r="DD371" i="3"/>
  <c r="DC371" i="3"/>
  <c r="DB371" i="3"/>
  <c r="DA371" i="3"/>
  <c r="CO371" i="3"/>
  <c r="CN371" i="3"/>
  <c r="CL371" i="3"/>
  <c r="CM371" i="3" s="1"/>
  <c r="AE371" i="3" s="1"/>
  <c r="CK371" i="3"/>
  <c r="CJ371" i="3"/>
  <c r="CI371" i="3"/>
  <c r="CH371" i="3"/>
  <c r="BE371" i="3"/>
  <c r="AX371" i="3"/>
  <c r="AU371" i="3"/>
  <c r="AT371" i="3" s="1"/>
  <c r="AS371" i="3"/>
  <c r="AR371" i="3" s="1"/>
  <c r="AP371" i="3"/>
  <c r="AO371" i="3"/>
  <c r="AN371" i="3"/>
  <c r="Y371" i="3"/>
  <c r="X371" i="3"/>
  <c r="DW370" i="3"/>
  <c r="DV370" i="3"/>
  <c r="DU370" i="3"/>
  <c r="DT370" i="3"/>
  <c r="DS370" i="3"/>
  <c r="DR370" i="3"/>
  <c r="DQ370" i="3"/>
  <c r="DP370" i="3"/>
  <c r="DO370" i="3"/>
  <c r="DN370" i="3"/>
  <c r="DM370" i="3"/>
  <c r="DL370" i="3"/>
  <c r="DK370" i="3"/>
  <c r="DJ370" i="3"/>
  <c r="DI370" i="3"/>
  <c r="DF370" i="3"/>
  <c r="DE370" i="3"/>
  <c r="DD370" i="3"/>
  <c r="DC370" i="3"/>
  <c r="DB370" i="3"/>
  <c r="DA370" i="3"/>
  <c r="CO370" i="3"/>
  <c r="CN370" i="3"/>
  <c r="CL370" i="3"/>
  <c r="CM370" i="3" s="1"/>
  <c r="AE370" i="3" s="1"/>
  <c r="AH370" i="3" s="1"/>
  <c r="CK370" i="3"/>
  <c r="CJ370" i="3"/>
  <c r="CI370" i="3"/>
  <c r="CH370" i="3"/>
  <c r="BE370" i="3"/>
  <c r="AX370" i="3"/>
  <c r="AU370" i="3"/>
  <c r="AT370" i="3" s="1"/>
  <c r="AS370" i="3"/>
  <c r="AR370" i="3" s="1"/>
  <c r="AP370" i="3"/>
  <c r="AO370" i="3"/>
  <c r="AN370" i="3"/>
  <c r="Y370" i="3"/>
  <c r="X370" i="3"/>
  <c r="DW369" i="3"/>
  <c r="DV369" i="3"/>
  <c r="DU369" i="3"/>
  <c r="DT369" i="3"/>
  <c r="DS369" i="3"/>
  <c r="DR369" i="3"/>
  <c r="DQ369" i="3"/>
  <c r="DP369" i="3"/>
  <c r="DO369" i="3"/>
  <c r="DN369" i="3"/>
  <c r="DM369" i="3"/>
  <c r="DL369" i="3"/>
  <c r="DK369" i="3"/>
  <c r="DJ369" i="3"/>
  <c r="DI369" i="3"/>
  <c r="DF369" i="3"/>
  <c r="DE369" i="3"/>
  <c r="DD369" i="3"/>
  <c r="DC369" i="3"/>
  <c r="DB369" i="3"/>
  <c r="DA369" i="3"/>
  <c r="CO369" i="3"/>
  <c r="CN369" i="3"/>
  <c r="CL369" i="3"/>
  <c r="CM369" i="3" s="1"/>
  <c r="AE369" i="3" s="1"/>
  <c r="CK369" i="3"/>
  <c r="CJ369" i="3"/>
  <c r="CI369" i="3"/>
  <c r="CH369" i="3"/>
  <c r="BE369" i="3"/>
  <c r="AX369" i="3"/>
  <c r="AU369" i="3"/>
  <c r="AT369" i="3" s="1"/>
  <c r="AS369" i="3"/>
  <c r="AR369" i="3" s="1"/>
  <c r="AP369" i="3"/>
  <c r="AO369" i="3"/>
  <c r="AN369" i="3"/>
  <c r="Y369" i="3"/>
  <c r="X369" i="3"/>
  <c r="DW368" i="3"/>
  <c r="DV368" i="3"/>
  <c r="DU368" i="3"/>
  <c r="DT368" i="3"/>
  <c r="DS368" i="3"/>
  <c r="DR368" i="3"/>
  <c r="DQ368" i="3"/>
  <c r="DP368" i="3"/>
  <c r="DO368" i="3"/>
  <c r="DN368" i="3"/>
  <c r="DM368" i="3"/>
  <c r="DL368" i="3"/>
  <c r="DK368" i="3"/>
  <c r="DJ368" i="3"/>
  <c r="DI368" i="3"/>
  <c r="DF368" i="3"/>
  <c r="DE368" i="3"/>
  <c r="DD368" i="3"/>
  <c r="DC368" i="3"/>
  <c r="DB368" i="3"/>
  <c r="DA368" i="3"/>
  <c r="CO368" i="3"/>
  <c r="CN368" i="3"/>
  <c r="CL368" i="3"/>
  <c r="CM368" i="3" s="1"/>
  <c r="AE368" i="3" s="1"/>
  <c r="AH368" i="3" s="1"/>
  <c r="CK368" i="3"/>
  <c r="CJ368" i="3"/>
  <c r="CI368" i="3"/>
  <c r="CH368" i="3"/>
  <c r="BE368" i="3"/>
  <c r="AX368" i="3"/>
  <c r="AU368" i="3"/>
  <c r="AT368" i="3" s="1"/>
  <c r="AS368" i="3"/>
  <c r="AR368" i="3" s="1"/>
  <c r="AP368" i="3"/>
  <c r="AO368" i="3"/>
  <c r="AN368" i="3"/>
  <c r="Y368" i="3"/>
  <c r="X368" i="3"/>
  <c r="DW367" i="3"/>
  <c r="DV367" i="3"/>
  <c r="DU367" i="3"/>
  <c r="DT367" i="3"/>
  <c r="DS367" i="3"/>
  <c r="DR367" i="3"/>
  <c r="DQ367" i="3"/>
  <c r="DP367" i="3"/>
  <c r="DO367" i="3"/>
  <c r="DN367" i="3"/>
  <c r="DM367" i="3"/>
  <c r="DL367" i="3"/>
  <c r="DK367" i="3"/>
  <c r="DJ367" i="3"/>
  <c r="DI367" i="3"/>
  <c r="DF367" i="3"/>
  <c r="DE367" i="3"/>
  <c r="DD367" i="3"/>
  <c r="DC367" i="3"/>
  <c r="DB367" i="3"/>
  <c r="DA367" i="3"/>
  <c r="CO367" i="3"/>
  <c r="CN367" i="3"/>
  <c r="CL367" i="3"/>
  <c r="CM367" i="3" s="1"/>
  <c r="AE367" i="3" s="1"/>
  <c r="CK367" i="3"/>
  <c r="CJ367" i="3"/>
  <c r="CI367" i="3"/>
  <c r="CH367" i="3"/>
  <c r="BE367" i="3"/>
  <c r="AX367" i="3"/>
  <c r="AU367" i="3"/>
  <c r="AT367" i="3" s="1"/>
  <c r="AS367" i="3"/>
  <c r="AR367" i="3" s="1"/>
  <c r="AP367" i="3"/>
  <c r="AO367" i="3"/>
  <c r="AN367" i="3"/>
  <c r="Y367" i="3"/>
  <c r="X367" i="3"/>
  <c r="DW366" i="3"/>
  <c r="DV366" i="3"/>
  <c r="DU366" i="3"/>
  <c r="DT366" i="3"/>
  <c r="DS366" i="3"/>
  <c r="DR366" i="3"/>
  <c r="DQ366" i="3"/>
  <c r="DP366" i="3"/>
  <c r="DO366" i="3"/>
  <c r="DN366" i="3"/>
  <c r="DM366" i="3"/>
  <c r="DL366" i="3"/>
  <c r="DK366" i="3"/>
  <c r="DJ366" i="3"/>
  <c r="DI366" i="3"/>
  <c r="DF366" i="3"/>
  <c r="DE366" i="3"/>
  <c r="DD366" i="3"/>
  <c r="DC366" i="3"/>
  <c r="DB366" i="3"/>
  <c r="DA366" i="3"/>
  <c r="CO366" i="3"/>
  <c r="CN366" i="3"/>
  <c r="CL366" i="3"/>
  <c r="CM366" i="3" s="1"/>
  <c r="AE366" i="3" s="1"/>
  <c r="CK366" i="3"/>
  <c r="CJ366" i="3"/>
  <c r="CI366" i="3"/>
  <c r="CH366" i="3"/>
  <c r="BE366" i="3"/>
  <c r="AX366" i="3"/>
  <c r="AU366" i="3"/>
  <c r="AT366" i="3" s="1"/>
  <c r="AS366" i="3"/>
  <c r="AR366" i="3" s="1"/>
  <c r="AP366" i="3"/>
  <c r="AO366" i="3"/>
  <c r="AN366" i="3"/>
  <c r="AM366" i="3" s="1"/>
  <c r="Y366" i="3"/>
  <c r="X366" i="3"/>
  <c r="DW365" i="3"/>
  <c r="DV365" i="3"/>
  <c r="DU365" i="3"/>
  <c r="DT365" i="3"/>
  <c r="DS365" i="3"/>
  <c r="DR365" i="3"/>
  <c r="DQ365" i="3"/>
  <c r="DP365" i="3"/>
  <c r="DO365" i="3"/>
  <c r="DN365" i="3"/>
  <c r="DM365" i="3"/>
  <c r="DL365" i="3"/>
  <c r="DK365" i="3"/>
  <c r="DJ365" i="3"/>
  <c r="DI365" i="3"/>
  <c r="DF365" i="3"/>
  <c r="DE365" i="3"/>
  <c r="DD365" i="3"/>
  <c r="DC365" i="3"/>
  <c r="DB365" i="3"/>
  <c r="DA365" i="3"/>
  <c r="CO365" i="3"/>
  <c r="CN365" i="3"/>
  <c r="CL365" i="3"/>
  <c r="CM365" i="3" s="1"/>
  <c r="AE365" i="3" s="1"/>
  <c r="AH365" i="3" s="1"/>
  <c r="AI365" i="3" s="1"/>
  <c r="CK365" i="3"/>
  <c r="CJ365" i="3"/>
  <c r="CI365" i="3"/>
  <c r="CH365" i="3"/>
  <c r="BE365" i="3"/>
  <c r="AX365" i="3"/>
  <c r="AU365" i="3"/>
  <c r="AT365" i="3" s="1"/>
  <c r="AS365" i="3"/>
  <c r="AR365" i="3" s="1"/>
  <c r="AP365" i="3"/>
  <c r="AO365" i="3"/>
  <c r="AN365" i="3"/>
  <c r="Y365" i="3"/>
  <c r="X365" i="3"/>
  <c r="DW364" i="3"/>
  <c r="DV364" i="3"/>
  <c r="DU364" i="3"/>
  <c r="DT364" i="3"/>
  <c r="DS364" i="3"/>
  <c r="DR364" i="3"/>
  <c r="DQ364" i="3"/>
  <c r="DP364" i="3"/>
  <c r="DO364" i="3"/>
  <c r="DN364" i="3"/>
  <c r="DM364" i="3"/>
  <c r="DL364" i="3"/>
  <c r="DK364" i="3"/>
  <c r="DJ364" i="3"/>
  <c r="DI364" i="3"/>
  <c r="DF364" i="3"/>
  <c r="DE364" i="3"/>
  <c r="DD364" i="3"/>
  <c r="DC364" i="3"/>
  <c r="DB364" i="3"/>
  <c r="DA364" i="3"/>
  <c r="CO364" i="3"/>
  <c r="CN364" i="3"/>
  <c r="CL364" i="3"/>
  <c r="CM364" i="3" s="1"/>
  <c r="AE364" i="3" s="1"/>
  <c r="AH364" i="3" s="1"/>
  <c r="AI364" i="3" s="1"/>
  <c r="CK364" i="3"/>
  <c r="CJ364" i="3"/>
  <c r="CI364" i="3"/>
  <c r="CH364" i="3"/>
  <c r="BE364" i="3"/>
  <c r="AX364" i="3"/>
  <c r="AU364" i="3"/>
  <c r="AT364" i="3" s="1"/>
  <c r="AS364" i="3"/>
  <c r="AR364" i="3" s="1"/>
  <c r="AP364" i="3"/>
  <c r="AO364" i="3"/>
  <c r="AN364" i="3"/>
  <c r="Y364" i="3"/>
  <c r="X364" i="3"/>
  <c r="DW363" i="3"/>
  <c r="DV363" i="3"/>
  <c r="DU363" i="3"/>
  <c r="DT363" i="3"/>
  <c r="DS363" i="3"/>
  <c r="DR363" i="3"/>
  <c r="DQ363" i="3"/>
  <c r="DP363" i="3"/>
  <c r="DO363" i="3"/>
  <c r="DN363" i="3"/>
  <c r="DM363" i="3"/>
  <c r="DL363" i="3"/>
  <c r="DK363" i="3"/>
  <c r="DJ363" i="3"/>
  <c r="DI363" i="3"/>
  <c r="DF363" i="3"/>
  <c r="DE363" i="3"/>
  <c r="DD363" i="3"/>
  <c r="DC363" i="3"/>
  <c r="DB363" i="3"/>
  <c r="DA363" i="3"/>
  <c r="CO363" i="3"/>
  <c r="CN363" i="3"/>
  <c r="CL363" i="3"/>
  <c r="CM363" i="3" s="1"/>
  <c r="AE363" i="3" s="1"/>
  <c r="CK363" i="3"/>
  <c r="CJ363" i="3"/>
  <c r="CI363" i="3"/>
  <c r="CH363" i="3"/>
  <c r="BE363" i="3"/>
  <c r="AX363" i="3"/>
  <c r="AU363" i="3"/>
  <c r="AT363" i="3" s="1"/>
  <c r="AS363" i="3"/>
  <c r="AR363" i="3" s="1"/>
  <c r="AP363" i="3"/>
  <c r="AO363" i="3"/>
  <c r="AN363" i="3"/>
  <c r="Y363" i="3"/>
  <c r="X363" i="3"/>
  <c r="DW362" i="3"/>
  <c r="DV362" i="3"/>
  <c r="DU362" i="3"/>
  <c r="DT362" i="3"/>
  <c r="DS362" i="3"/>
  <c r="DR362" i="3"/>
  <c r="DQ362" i="3"/>
  <c r="DP362" i="3"/>
  <c r="DO362" i="3"/>
  <c r="DN362" i="3"/>
  <c r="DM362" i="3"/>
  <c r="DL362" i="3"/>
  <c r="DK362" i="3"/>
  <c r="DJ362" i="3"/>
  <c r="DI362" i="3"/>
  <c r="DF362" i="3"/>
  <c r="DE362" i="3"/>
  <c r="DD362" i="3"/>
  <c r="DC362" i="3"/>
  <c r="DB362" i="3"/>
  <c r="DA362" i="3"/>
  <c r="CO362" i="3"/>
  <c r="CN362" i="3"/>
  <c r="CL362" i="3"/>
  <c r="CM362" i="3" s="1"/>
  <c r="AE362" i="3" s="1"/>
  <c r="CK362" i="3"/>
  <c r="CJ362" i="3"/>
  <c r="CI362" i="3"/>
  <c r="CH362" i="3"/>
  <c r="BE362" i="3"/>
  <c r="AX362" i="3"/>
  <c r="AU362" i="3"/>
  <c r="AT362" i="3" s="1"/>
  <c r="AS362" i="3"/>
  <c r="AR362" i="3" s="1"/>
  <c r="AP362" i="3"/>
  <c r="AO362" i="3"/>
  <c r="AN362" i="3"/>
  <c r="Y362" i="3"/>
  <c r="X362" i="3"/>
  <c r="DW361" i="3"/>
  <c r="DV361" i="3"/>
  <c r="DU361" i="3"/>
  <c r="DT361" i="3"/>
  <c r="DS361" i="3"/>
  <c r="DR361" i="3"/>
  <c r="DQ361" i="3"/>
  <c r="DP361" i="3"/>
  <c r="DO361" i="3"/>
  <c r="DN361" i="3"/>
  <c r="DM361" i="3"/>
  <c r="DL361" i="3"/>
  <c r="DK361" i="3"/>
  <c r="DJ361" i="3"/>
  <c r="DI361" i="3"/>
  <c r="DF361" i="3"/>
  <c r="DE361" i="3"/>
  <c r="DD361" i="3"/>
  <c r="DC361" i="3"/>
  <c r="DB361" i="3"/>
  <c r="DA361" i="3"/>
  <c r="CO361" i="3"/>
  <c r="CN361" i="3"/>
  <c r="CL361" i="3"/>
  <c r="CM361" i="3" s="1"/>
  <c r="AE361" i="3" s="1"/>
  <c r="CK361" i="3"/>
  <c r="CJ361" i="3"/>
  <c r="CI361" i="3"/>
  <c r="CH361" i="3"/>
  <c r="BE361" i="3"/>
  <c r="AX361" i="3"/>
  <c r="AU361" i="3"/>
  <c r="AT361" i="3" s="1"/>
  <c r="AS361" i="3"/>
  <c r="AR361" i="3" s="1"/>
  <c r="AP361" i="3"/>
  <c r="AO361" i="3"/>
  <c r="AN361" i="3"/>
  <c r="Y361" i="3"/>
  <c r="X361" i="3"/>
  <c r="DW360" i="3"/>
  <c r="DV360" i="3"/>
  <c r="DU360" i="3"/>
  <c r="DT360" i="3"/>
  <c r="DS360" i="3"/>
  <c r="DR360" i="3"/>
  <c r="DQ360" i="3"/>
  <c r="DP360" i="3"/>
  <c r="DO360" i="3"/>
  <c r="DN360" i="3"/>
  <c r="DM360" i="3"/>
  <c r="DL360" i="3"/>
  <c r="DK360" i="3"/>
  <c r="DJ360" i="3"/>
  <c r="DI360" i="3"/>
  <c r="DF360" i="3"/>
  <c r="DE360" i="3"/>
  <c r="DD360" i="3"/>
  <c r="DC360" i="3"/>
  <c r="DB360" i="3"/>
  <c r="DA360" i="3"/>
  <c r="CO360" i="3"/>
  <c r="CN360" i="3"/>
  <c r="CL360" i="3"/>
  <c r="CM360" i="3" s="1"/>
  <c r="AE360" i="3" s="1"/>
  <c r="AH360" i="3" s="1"/>
  <c r="CK360" i="3"/>
  <c r="CJ360" i="3"/>
  <c r="CI360" i="3"/>
  <c r="CH360" i="3"/>
  <c r="BE360" i="3"/>
  <c r="AX360" i="3"/>
  <c r="AU360" i="3"/>
  <c r="AT360" i="3" s="1"/>
  <c r="AS360" i="3"/>
  <c r="AR360" i="3" s="1"/>
  <c r="AP360" i="3"/>
  <c r="AO360" i="3"/>
  <c r="AN360" i="3"/>
  <c r="Y360" i="3"/>
  <c r="X360" i="3"/>
  <c r="DW359" i="3"/>
  <c r="DV359" i="3"/>
  <c r="DU359" i="3"/>
  <c r="DT359" i="3"/>
  <c r="DS359" i="3"/>
  <c r="DR359" i="3"/>
  <c r="DQ359" i="3"/>
  <c r="DP359" i="3"/>
  <c r="DO359" i="3"/>
  <c r="DN359" i="3"/>
  <c r="DM359" i="3"/>
  <c r="DL359" i="3"/>
  <c r="DK359" i="3"/>
  <c r="DJ359" i="3"/>
  <c r="DI359" i="3"/>
  <c r="DF359" i="3"/>
  <c r="DE359" i="3"/>
  <c r="DD359" i="3"/>
  <c r="DC359" i="3"/>
  <c r="DB359" i="3"/>
  <c r="DA359" i="3"/>
  <c r="CO359" i="3"/>
  <c r="CN359" i="3"/>
  <c r="CL359" i="3"/>
  <c r="CM359" i="3" s="1"/>
  <c r="AE359" i="3" s="1"/>
  <c r="CK359" i="3"/>
  <c r="CJ359" i="3"/>
  <c r="CI359" i="3"/>
  <c r="CH359" i="3"/>
  <c r="BE359" i="3"/>
  <c r="AX359" i="3"/>
  <c r="AU359" i="3"/>
  <c r="AT359" i="3" s="1"/>
  <c r="AS359" i="3"/>
  <c r="AR359" i="3" s="1"/>
  <c r="AP359" i="3"/>
  <c r="AO359" i="3"/>
  <c r="AN359" i="3"/>
  <c r="AM359" i="3" s="1"/>
  <c r="Y359" i="3"/>
  <c r="X359" i="3"/>
  <c r="DW358" i="3"/>
  <c r="DV358" i="3"/>
  <c r="DU358" i="3"/>
  <c r="DT358" i="3"/>
  <c r="DS358" i="3"/>
  <c r="DR358" i="3"/>
  <c r="DQ358" i="3"/>
  <c r="DP358" i="3"/>
  <c r="DO358" i="3"/>
  <c r="DN358" i="3"/>
  <c r="DM358" i="3"/>
  <c r="DL358" i="3"/>
  <c r="DK358" i="3"/>
  <c r="DJ358" i="3"/>
  <c r="DI358" i="3"/>
  <c r="DF358" i="3"/>
  <c r="DE358" i="3"/>
  <c r="DD358" i="3"/>
  <c r="DC358" i="3"/>
  <c r="DB358" i="3"/>
  <c r="DA358" i="3"/>
  <c r="CO358" i="3"/>
  <c r="CN358" i="3"/>
  <c r="CL358" i="3"/>
  <c r="CM358" i="3" s="1"/>
  <c r="AE358" i="3" s="1"/>
  <c r="CK358" i="3"/>
  <c r="CJ358" i="3"/>
  <c r="CI358" i="3"/>
  <c r="CH358" i="3"/>
  <c r="BE358" i="3"/>
  <c r="AX358" i="3"/>
  <c r="AU358" i="3"/>
  <c r="AT358" i="3" s="1"/>
  <c r="AS358" i="3"/>
  <c r="AR358" i="3" s="1"/>
  <c r="AP358" i="3"/>
  <c r="AO358" i="3"/>
  <c r="AN358" i="3"/>
  <c r="Y358" i="3"/>
  <c r="X358" i="3"/>
  <c r="DW357" i="3"/>
  <c r="DV357" i="3"/>
  <c r="DU357" i="3"/>
  <c r="DT357" i="3"/>
  <c r="DS357" i="3"/>
  <c r="DR357" i="3"/>
  <c r="DQ357" i="3"/>
  <c r="DP357" i="3"/>
  <c r="DO357" i="3"/>
  <c r="DN357" i="3"/>
  <c r="DM357" i="3"/>
  <c r="DL357" i="3"/>
  <c r="DK357" i="3"/>
  <c r="DJ357" i="3"/>
  <c r="DI357" i="3"/>
  <c r="DF357" i="3"/>
  <c r="DE357" i="3"/>
  <c r="DD357" i="3"/>
  <c r="DC357" i="3"/>
  <c r="DB357" i="3"/>
  <c r="DA357" i="3"/>
  <c r="CO357" i="3"/>
  <c r="CN357" i="3"/>
  <c r="CL357" i="3"/>
  <c r="CM357" i="3" s="1"/>
  <c r="AE357" i="3" s="1"/>
  <c r="AH357" i="3" s="1"/>
  <c r="AI357" i="3" s="1"/>
  <c r="CK357" i="3"/>
  <c r="CJ357" i="3"/>
  <c r="CI357" i="3"/>
  <c r="CH357" i="3"/>
  <c r="BE357" i="3"/>
  <c r="AX357" i="3"/>
  <c r="AU357" i="3"/>
  <c r="AT357" i="3" s="1"/>
  <c r="AS357" i="3"/>
  <c r="AR357" i="3" s="1"/>
  <c r="AP357" i="3"/>
  <c r="AO357" i="3"/>
  <c r="AN357" i="3"/>
  <c r="Y357" i="3"/>
  <c r="X357" i="3"/>
  <c r="DW356" i="3"/>
  <c r="DV356" i="3"/>
  <c r="DU356" i="3"/>
  <c r="DT356" i="3"/>
  <c r="DS356" i="3"/>
  <c r="DR356" i="3"/>
  <c r="DQ356" i="3"/>
  <c r="DP356" i="3"/>
  <c r="DO356" i="3"/>
  <c r="DN356" i="3"/>
  <c r="DM356" i="3"/>
  <c r="DL356" i="3"/>
  <c r="DK356" i="3"/>
  <c r="DJ356" i="3"/>
  <c r="DI356" i="3"/>
  <c r="DF356" i="3"/>
  <c r="DE356" i="3"/>
  <c r="DD356" i="3"/>
  <c r="DC356" i="3"/>
  <c r="DB356" i="3"/>
  <c r="DA356" i="3"/>
  <c r="CO356" i="3"/>
  <c r="CN356" i="3"/>
  <c r="CL356" i="3"/>
  <c r="CM356" i="3" s="1"/>
  <c r="AE356" i="3" s="1"/>
  <c r="CK356" i="3"/>
  <c r="CJ356" i="3"/>
  <c r="CI356" i="3"/>
  <c r="CH356" i="3"/>
  <c r="BE356" i="3"/>
  <c r="AX356" i="3"/>
  <c r="AU356" i="3"/>
  <c r="AT356" i="3" s="1"/>
  <c r="AS356" i="3"/>
  <c r="AR356" i="3" s="1"/>
  <c r="AP356" i="3"/>
  <c r="AO356" i="3"/>
  <c r="AN356" i="3"/>
  <c r="Y356" i="3"/>
  <c r="X356" i="3"/>
  <c r="DW355" i="3"/>
  <c r="DV355" i="3"/>
  <c r="DU355" i="3"/>
  <c r="DT355" i="3"/>
  <c r="DS355" i="3"/>
  <c r="DR355" i="3"/>
  <c r="DQ355" i="3"/>
  <c r="DP355" i="3"/>
  <c r="DO355" i="3"/>
  <c r="DN355" i="3"/>
  <c r="DM355" i="3"/>
  <c r="DL355" i="3"/>
  <c r="DK355" i="3"/>
  <c r="DJ355" i="3"/>
  <c r="DI355" i="3"/>
  <c r="DF355" i="3"/>
  <c r="DE355" i="3"/>
  <c r="DD355" i="3"/>
  <c r="DC355" i="3"/>
  <c r="DB355" i="3"/>
  <c r="DA355" i="3"/>
  <c r="CO355" i="3"/>
  <c r="CN355" i="3"/>
  <c r="CL355" i="3"/>
  <c r="CM355" i="3" s="1"/>
  <c r="AE355" i="3" s="1"/>
  <c r="CK355" i="3"/>
  <c r="CJ355" i="3"/>
  <c r="CI355" i="3"/>
  <c r="CH355" i="3"/>
  <c r="BE355" i="3"/>
  <c r="AX355" i="3"/>
  <c r="AU355" i="3"/>
  <c r="AT355" i="3" s="1"/>
  <c r="AS355" i="3"/>
  <c r="AR355" i="3" s="1"/>
  <c r="AP355" i="3"/>
  <c r="AO355" i="3"/>
  <c r="AN355" i="3"/>
  <c r="Y355" i="3"/>
  <c r="X355" i="3"/>
  <c r="DW354" i="3"/>
  <c r="DV354" i="3"/>
  <c r="DU354" i="3"/>
  <c r="DT354" i="3"/>
  <c r="DS354" i="3"/>
  <c r="DR354" i="3"/>
  <c r="DQ354" i="3"/>
  <c r="DP354" i="3"/>
  <c r="DO354" i="3"/>
  <c r="DN354" i="3"/>
  <c r="DM354" i="3"/>
  <c r="DL354" i="3"/>
  <c r="DK354" i="3"/>
  <c r="DJ354" i="3"/>
  <c r="DI354" i="3"/>
  <c r="DF354" i="3"/>
  <c r="DE354" i="3"/>
  <c r="DD354" i="3"/>
  <c r="DC354" i="3"/>
  <c r="DB354" i="3"/>
  <c r="DA354" i="3"/>
  <c r="CO354" i="3"/>
  <c r="CN354" i="3"/>
  <c r="CL354" i="3"/>
  <c r="CM354" i="3" s="1"/>
  <c r="AE354" i="3" s="1"/>
  <c r="CK354" i="3"/>
  <c r="CJ354" i="3"/>
  <c r="CI354" i="3"/>
  <c r="CH354" i="3"/>
  <c r="BE354" i="3"/>
  <c r="AX354" i="3"/>
  <c r="AU354" i="3"/>
  <c r="AT354" i="3" s="1"/>
  <c r="AS354" i="3"/>
  <c r="AR354" i="3" s="1"/>
  <c r="AP354" i="3"/>
  <c r="AO354" i="3"/>
  <c r="AN354" i="3"/>
  <c r="Y354" i="3"/>
  <c r="X354" i="3"/>
  <c r="DW353" i="3"/>
  <c r="DV353" i="3"/>
  <c r="DU353" i="3"/>
  <c r="DT353" i="3"/>
  <c r="DS353" i="3"/>
  <c r="DR353" i="3"/>
  <c r="DQ353" i="3"/>
  <c r="DP353" i="3"/>
  <c r="DO353" i="3"/>
  <c r="DN353" i="3"/>
  <c r="DM353" i="3"/>
  <c r="DL353" i="3"/>
  <c r="DK353" i="3"/>
  <c r="DJ353" i="3"/>
  <c r="DI353" i="3"/>
  <c r="DF353" i="3"/>
  <c r="DE353" i="3"/>
  <c r="DD353" i="3"/>
  <c r="DC353" i="3"/>
  <c r="DB353" i="3"/>
  <c r="DA353" i="3"/>
  <c r="CO353" i="3"/>
  <c r="CN353" i="3"/>
  <c r="CL353" i="3"/>
  <c r="CM353" i="3" s="1"/>
  <c r="AE353" i="3" s="1"/>
  <c r="AH353" i="3" s="1"/>
  <c r="CK353" i="3"/>
  <c r="CJ353" i="3"/>
  <c r="CI353" i="3"/>
  <c r="CH353" i="3"/>
  <c r="BE353" i="3"/>
  <c r="AX353" i="3"/>
  <c r="AU353" i="3"/>
  <c r="AT353" i="3" s="1"/>
  <c r="AS353" i="3"/>
  <c r="AR353" i="3" s="1"/>
  <c r="AP353" i="3"/>
  <c r="AO353" i="3"/>
  <c r="AN353" i="3"/>
  <c r="Y353" i="3"/>
  <c r="X353" i="3"/>
  <c r="DW352" i="3"/>
  <c r="DV352" i="3"/>
  <c r="DU352" i="3"/>
  <c r="DT352" i="3"/>
  <c r="DS352" i="3"/>
  <c r="DR352" i="3"/>
  <c r="DQ352" i="3"/>
  <c r="DP352" i="3"/>
  <c r="DO352" i="3"/>
  <c r="DN352" i="3"/>
  <c r="DM352" i="3"/>
  <c r="DL352" i="3"/>
  <c r="DK352" i="3"/>
  <c r="DJ352" i="3"/>
  <c r="DI352" i="3"/>
  <c r="DF352" i="3"/>
  <c r="DE352" i="3"/>
  <c r="DD352" i="3"/>
  <c r="DC352" i="3"/>
  <c r="DB352" i="3"/>
  <c r="DA352" i="3"/>
  <c r="CO352" i="3"/>
  <c r="CN352" i="3"/>
  <c r="CL352" i="3"/>
  <c r="CM352" i="3" s="1"/>
  <c r="AE352" i="3" s="1"/>
  <c r="AH352" i="3" s="1"/>
  <c r="CK352" i="3"/>
  <c r="CJ352" i="3"/>
  <c r="CI352" i="3"/>
  <c r="CH352" i="3"/>
  <c r="BE352" i="3"/>
  <c r="AX352" i="3"/>
  <c r="AU352" i="3"/>
  <c r="AT352" i="3" s="1"/>
  <c r="AS352" i="3"/>
  <c r="AR352" i="3" s="1"/>
  <c r="AP352" i="3"/>
  <c r="AO352" i="3"/>
  <c r="AN352" i="3"/>
  <c r="Y352" i="3"/>
  <c r="X352" i="3"/>
  <c r="DW351" i="3"/>
  <c r="DV351" i="3"/>
  <c r="DU351" i="3"/>
  <c r="DT351" i="3"/>
  <c r="DS351" i="3"/>
  <c r="DR351" i="3"/>
  <c r="DQ351" i="3"/>
  <c r="DP351" i="3"/>
  <c r="DO351" i="3"/>
  <c r="DN351" i="3"/>
  <c r="DM351" i="3"/>
  <c r="DL351" i="3"/>
  <c r="DK351" i="3"/>
  <c r="DJ351" i="3"/>
  <c r="DI351" i="3"/>
  <c r="DF351" i="3"/>
  <c r="DE351" i="3"/>
  <c r="DD351" i="3"/>
  <c r="DC351" i="3"/>
  <c r="DB351" i="3"/>
  <c r="DA351" i="3"/>
  <c r="CO351" i="3"/>
  <c r="CN351" i="3"/>
  <c r="CL351" i="3"/>
  <c r="CM351" i="3" s="1"/>
  <c r="AE351" i="3" s="1"/>
  <c r="CK351" i="3"/>
  <c r="CJ351" i="3"/>
  <c r="CI351" i="3"/>
  <c r="CH351" i="3"/>
  <c r="BE351" i="3"/>
  <c r="AX351" i="3"/>
  <c r="AU351" i="3"/>
  <c r="AT351" i="3" s="1"/>
  <c r="AS351" i="3"/>
  <c r="AR351" i="3" s="1"/>
  <c r="AP351" i="3"/>
  <c r="AO351" i="3"/>
  <c r="AN351" i="3"/>
  <c r="BM351" i="3" s="1"/>
  <c r="Y351" i="3"/>
  <c r="X351" i="3"/>
  <c r="DW350" i="3"/>
  <c r="DV350" i="3"/>
  <c r="DU350" i="3"/>
  <c r="DT350" i="3"/>
  <c r="DS350" i="3"/>
  <c r="DR350" i="3"/>
  <c r="DQ350" i="3"/>
  <c r="DP350" i="3"/>
  <c r="DO350" i="3"/>
  <c r="DN350" i="3"/>
  <c r="DM350" i="3"/>
  <c r="DL350" i="3"/>
  <c r="DK350" i="3"/>
  <c r="DJ350" i="3"/>
  <c r="DI350" i="3"/>
  <c r="DF350" i="3"/>
  <c r="DE350" i="3"/>
  <c r="DD350" i="3"/>
  <c r="DC350" i="3"/>
  <c r="DB350" i="3"/>
  <c r="DA350" i="3"/>
  <c r="CO350" i="3"/>
  <c r="CN350" i="3"/>
  <c r="CL350" i="3"/>
  <c r="CM350" i="3" s="1"/>
  <c r="AE350" i="3" s="1"/>
  <c r="CK350" i="3"/>
  <c r="CJ350" i="3"/>
  <c r="CI350" i="3"/>
  <c r="CH350" i="3"/>
  <c r="BE350" i="3"/>
  <c r="AX350" i="3"/>
  <c r="AU350" i="3"/>
  <c r="AT350" i="3" s="1"/>
  <c r="AS350" i="3"/>
  <c r="AR350" i="3" s="1"/>
  <c r="AP350" i="3"/>
  <c r="AO350" i="3"/>
  <c r="AN350" i="3"/>
  <c r="Y350" i="3"/>
  <c r="X350" i="3"/>
  <c r="DW349" i="3"/>
  <c r="DV349" i="3"/>
  <c r="DU349" i="3"/>
  <c r="DT349" i="3"/>
  <c r="DS349" i="3"/>
  <c r="DR349" i="3"/>
  <c r="DQ349" i="3"/>
  <c r="DP349" i="3"/>
  <c r="DO349" i="3"/>
  <c r="DN349" i="3"/>
  <c r="DM349" i="3"/>
  <c r="DL349" i="3"/>
  <c r="DK349" i="3"/>
  <c r="DJ349" i="3"/>
  <c r="DI349" i="3"/>
  <c r="DF349" i="3"/>
  <c r="DE349" i="3"/>
  <c r="DD349" i="3"/>
  <c r="DC349" i="3"/>
  <c r="DB349" i="3"/>
  <c r="DA349" i="3"/>
  <c r="CO349" i="3"/>
  <c r="CN349" i="3"/>
  <c r="CL349" i="3"/>
  <c r="CM349" i="3" s="1"/>
  <c r="AE349" i="3" s="1"/>
  <c r="CK349" i="3"/>
  <c r="CJ349" i="3"/>
  <c r="CI349" i="3"/>
  <c r="CH349" i="3"/>
  <c r="BE349" i="3"/>
  <c r="AX349" i="3"/>
  <c r="AU349" i="3"/>
  <c r="AT349" i="3" s="1"/>
  <c r="AS349" i="3"/>
  <c r="AR349" i="3" s="1"/>
  <c r="AP349" i="3"/>
  <c r="AO349" i="3"/>
  <c r="AN349" i="3"/>
  <c r="Y349" i="3"/>
  <c r="X349" i="3"/>
  <c r="DW348" i="3"/>
  <c r="DV348" i="3"/>
  <c r="DU348" i="3"/>
  <c r="DT348" i="3"/>
  <c r="DS348" i="3"/>
  <c r="DR348" i="3"/>
  <c r="DQ348" i="3"/>
  <c r="DP348" i="3"/>
  <c r="DO348" i="3"/>
  <c r="DN348" i="3"/>
  <c r="DM348" i="3"/>
  <c r="DL348" i="3"/>
  <c r="DK348" i="3"/>
  <c r="DJ348" i="3"/>
  <c r="DI348" i="3"/>
  <c r="DF348" i="3"/>
  <c r="DE348" i="3"/>
  <c r="DD348" i="3"/>
  <c r="DC348" i="3"/>
  <c r="DB348" i="3"/>
  <c r="DA348" i="3"/>
  <c r="CO348" i="3"/>
  <c r="CN348" i="3"/>
  <c r="CL348" i="3"/>
  <c r="CM348" i="3" s="1"/>
  <c r="AE348" i="3" s="1"/>
  <c r="AH348" i="3" s="1"/>
  <c r="AI348" i="3" s="1"/>
  <c r="CK348" i="3"/>
  <c r="CJ348" i="3"/>
  <c r="CI348" i="3"/>
  <c r="CH348" i="3"/>
  <c r="BE348" i="3"/>
  <c r="AX348" i="3"/>
  <c r="AU348" i="3"/>
  <c r="AT348" i="3" s="1"/>
  <c r="AS348" i="3"/>
  <c r="AR348" i="3" s="1"/>
  <c r="AP348" i="3"/>
  <c r="AO348" i="3"/>
  <c r="AN348" i="3"/>
  <c r="Y348" i="3"/>
  <c r="X348" i="3"/>
  <c r="DW347" i="3"/>
  <c r="DV347" i="3"/>
  <c r="DU347" i="3"/>
  <c r="DT347" i="3"/>
  <c r="DS347" i="3"/>
  <c r="DR347" i="3"/>
  <c r="DQ347" i="3"/>
  <c r="DP347" i="3"/>
  <c r="DO347" i="3"/>
  <c r="DN347" i="3"/>
  <c r="DM347" i="3"/>
  <c r="DL347" i="3"/>
  <c r="DK347" i="3"/>
  <c r="DJ347" i="3"/>
  <c r="DI347" i="3"/>
  <c r="DF347" i="3"/>
  <c r="DE347" i="3"/>
  <c r="DD347" i="3"/>
  <c r="DC347" i="3"/>
  <c r="DB347" i="3"/>
  <c r="DA347" i="3"/>
  <c r="CO347" i="3"/>
  <c r="CN347" i="3"/>
  <c r="CL347" i="3"/>
  <c r="CM347" i="3" s="1"/>
  <c r="AE347" i="3" s="1"/>
  <c r="CK347" i="3"/>
  <c r="CJ347" i="3"/>
  <c r="CI347" i="3"/>
  <c r="CH347" i="3"/>
  <c r="BE347" i="3"/>
  <c r="AX347" i="3"/>
  <c r="AU347" i="3"/>
  <c r="AT347" i="3" s="1"/>
  <c r="AS347" i="3"/>
  <c r="AR347" i="3" s="1"/>
  <c r="AP347" i="3"/>
  <c r="AO347" i="3"/>
  <c r="AN347" i="3"/>
  <c r="Y347" i="3"/>
  <c r="X347" i="3"/>
  <c r="DW346" i="3"/>
  <c r="DV346" i="3"/>
  <c r="DU346" i="3"/>
  <c r="DT346" i="3"/>
  <c r="DS346" i="3"/>
  <c r="DR346" i="3"/>
  <c r="DQ346" i="3"/>
  <c r="DP346" i="3"/>
  <c r="DO346" i="3"/>
  <c r="DN346" i="3"/>
  <c r="DM346" i="3"/>
  <c r="DL346" i="3"/>
  <c r="DK346" i="3"/>
  <c r="DJ346" i="3"/>
  <c r="DI346" i="3"/>
  <c r="DF346" i="3"/>
  <c r="DE346" i="3"/>
  <c r="DD346" i="3"/>
  <c r="DC346" i="3"/>
  <c r="DB346" i="3"/>
  <c r="DA346" i="3"/>
  <c r="CO346" i="3"/>
  <c r="CN346" i="3"/>
  <c r="CL346" i="3"/>
  <c r="CM346" i="3" s="1"/>
  <c r="AE346" i="3" s="1"/>
  <c r="CK346" i="3"/>
  <c r="CJ346" i="3"/>
  <c r="CI346" i="3"/>
  <c r="CH346" i="3"/>
  <c r="BE346" i="3"/>
  <c r="AX346" i="3"/>
  <c r="AU346" i="3"/>
  <c r="AT346" i="3" s="1"/>
  <c r="AS346" i="3"/>
  <c r="AR346" i="3" s="1"/>
  <c r="AP346" i="3"/>
  <c r="AO346" i="3"/>
  <c r="AN346" i="3"/>
  <c r="BM346" i="3" s="1"/>
  <c r="Y346" i="3"/>
  <c r="X346" i="3"/>
  <c r="DW345" i="3"/>
  <c r="DV345" i="3"/>
  <c r="DU345" i="3"/>
  <c r="DT345" i="3"/>
  <c r="DS345" i="3"/>
  <c r="DR345" i="3"/>
  <c r="DQ345" i="3"/>
  <c r="DP345" i="3"/>
  <c r="DO345" i="3"/>
  <c r="DN345" i="3"/>
  <c r="DM345" i="3"/>
  <c r="DL345" i="3"/>
  <c r="DK345" i="3"/>
  <c r="DJ345" i="3"/>
  <c r="DI345" i="3"/>
  <c r="DF345" i="3"/>
  <c r="DE345" i="3"/>
  <c r="DD345" i="3"/>
  <c r="DC345" i="3"/>
  <c r="DB345" i="3"/>
  <c r="DA345" i="3"/>
  <c r="CO345" i="3"/>
  <c r="CN345" i="3"/>
  <c r="CL345" i="3"/>
  <c r="CM345" i="3" s="1"/>
  <c r="AE345" i="3" s="1"/>
  <c r="AH345" i="3" s="1"/>
  <c r="CK345" i="3"/>
  <c r="CJ345" i="3"/>
  <c r="CI345" i="3"/>
  <c r="CH345" i="3"/>
  <c r="BE345" i="3"/>
  <c r="AX345" i="3"/>
  <c r="AU345" i="3"/>
  <c r="AT345" i="3" s="1"/>
  <c r="AS345" i="3"/>
  <c r="AR345" i="3" s="1"/>
  <c r="AP345" i="3"/>
  <c r="AO345" i="3"/>
  <c r="AN345" i="3"/>
  <c r="Y345" i="3"/>
  <c r="X345" i="3"/>
  <c r="DW344" i="3"/>
  <c r="DV344" i="3"/>
  <c r="DU344" i="3"/>
  <c r="DT344" i="3"/>
  <c r="DS344" i="3"/>
  <c r="DR344" i="3"/>
  <c r="DQ344" i="3"/>
  <c r="DP344" i="3"/>
  <c r="DO344" i="3"/>
  <c r="DN344" i="3"/>
  <c r="DM344" i="3"/>
  <c r="DL344" i="3"/>
  <c r="DK344" i="3"/>
  <c r="DJ344" i="3"/>
  <c r="DI344" i="3"/>
  <c r="DF344" i="3"/>
  <c r="DE344" i="3"/>
  <c r="DD344" i="3"/>
  <c r="DC344" i="3"/>
  <c r="DB344" i="3"/>
  <c r="DA344" i="3"/>
  <c r="CO344" i="3"/>
  <c r="CN344" i="3"/>
  <c r="CL344" i="3"/>
  <c r="CM344" i="3" s="1"/>
  <c r="AE344" i="3" s="1"/>
  <c r="AH344" i="3" s="1"/>
  <c r="CK344" i="3"/>
  <c r="CJ344" i="3"/>
  <c r="CI344" i="3"/>
  <c r="CH344" i="3"/>
  <c r="BE344" i="3"/>
  <c r="AX344" i="3"/>
  <c r="AU344" i="3"/>
  <c r="AT344" i="3" s="1"/>
  <c r="AS344" i="3"/>
  <c r="AR344" i="3" s="1"/>
  <c r="AP344" i="3"/>
  <c r="AO344" i="3"/>
  <c r="AN344" i="3"/>
  <c r="Y344" i="3"/>
  <c r="X344" i="3"/>
  <c r="DW343" i="3"/>
  <c r="DV343" i="3"/>
  <c r="DU343" i="3"/>
  <c r="DT343" i="3"/>
  <c r="DS343" i="3"/>
  <c r="DR343" i="3"/>
  <c r="DQ343" i="3"/>
  <c r="DP343" i="3"/>
  <c r="DO343" i="3"/>
  <c r="DN343" i="3"/>
  <c r="DM343" i="3"/>
  <c r="DL343" i="3"/>
  <c r="DK343" i="3"/>
  <c r="DJ343" i="3"/>
  <c r="DI343" i="3"/>
  <c r="DF343" i="3"/>
  <c r="DE343" i="3"/>
  <c r="DD343" i="3"/>
  <c r="DC343" i="3"/>
  <c r="DB343" i="3"/>
  <c r="DA343" i="3"/>
  <c r="CO343" i="3"/>
  <c r="CN343" i="3"/>
  <c r="CL343" i="3"/>
  <c r="CM343" i="3" s="1"/>
  <c r="AE343" i="3" s="1"/>
  <c r="CK343" i="3"/>
  <c r="CJ343" i="3"/>
  <c r="CI343" i="3"/>
  <c r="CH343" i="3"/>
  <c r="BE343" i="3"/>
  <c r="AX343" i="3"/>
  <c r="AU343" i="3"/>
  <c r="AT343" i="3" s="1"/>
  <c r="AS343" i="3"/>
  <c r="AR343" i="3" s="1"/>
  <c r="AP343" i="3"/>
  <c r="AO343" i="3"/>
  <c r="AN343" i="3"/>
  <c r="AM343" i="3" s="1"/>
  <c r="Y343" i="3"/>
  <c r="X343" i="3"/>
  <c r="DW342" i="3"/>
  <c r="DV342" i="3"/>
  <c r="DU342" i="3"/>
  <c r="DT342" i="3"/>
  <c r="DS342" i="3"/>
  <c r="DR342" i="3"/>
  <c r="DQ342" i="3"/>
  <c r="DP342" i="3"/>
  <c r="DO342" i="3"/>
  <c r="DN342" i="3"/>
  <c r="DM342" i="3"/>
  <c r="DL342" i="3"/>
  <c r="DK342" i="3"/>
  <c r="DJ342" i="3"/>
  <c r="DI342" i="3"/>
  <c r="DF342" i="3"/>
  <c r="DE342" i="3"/>
  <c r="DD342" i="3"/>
  <c r="DC342" i="3"/>
  <c r="DB342" i="3"/>
  <c r="DA342" i="3"/>
  <c r="CO342" i="3"/>
  <c r="CN342" i="3"/>
  <c r="CL342" i="3"/>
  <c r="CM342" i="3" s="1"/>
  <c r="AE342" i="3" s="1"/>
  <c r="CK342" i="3"/>
  <c r="CJ342" i="3"/>
  <c r="CI342" i="3"/>
  <c r="CH342" i="3"/>
  <c r="BE342" i="3"/>
  <c r="AX342" i="3"/>
  <c r="AU342" i="3"/>
  <c r="AT342" i="3" s="1"/>
  <c r="AS342" i="3"/>
  <c r="AR342" i="3" s="1"/>
  <c r="AP342" i="3"/>
  <c r="AO342" i="3"/>
  <c r="AN342" i="3"/>
  <c r="Y342" i="3"/>
  <c r="X342" i="3"/>
  <c r="DW341" i="3"/>
  <c r="DV341" i="3"/>
  <c r="DU341" i="3"/>
  <c r="DT341" i="3"/>
  <c r="DS341" i="3"/>
  <c r="DR341" i="3"/>
  <c r="DQ341" i="3"/>
  <c r="DP341" i="3"/>
  <c r="DO341" i="3"/>
  <c r="DN341" i="3"/>
  <c r="DM341" i="3"/>
  <c r="DL341" i="3"/>
  <c r="DK341" i="3"/>
  <c r="DJ341" i="3"/>
  <c r="DI341" i="3"/>
  <c r="DF341" i="3"/>
  <c r="DE341" i="3"/>
  <c r="DD341" i="3"/>
  <c r="DC341" i="3"/>
  <c r="DB341" i="3"/>
  <c r="DA341" i="3"/>
  <c r="CO341" i="3"/>
  <c r="CN341" i="3"/>
  <c r="CL341" i="3"/>
  <c r="CM341" i="3" s="1"/>
  <c r="AE341" i="3" s="1"/>
  <c r="AH341" i="3" s="1"/>
  <c r="AI341" i="3" s="1"/>
  <c r="CK341" i="3"/>
  <c r="CJ341" i="3"/>
  <c r="CI341" i="3"/>
  <c r="CH341" i="3"/>
  <c r="BE341" i="3"/>
  <c r="AX341" i="3"/>
  <c r="AU341" i="3"/>
  <c r="AT341" i="3" s="1"/>
  <c r="AS341" i="3"/>
  <c r="AR341" i="3" s="1"/>
  <c r="AP341" i="3"/>
  <c r="AO341" i="3"/>
  <c r="AN341" i="3"/>
  <c r="Y341" i="3"/>
  <c r="X341" i="3"/>
  <c r="DW340" i="3"/>
  <c r="DV340" i="3"/>
  <c r="DU340" i="3"/>
  <c r="DT340" i="3"/>
  <c r="DS340" i="3"/>
  <c r="DR340" i="3"/>
  <c r="DQ340" i="3"/>
  <c r="DP340" i="3"/>
  <c r="DO340" i="3"/>
  <c r="DN340" i="3"/>
  <c r="DM340" i="3"/>
  <c r="DL340" i="3"/>
  <c r="DK340" i="3"/>
  <c r="DJ340" i="3"/>
  <c r="DI340" i="3"/>
  <c r="DF340" i="3"/>
  <c r="DE340" i="3"/>
  <c r="DD340" i="3"/>
  <c r="DC340" i="3"/>
  <c r="DB340" i="3"/>
  <c r="DA340" i="3"/>
  <c r="CO340" i="3"/>
  <c r="CN340" i="3"/>
  <c r="CL340" i="3"/>
  <c r="CM340" i="3" s="1"/>
  <c r="AE340" i="3" s="1"/>
  <c r="AH340" i="3" s="1"/>
  <c r="AI340" i="3" s="1"/>
  <c r="CK340" i="3"/>
  <c r="CJ340" i="3"/>
  <c r="CI340" i="3"/>
  <c r="CH340" i="3"/>
  <c r="BE340" i="3"/>
  <c r="AX340" i="3"/>
  <c r="AU340" i="3"/>
  <c r="AT340" i="3" s="1"/>
  <c r="AS340" i="3"/>
  <c r="AR340" i="3" s="1"/>
  <c r="AP340" i="3"/>
  <c r="AO340" i="3"/>
  <c r="AN340" i="3"/>
  <c r="Y340" i="3"/>
  <c r="X340" i="3"/>
  <c r="DW339" i="3"/>
  <c r="DV339" i="3"/>
  <c r="DU339" i="3"/>
  <c r="DT339" i="3"/>
  <c r="DS339" i="3"/>
  <c r="DR339" i="3"/>
  <c r="DQ339" i="3"/>
  <c r="DP339" i="3"/>
  <c r="DO339" i="3"/>
  <c r="DN339" i="3"/>
  <c r="DM339" i="3"/>
  <c r="DL339" i="3"/>
  <c r="DK339" i="3"/>
  <c r="DJ339" i="3"/>
  <c r="DI339" i="3"/>
  <c r="DF339" i="3"/>
  <c r="DE339" i="3"/>
  <c r="DD339" i="3"/>
  <c r="DC339" i="3"/>
  <c r="DB339" i="3"/>
  <c r="DA339" i="3"/>
  <c r="CO339" i="3"/>
  <c r="CN339" i="3"/>
  <c r="CL339" i="3"/>
  <c r="CM339" i="3" s="1"/>
  <c r="AE339" i="3" s="1"/>
  <c r="AH339" i="3" s="1"/>
  <c r="AI339" i="3" s="1"/>
  <c r="CK339" i="3"/>
  <c r="CJ339" i="3"/>
  <c r="CI339" i="3"/>
  <c r="CH339" i="3"/>
  <c r="BE339" i="3"/>
  <c r="AX339" i="3"/>
  <c r="AU339" i="3"/>
  <c r="AT339" i="3" s="1"/>
  <c r="AS339" i="3"/>
  <c r="AR339" i="3" s="1"/>
  <c r="AP339" i="3"/>
  <c r="AO339" i="3"/>
  <c r="AN339" i="3"/>
  <c r="Y339" i="3"/>
  <c r="X339" i="3"/>
  <c r="DW338" i="3"/>
  <c r="DV338" i="3"/>
  <c r="DU338" i="3"/>
  <c r="DT338" i="3"/>
  <c r="DS338" i="3"/>
  <c r="DR338" i="3"/>
  <c r="DQ338" i="3"/>
  <c r="DP338" i="3"/>
  <c r="DO338" i="3"/>
  <c r="DN338" i="3"/>
  <c r="DM338" i="3"/>
  <c r="DL338" i="3"/>
  <c r="DK338" i="3"/>
  <c r="DJ338" i="3"/>
  <c r="DI338" i="3"/>
  <c r="DF338" i="3"/>
  <c r="DE338" i="3"/>
  <c r="DD338" i="3"/>
  <c r="DC338" i="3"/>
  <c r="DB338" i="3"/>
  <c r="DA338" i="3"/>
  <c r="CO338" i="3"/>
  <c r="CN338" i="3"/>
  <c r="CL338" i="3"/>
  <c r="CM338" i="3" s="1"/>
  <c r="AE338" i="3" s="1"/>
  <c r="AH338" i="3" s="1"/>
  <c r="CK338" i="3"/>
  <c r="CJ338" i="3"/>
  <c r="CI338" i="3"/>
  <c r="CH338" i="3"/>
  <c r="BE338" i="3"/>
  <c r="AX338" i="3"/>
  <c r="AU338" i="3"/>
  <c r="AT338" i="3" s="1"/>
  <c r="AS338" i="3"/>
  <c r="AR338" i="3" s="1"/>
  <c r="AP338" i="3"/>
  <c r="AO338" i="3"/>
  <c r="AN338" i="3"/>
  <c r="Y338" i="3"/>
  <c r="X338" i="3"/>
  <c r="DW337" i="3"/>
  <c r="DV337" i="3"/>
  <c r="DU337" i="3"/>
  <c r="DT337" i="3"/>
  <c r="DS337" i="3"/>
  <c r="DR337" i="3"/>
  <c r="DQ337" i="3"/>
  <c r="DP337" i="3"/>
  <c r="DO337" i="3"/>
  <c r="DN337" i="3"/>
  <c r="DM337" i="3"/>
  <c r="DL337" i="3"/>
  <c r="DK337" i="3"/>
  <c r="DJ337" i="3"/>
  <c r="DI337" i="3"/>
  <c r="DF337" i="3"/>
  <c r="DE337" i="3"/>
  <c r="DD337" i="3"/>
  <c r="DC337" i="3"/>
  <c r="DB337" i="3"/>
  <c r="DA337" i="3"/>
  <c r="CO337" i="3"/>
  <c r="CN337" i="3"/>
  <c r="CL337" i="3"/>
  <c r="CM337" i="3" s="1"/>
  <c r="AE337" i="3" s="1"/>
  <c r="AH337" i="3" s="1"/>
  <c r="CK337" i="3"/>
  <c r="CJ337" i="3"/>
  <c r="CI337" i="3"/>
  <c r="CH337" i="3"/>
  <c r="BE337" i="3"/>
  <c r="AX337" i="3"/>
  <c r="AU337" i="3"/>
  <c r="AT337" i="3" s="1"/>
  <c r="AS337" i="3"/>
  <c r="AR337" i="3" s="1"/>
  <c r="AP337" i="3"/>
  <c r="AO337" i="3"/>
  <c r="AN337" i="3"/>
  <c r="Y337" i="3"/>
  <c r="X337" i="3"/>
  <c r="DW336" i="3"/>
  <c r="DV336" i="3"/>
  <c r="DU336" i="3"/>
  <c r="DT336" i="3"/>
  <c r="DS336" i="3"/>
  <c r="DR336" i="3"/>
  <c r="DQ336" i="3"/>
  <c r="DP336" i="3"/>
  <c r="DO336" i="3"/>
  <c r="DN336" i="3"/>
  <c r="DM336" i="3"/>
  <c r="DL336" i="3"/>
  <c r="DK336" i="3"/>
  <c r="DJ336" i="3"/>
  <c r="DI336" i="3"/>
  <c r="DF336" i="3"/>
  <c r="DE336" i="3"/>
  <c r="DD336" i="3"/>
  <c r="DC336" i="3"/>
  <c r="DB336" i="3"/>
  <c r="DA336" i="3"/>
  <c r="CO336" i="3"/>
  <c r="CN336" i="3"/>
  <c r="CL336" i="3"/>
  <c r="CM336" i="3" s="1"/>
  <c r="AE336" i="3" s="1"/>
  <c r="CK336" i="3"/>
  <c r="CJ336" i="3"/>
  <c r="CI336" i="3"/>
  <c r="CH336" i="3"/>
  <c r="BE336" i="3"/>
  <c r="AX336" i="3"/>
  <c r="AU336" i="3"/>
  <c r="AT336" i="3" s="1"/>
  <c r="AS336" i="3"/>
  <c r="AR336" i="3" s="1"/>
  <c r="AP336" i="3"/>
  <c r="AO336" i="3"/>
  <c r="AN336" i="3"/>
  <c r="Y336" i="3"/>
  <c r="X336" i="3"/>
  <c r="DW335" i="3"/>
  <c r="DV335" i="3"/>
  <c r="DU335" i="3"/>
  <c r="DT335" i="3"/>
  <c r="DS335" i="3"/>
  <c r="DR335" i="3"/>
  <c r="DQ335" i="3"/>
  <c r="DP335" i="3"/>
  <c r="DO335" i="3"/>
  <c r="DN335" i="3"/>
  <c r="DM335" i="3"/>
  <c r="DL335" i="3"/>
  <c r="DK335" i="3"/>
  <c r="DJ335" i="3"/>
  <c r="DI335" i="3"/>
  <c r="DF335" i="3"/>
  <c r="DE335" i="3"/>
  <c r="DD335" i="3"/>
  <c r="DC335" i="3"/>
  <c r="DB335" i="3"/>
  <c r="DA335" i="3"/>
  <c r="CO335" i="3"/>
  <c r="CN335" i="3"/>
  <c r="CL335" i="3"/>
  <c r="CM335" i="3" s="1"/>
  <c r="AE335" i="3" s="1"/>
  <c r="AH335" i="3" s="1"/>
  <c r="CK335" i="3"/>
  <c r="CJ335" i="3"/>
  <c r="CI335" i="3"/>
  <c r="CH335" i="3"/>
  <c r="BE335" i="3"/>
  <c r="AX335" i="3"/>
  <c r="AU335" i="3"/>
  <c r="AT335" i="3" s="1"/>
  <c r="AS335" i="3"/>
  <c r="AR335" i="3" s="1"/>
  <c r="AP335" i="3"/>
  <c r="AO335" i="3"/>
  <c r="AN335" i="3"/>
  <c r="AM335" i="3" s="1"/>
  <c r="Y335" i="3"/>
  <c r="X335" i="3"/>
  <c r="DW334" i="3"/>
  <c r="DV334" i="3"/>
  <c r="DU334" i="3"/>
  <c r="DT334" i="3"/>
  <c r="DS334" i="3"/>
  <c r="DR334" i="3"/>
  <c r="DQ334" i="3"/>
  <c r="DP334" i="3"/>
  <c r="DO334" i="3"/>
  <c r="DN334" i="3"/>
  <c r="DM334" i="3"/>
  <c r="DL334" i="3"/>
  <c r="DK334" i="3"/>
  <c r="DJ334" i="3"/>
  <c r="DI334" i="3"/>
  <c r="DF334" i="3"/>
  <c r="DE334" i="3"/>
  <c r="DD334" i="3"/>
  <c r="DC334" i="3"/>
  <c r="DB334" i="3"/>
  <c r="DA334" i="3"/>
  <c r="CO334" i="3"/>
  <c r="CN334" i="3"/>
  <c r="CL334" i="3"/>
  <c r="CM334" i="3" s="1"/>
  <c r="AE334" i="3" s="1"/>
  <c r="CK334" i="3"/>
  <c r="CJ334" i="3"/>
  <c r="CI334" i="3"/>
  <c r="CH334" i="3"/>
  <c r="BE334" i="3"/>
  <c r="AX334" i="3"/>
  <c r="AU334" i="3"/>
  <c r="AT334" i="3" s="1"/>
  <c r="AS334" i="3"/>
  <c r="AR334" i="3" s="1"/>
  <c r="AP334" i="3"/>
  <c r="AO334" i="3"/>
  <c r="AN334" i="3"/>
  <c r="Y334" i="3"/>
  <c r="X334" i="3"/>
  <c r="DW333" i="3"/>
  <c r="DV333" i="3"/>
  <c r="DU333" i="3"/>
  <c r="DT333" i="3"/>
  <c r="DS333" i="3"/>
  <c r="DR333" i="3"/>
  <c r="DQ333" i="3"/>
  <c r="DP333" i="3"/>
  <c r="DO333" i="3"/>
  <c r="DN333" i="3"/>
  <c r="DM333" i="3"/>
  <c r="DL333" i="3"/>
  <c r="DK333" i="3"/>
  <c r="DJ333" i="3"/>
  <c r="DI333" i="3"/>
  <c r="DF333" i="3"/>
  <c r="DE333" i="3"/>
  <c r="DD333" i="3"/>
  <c r="DC333" i="3"/>
  <c r="DB333" i="3"/>
  <c r="DA333" i="3"/>
  <c r="CO333" i="3"/>
  <c r="CN333" i="3"/>
  <c r="CL333" i="3"/>
  <c r="CM333" i="3" s="1"/>
  <c r="AE333" i="3" s="1"/>
  <c r="AH333" i="3" s="1"/>
  <c r="AI333" i="3" s="1"/>
  <c r="CK333" i="3"/>
  <c r="CJ333" i="3"/>
  <c r="CI333" i="3"/>
  <c r="CH333" i="3"/>
  <c r="BE333" i="3"/>
  <c r="AX333" i="3"/>
  <c r="AU333" i="3"/>
  <c r="AT333" i="3" s="1"/>
  <c r="AS333" i="3"/>
  <c r="AR333" i="3" s="1"/>
  <c r="AP333" i="3"/>
  <c r="AO333" i="3"/>
  <c r="AN333" i="3"/>
  <c r="Y333" i="3"/>
  <c r="X333" i="3"/>
  <c r="DW332" i="3"/>
  <c r="DV332" i="3"/>
  <c r="DU332" i="3"/>
  <c r="DT332" i="3"/>
  <c r="DS332" i="3"/>
  <c r="DR332" i="3"/>
  <c r="DQ332" i="3"/>
  <c r="DP332" i="3"/>
  <c r="DO332" i="3"/>
  <c r="DN332" i="3"/>
  <c r="DM332" i="3"/>
  <c r="DL332" i="3"/>
  <c r="DK332" i="3"/>
  <c r="DJ332" i="3"/>
  <c r="DI332" i="3"/>
  <c r="DF332" i="3"/>
  <c r="DE332" i="3"/>
  <c r="DD332" i="3"/>
  <c r="DC332" i="3"/>
  <c r="DB332" i="3"/>
  <c r="DA332" i="3"/>
  <c r="CO332" i="3"/>
  <c r="CN332" i="3"/>
  <c r="CL332" i="3"/>
  <c r="CM332" i="3" s="1"/>
  <c r="AE332" i="3" s="1"/>
  <c r="CK332" i="3"/>
  <c r="CJ332" i="3"/>
  <c r="CI332" i="3"/>
  <c r="CH332" i="3"/>
  <c r="BE332" i="3"/>
  <c r="AX332" i="3"/>
  <c r="AU332" i="3"/>
  <c r="AT332" i="3" s="1"/>
  <c r="AS332" i="3"/>
  <c r="AR332" i="3" s="1"/>
  <c r="AP332" i="3"/>
  <c r="AO332" i="3"/>
  <c r="AN332" i="3"/>
  <c r="AM332" i="3" s="1"/>
  <c r="Y332" i="3"/>
  <c r="X332" i="3"/>
  <c r="DW331" i="3"/>
  <c r="DV331" i="3"/>
  <c r="DU331" i="3"/>
  <c r="DT331" i="3"/>
  <c r="DS331" i="3"/>
  <c r="DR331" i="3"/>
  <c r="DQ331" i="3"/>
  <c r="DP331" i="3"/>
  <c r="DO331" i="3"/>
  <c r="DN331" i="3"/>
  <c r="DM331" i="3"/>
  <c r="DL331" i="3"/>
  <c r="DK331" i="3"/>
  <c r="DJ331" i="3"/>
  <c r="DI331" i="3"/>
  <c r="DF331" i="3"/>
  <c r="DE331" i="3"/>
  <c r="DD331" i="3"/>
  <c r="DC331" i="3"/>
  <c r="DB331" i="3"/>
  <c r="DA331" i="3"/>
  <c r="CO331" i="3"/>
  <c r="CN331" i="3"/>
  <c r="CL331" i="3"/>
  <c r="CM331" i="3" s="1"/>
  <c r="AE331" i="3" s="1"/>
  <c r="CK331" i="3"/>
  <c r="CJ331" i="3"/>
  <c r="CI331" i="3"/>
  <c r="CH331" i="3"/>
  <c r="BE331" i="3"/>
  <c r="AX331" i="3"/>
  <c r="AU331" i="3"/>
  <c r="AT331" i="3" s="1"/>
  <c r="AS331" i="3"/>
  <c r="AR331" i="3" s="1"/>
  <c r="AP331" i="3"/>
  <c r="AO331" i="3"/>
  <c r="AN331" i="3"/>
  <c r="Y331" i="3"/>
  <c r="X331" i="3"/>
  <c r="DW330" i="3"/>
  <c r="DV330" i="3"/>
  <c r="DU330" i="3"/>
  <c r="DT330" i="3"/>
  <c r="DS330" i="3"/>
  <c r="DR330" i="3"/>
  <c r="DQ330" i="3"/>
  <c r="DP330" i="3"/>
  <c r="DO330" i="3"/>
  <c r="DN330" i="3"/>
  <c r="DM330" i="3"/>
  <c r="DL330" i="3"/>
  <c r="DK330" i="3"/>
  <c r="DJ330" i="3"/>
  <c r="DI330" i="3"/>
  <c r="DF330" i="3"/>
  <c r="DE330" i="3"/>
  <c r="DD330" i="3"/>
  <c r="DC330" i="3"/>
  <c r="DB330" i="3"/>
  <c r="DA330" i="3"/>
  <c r="CO330" i="3"/>
  <c r="CN330" i="3"/>
  <c r="CL330" i="3"/>
  <c r="CM330" i="3" s="1"/>
  <c r="AE330" i="3" s="1"/>
  <c r="CK330" i="3"/>
  <c r="CJ330" i="3"/>
  <c r="CI330" i="3"/>
  <c r="CH330" i="3"/>
  <c r="BE330" i="3"/>
  <c r="AX330" i="3"/>
  <c r="AU330" i="3"/>
  <c r="AT330" i="3" s="1"/>
  <c r="AS330" i="3"/>
  <c r="AR330" i="3" s="1"/>
  <c r="AP330" i="3"/>
  <c r="AO330" i="3"/>
  <c r="AN330" i="3"/>
  <c r="Y330" i="3"/>
  <c r="X330" i="3"/>
  <c r="DW329" i="3"/>
  <c r="DV329" i="3"/>
  <c r="DU329" i="3"/>
  <c r="DT329" i="3"/>
  <c r="DS329" i="3"/>
  <c r="DR329" i="3"/>
  <c r="DQ329" i="3"/>
  <c r="DP329" i="3"/>
  <c r="DO329" i="3"/>
  <c r="DN329" i="3"/>
  <c r="DM329" i="3"/>
  <c r="DL329" i="3"/>
  <c r="DK329" i="3"/>
  <c r="DJ329" i="3"/>
  <c r="DI329" i="3"/>
  <c r="DF329" i="3"/>
  <c r="DE329" i="3"/>
  <c r="DD329" i="3"/>
  <c r="DC329" i="3"/>
  <c r="DB329" i="3"/>
  <c r="DA329" i="3"/>
  <c r="CO329" i="3"/>
  <c r="CN329" i="3"/>
  <c r="CL329" i="3"/>
  <c r="CM329" i="3" s="1"/>
  <c r="AE329" i="3" s="1"/>
  <c r="CK329" i="3"/>
  <c r="CJ329" i="3"/>
  <c r="CI329" i="3"/>
  <c r="CH329" i="3"/>
  <c r="BE329" i="3"/>
  <c r="AX329" i="3"/>
  <c r="AU329" i="3"/>
  <c r="AT329" i="3" s="1"/>
  <c r="AS329" i="3"/>
  <c r="AR329" i="3" s="1"/>
  <c r="AP329" i="3"/>
  <c r="AO329" i="3"/>
  <c r="AN329" i="3"/>
  <c r="Y329" i="3"/>
  <c r="X329" i="3"/>
  <c r="DW328" i="3"/>
  <c r="DV328" i="3"/>
  <c r="DU328" i="3"/>
  <c r="DT328" i="3"/>
  <c r="DS328" i="3"/>
  <c r="DR328" i="3"/>
  <c r="DQ328" i="3"/>
  <c r="DP328" i="3"/>
  <c r="DO328" i="3"/>
  <c r="DN328" i="3"/>
  <c r="DM328" i="3"/>
  <c r="DL328" i="3"/>
  <c r="DK328" i="3"/>
  <c r="DJ328" i="3"/>
  <c r="DI328" i="3"/>
  <c r="DF328" i="3"/>
  <c r="DE328" i="3"/>
  <c r="DD328" i="3"/>
  <c r="DC328" i="3"/>
  <c r="DB328" i="3"/>
  <c r="DA328" i="3"/>
  <c r="CO328" i="3"/>
  <c r="CN328" i="3"/>
  <c r="CL328" i="3"/>
  <c r="CM328" i="3" s="1"/>
  <c r="AE328" i="3" s="1"/>
  <c r="CK328" i="3"/>
  <c r="CJ328" i="3"/>
  <c r="CI328" i="3"/>
  <c r="CH328" i="3"/>
  <c r="BE328" i="3"/>
  <c r="AX328" i="3"/>
  <c r="AU328" i="3"/>
  <c r="AT328" i="3" s="1"/>
  <c r="AS328" i="3"/>
  <c r="AR328" i="3" s="1"/>
  <c r="AP328" i="3"/>
  <c r="AO328" i="3"/>
  <c r="AN328" i="3"/>
  <c r="AM328" i="3" s="1"/>
  <c r="Y328" i="3"/>
  <c r="X328" i="3"/>
  <c r="DW327" i="3"/>
  <c r="DV327" i="3"/>
  <c r="DU327" i="3"/>
  <c r="DT327" i="3"/>
  <c r="DS327" i="3"/>
  <c r="DR327" i="3"/>
  <c r="DQ327" i="3"/>
  <c r="DP327" i="3"/>
  <c r="DO327" i="3"/>
  <c r="DN327" i="3"/>
  <c r="DM327" i="3"/>
  <c r="DL327" i="3"/>
  <c r="DK327" i="3"/>
  <c r="DJ327" i="3"/>
  <c r="DI327" i="3"/>
  <c r="DF327" i="3"/>
  <c r="DE327" i="3"/>
  <c r="DD327" i="3"/>
  <c r="DC327" i="3"/>
  <c r="DB327" i="3"/>
  <c r="DA327" i="3"/>
  <c r="CO327" i="3"/>
  <c r="CN327" i="3"/>
  <c r="CL327" i="3"/>
  <c r="CM327" i="3" s="1"/>
  <c r="AE327" i="3" s="1"/>
  <c r="CK327" i="3"/>
  <c r="CJ327" i="3"/>
  <c r="CI327" i="3"/>
  <c r="CH327" i="3"/>
  <c r="BE327" i="3"/>
  <c r="AX327" i="3"/>
  <c r="AU327" i="3"/>
  <c r="AT327" i="3" s="1"/>
  <c r="AS327" i="3"/>
  <c r="AR327" i="3" s="1"/>
  <c r="AP327" i="3"/>
  <c r="AO327" i="3"/>
  <c r="AN327" i="3"/>
  <c r="Y327" i="3"/>
  <c r="X327" i="3"/>
  <c r="DW326" i="3"/>
  <c r="DV326" i="3"/>
  <c r="DU326" i="3"/>
  <c r="DT326" i="3"/>
  <c r="DS326" i="3"/>
  <c r="DR326" i="3"/>
  <c r="DQ326" i="3"/>
  <c r="DP326" i="3"/>
  <c r="DO326" i="3"/>
  <c r="DN326" i="3"/>
  <c r="DM326" i="3"/>
  <c r="DL326" i="3"/>
  <c r="DK326" i="3"/>
  <c r="DJ326" i="3"/>
  <c r="DI326" i="3"/>
  <c r="DF326" i="3"/>
  <c r="DE326" i="3"/>
  <c r="DD326" i="3"/>
  <c r="DC326" i="3"/>
  <c r="DB326" i="3"/>
  <c r="DA326" i="3"/>
  <c r="CO326" i="3"/>
  <c r="CN326" i="3"/>
  <c r="CL326" i="3"/>
  <c r="CM326" i="3" s="1"/>
  <c r="AE326" i="3" s="1"/>
  <c r="CK326" i="3"/>
  <c r="CJ326" i="3"/>
  <c r="CI326" i="3"/>
  <c r="CH326" i="3"/>
  <c r="BE326" i="3"/>
  <c r="AX326" i="3"/>
  <c r="AU326" i="3"/>
  <c r="AT326" i="3" s="1"/>
  <c r="AS326" i="3"/>
  <c r="AR326" i="3" s="1"/>
  <c r="AP326" i="3"/>
  <c r="AO326" i="3"/>
  <c r="AN326" i="3"/>
  <c r="BM326" i="3" s="1"/>
  <c r="Y326" i="3"/>
  <c r="X326" i="3"/>
  <c r="DW325" i="3"/>
  <c r="DV325" i="3"/>
  <c r="DU325" i="3"/>
  <c r="DT325" i="3"/>
  <c r="DS325" i="3"/>
  <c r="DR325" i="3"/>
  <c r="DQ325" i="3"/>
  <c r="DP325" i="3"/>
  <c r="DO325" i="3"/>
  <c r="DN325" i="3"/>
  <c r="DM325" i="3"/>
  <c r="DL325" i="3"/>
  <c r="DK325" i="3"/>
  <c r="DJ325" i="3"/>
  <c r="DI325" i="3"/>
  <c r="DF325" i="3"/>
  <c r="DE325" i="3"/>
  <c r="DD325" i="3"/>
  <c r="DC325" i="3"/>
  <c r="DB325" i="3"/>
  <c r="DA325" i="3"/>
  <c r="CO325" i="3"/>
  <c r="CN325" i="3"/>
  <c r="CL325" i="3"/>
  <c r="CM325" i="3" s="1"/>
  <c r="AE325" i="3" s="1"/>
  <c r="CK325" i="3"/>
  <c r="CJ325" i="3"/>
  <c r="CI325" i="3"/>
  <c r="CH325" i="3"/>
  <c r="BE325" i="3"/>
  <c r="AX325" i="3"/>
  <c r="AU325" i="3"/>
  <c r="AT325" i="3" s="1"/>
  <c r="AS325" i="3"/>
  <c r="AR325" i="3" s="1"/>
  <c r="AP325" i="3"/>
  <c r="AO325" i="3"/>
  <c r="AN325" i="3"/>
  <c r="AM325" i="3" s="1"/>
  <c r="Y325" i="3"/>
  <c r="X325" i="3"/>
  <c r="DW324" i="3"/>
  <c r="DV324" i="3"/>
  <c r="DU324" i="3"/>
  <c r="DT324" i="3"/>
  <c r="DS324" i="3"/>
  <c r="DR324" i="3"/>
  <c r="DQ324" i="3"/>
  <c r="DP324" i="3"/>
  <c r="DO324" i="3"/>
  <c r="DN324" i="3"/>
  <c r="DM324" i="3"/>
  <c r="DL324" i="3"/>
  <c r="DK324" i="3"/>
  <c r="DJ324" i="3"/>
  <c r="DI324" i="3"/>
  <c r="DF324" i="3"/>
  <c r="DE324" i="3"/>
  <c r="DD324" i="3"/>
  <c r="DC324" i="3"/>
  <c r="DB324" i="3"/>
  <c r="DA324" i="3"/>
  <c r="CO324" i="3"/>
  <c r="CN324" i="3"/>
  <c r="CL324" i="3"/>
  <c r="CM324" i="3" s="1"/>
  <c r="AE324" i="3" s="1"/>
  <c r="CK324" i="3"/>
  <c r="CJ324" i="3"/>
  <c r="CI324" i="3"/>
  <c r="CH324" i="3"/>
  <c r="BE324" i="3"/>
  <c r="AX324" i="3"/>
  <c r="AU324" i="3"/>
  <c r="AT324" i="3" s="1"/>
  <c r="AS324" i="3"/>
  <c r="AR324" i="3" s="1"/>
  <c r="AP324" i="3"/>
  <c r="AO324" i="3"/>
  <c r="AN324" i="3"/>
  <c r="Y324" i="3"/>
  <c r="X324" i="3"/>
  <c r="DW323" i="3"/>
  <c r="DV323" i="3"/>
  <c r="DU323" i="3"/>
  <c r="DT323" i="3"/>
  <c r="DS323" i="3"/>
  <c r="DR323" i="3"/>
  <c r="DQ323" i="3"/>
  <c r="DP323" i="3"/>
  <c r="DO323" i="3"/>
  <c r="DN323" i="3"/>
  <c r="DM323" i="3"/>
  <c r="DL323" i="3"/>
  <c r="DK323" i="3"/>
  <c r="DJ323" i="3"/>
  <c r="DI323" i="3"/>
  <c r="DF323" i="3"/>
  <c r="DE323" i="3"/>
  <c r="DD323" i="3"/>
  <c r="DC323" i="3"/>
  <c r="DB323" i="3"/>
  <c r="DA323" i="3"/>
  <c r="CO323" i="3"/>
  <c r="CN323" i="3"/>
  <c r="CL323" i="3"/>
  <c r="CM323" i="3" s="1"/>
  <c r="AE323" i="3" s="1"/>
  <c r="AH323" i="3" s="1"/>
  <c r="AI323" i="3" s="1"/>
  <c r="CK323" i="3"/>
  <c r="CJ323" i="3"/>
  <c r="CI323" i="3"/>
  <c r="CH323" i="3"/>
  <c r="BE323" i="3"/>
  <c r="AX323" i="3"/>
  <c r="AU323" i="3"/>
  <c r="AT323" i="3" s="1"/>
  <c r="AS323" i="3"/>
  <c r="AR323" i="3" s="1"/>
  <c r="AP323" i="3"/>
  <c r="AO323" i="3"/>
  <c r="AN323" i="3"/>
  <c r="Y323" i="3"/>
  <c r="X323" i="3"/>
  <c r="DW322" i="3"/>
  <c r="DV322" i="3"/>
  <c r="DU322" i="3"/>
  <c r="DT322" i="3"/>
  <c r="DS322" i="3"/>
  <c r="DR322" i="3"/>
  <c r="DQ322" i="3"/>
  <c r="DP322" i="3"/>
  <c r="DO322" i="3"/>
  <c r="DN322" i="3"/>
  <c r="DM322" i="3"/>
  <c r="DL322" i="3"/>
  <c r="DK322" i="3"/>
  <c r="DJ322" i="3"/>
  <c r="DI322" i="3"/>
  <c r="DF322" i="3"/>
  <c r="DE322" i="3"/>
  <c r="DD322" i="3"/>
  <c r="DC322" i="3"/>
  <c r="DB322" i="3"/>
  <c r="DA322" i="3"/>
  <c r="CO322" i="3"/>
  <c r="CN322" i="3"/>
  <c r="CL322" i="3"/>
  <c r="CM322" i="3" s="1"/>
  <c r="AE322" i="3" s="1"/>
  <c r="CK322" i="3"/>
  <c r="CJ322" i="3"/>
  <c r="CI322" i="3"/>
  <c r="CH322" i="3"/>
  <c r="BE322" i="3"/>
  <c r="AX322" i="3"/>
  <c r="AU322" i="3"/>
  <c r="AT322" i="3" s="1"/>
  <c r="AS322" i="3"/>
  <c r="AR322" i="3" s="1"/>
  <c r="AP322" i="3"/>
  <c r="AO322" i="3"/>
  <c r="AN322" i="3"/>
  <c r="Y322" i="3"/>
  <c r="X322" i="3"/>
  <c r="DW321" i="3"/>
  <c r="DV321" i="3"/>
  <c r="DU321" i="3"/>
  <c r="DT321" i="3"/>
  <c r="DS321" i="3"/>
  <c r="DR321" i="3"/>
  <c r="DQ321" i="3"/>
  <c r="DP321" i="3"/>
  <c r="DO321" i="3"/>
  <c r="DN321" i="3"/>
  <c r="DM321" i="3"/>
  <c r="DL321" i="3"/>
  <c r="DK321" i="3"/>
  <c r="DJ321" i="3"/>
  <c r="DI321" i="3"/>
  <c r="DF321" i="3"/>
  <c r="DE321" i="3"/>
  <c r="DD321" i="3"/>
  <c r="DC321" i="3"/>
  <c r="DB321" i="3"/>
  <c r="DA321" i="3"/>
  <c r="CO321" i="3"/>
  <c r="CN321" i="3"/>
  <c r="CL321" i="3"/>
  <c r="CM321" i="3" s="1"/>
  <c r="AE321" i="3" s="1"/>
  <c r="CK321" i="3"/>
  <c r="CJ321" i="3"/>
  <c r="CI321" i="3"/>
  <c r="CH321" i="3"/>
  <c r="BE321" i="3"/>
  <c r="AX321" i="3"/>
  <c r="AU321" i="3"/>
  <c r="AT321" i="3" s="1"/>
  <c r="AS321" i="3"/>
  <c r="AR321" i="3" s="1"/>
  <c r="AP321" i="3"/>
  <c r="AO321" i="3"/>
  <c r="AN321" i="3"/>
  <c r="Y321" i="3"/>
  <c r="X321" i="3"/>
  <c r="DW320" i="3"/>
  <c r="DV320" i="3"/>
  <c r="DU320" i="3"/>
  <c r="DT320" i="3"/>
  <c r="DS320" i="3"/>
  <c r="DR320" i="3"/>
  <c r="DQ320" i="3"/>
  <c r="DP320" i="3"/>
  <c r="DO320" i="3"/>
  <c r="DN320" i="3"/>
  <c r="DM320" i="3"/>
  <c r="DL320" i="3"/>
  <c r="DK320" i="3"/>
  <c r="DJ320" i="3"/>
  <c r="DI320" i="3"/>
  <c r="DF320" i="3"/>
  <c r="DE320" i="3"/>
  <c r="DD320" i="3"/>
  <c r="DC320" i="3"/>
  <c r="DB320" i="3"/>
  <c r="DA320" i="3"/>
  <c r="CO320" i="3"/>
  <c r="CN320" i="3"/>
  <c r="CL320" i="3"/>
  <c r="CM320" i="3" s="1"/>
  <c r="AE320" i="3" s="1"/>
  <c r="CK320" i="3"/>
  <c r="CJ320" i="3"/>
  <c r="CI320" i="3"/>
  <c r="CH320" i="3"/>
  <c r="BE320" i="3"/>
  <c r="AX320" i="3"/>
  <c r="AU320" i="3"/>
  <c r="AT320" i="3" s="1"/>
  <c r="AS320" i="3"/>
  <c r="AR320" i="3" s="1"/>
  <c r="AP320" i="3"/>
  <c r="AO320" i="3"/>
  <c r="AN320" i="3"/>
  <c r="Y320" i="3"/>
  <c r="X320" i="3"/>
  <c r="DW319" i="3"/>
  <c r="DV319" i="3"/>
  <c r="DU319" i="3"/>
  <c r="DT319" i="3"/>
  <c r="DS319" i="3"/>
  <c r="DR319" i="3"/>
  <c r="DQ319" i="3"/>
  <c r="DP319" i="3"/>
  <c r="DO319" i="3"/>
  <c r="DN319" i="3"/>
  <c r="DM319" i="3"/>
  <c r="DL319" i="3"/>
  <c r="DK319" i="3"/>
  <c r="DJ319" i="3"/>
  <c r="DI319" i="3"/>
  <c r="DF319" i="3"/>
  <c r="DE319" i="3"/>
  <c r="DD319" i="3"/>
  <c r="DC319" i="3"/>
  <c r="DB319" i="3"/>
  <c r="DA319" i="3"/>
  <c r="CO319" i="3"/>
  <c r="CN319" i="3"/>
  <c r="CL319" i="3"/>
  <c r="CM319" i="3" s="1"/>
  <c r="AE319" i="3" s="1"/>
  <c r="CK319" i="3"/>
  <c r="CJ319" i="3"/>
  <c r="CI319" i="3"/>
  <c r="CH319" i="3"/>
  <c r="BE319" i="3"/>
  <c r="AX319" i="3"/>
  <c r="AU319" i="3"/>
  <c r="AT319" i="3" s="1"/>
  <c r="AS319" i="3"/>
  <c r="AR319" i="3" s="1"/>
  <c r="AP319" i="3"/>
  <c r="AO319" i="3"/>
  <c r="AN319" i="3"/>
  <c r="Y319" i="3"/>
  <c r="X319" i="3"/>
  <c r="DW318" i="3"/>
  <c r="DV318" i="3"/>
  <c r="DU318" i="3"/>
  <c r="DT318" i="3"/>
  <c r="DS318" i="3"/>
  <c r="DR318" i="3"/>
  <c r="DQ318" i="3"/>
  <c r="DP318" i="3"/>
  <c r="DO318" i="3"/>
  <c r="DN318" i="3"/>
  <c r="DM318" i="3"/>
  <c r="DL318" i="3"/>
  <c r="DK318" i="3"/>
  <c r="DJ318" i="3"/>
  <c r="DI318" i="3"/>
  <c r="DF318" i="3"/>
  <c r="DE318" i="3"/>
  <c r="DD318" i="3"/>
  <c r="DC318" i="3"/>
  <c r="DB318" i="3"/>
  <c r="DA318" i="3"/>
  <c r="CO318" i="3"/>
  <c r="CN318" i="3"/>
  <c r="CL318" i="3"/>
  <c r="CM318" i="3" s="1"/>
  <c r="AE318" i="3" s="1"/>
  <c r="AH318" i="3" s="1"/>
  <c r="CK318" i="3"/>
  <c r="CJ318" i="3"/>
  <c r="CI318" i="3"/>
  <c r="CH318" i="3"/>
  <c r="BE318" i="3"/>
  <c r="AX318" i="3"/>
  <c r="AU318" i="3"/>
  <c r="AT318" i="3" s="1"/>
  <c r="AS318" i="3"/>
  <c r="AR318" i="3" s="1"/>
  <c r="AP318" i="3"/>
  <c r="AO318" i="3"/>
  <c r="AN318" i="3"/>
  <c r="Y318" i="3"/>
  <c r="X318" i="3"/>
  <c r="DW317" i="3"/>
  <c r="DV317" i="3"/>
  <c r="DU317" i="3"/>
  <c r="DT317" i="3"/>
  <c r="DS317" i="3"/>
  <c r="DR317" i="3"/>
  <c r="DQ317" i="3"/>
  <c r="DP317" i="3"/>
  <c r="DO317" i="3"/>
  <c r="DN317" i="3"/>
  <c r="DM317" i="3"/>
  <c r="DL317" i="3"/>
  <c r="DK317" i="3"/>
  <c r="DJ317" i="3"/>
  <c r="DI317" i="3"/>
  <c r="DF317" i="3"/>
  <c r="DE317" i="3"/>
  <c r="DD317" i="3"/>
  <c r="DC317" i="3"/>
  <c r="DB317" i="3"/>
  <c r="DA317" i="3"/>
  <c r="CO317" i="3"/>
  <c r="CN317" i="3"/>
  <c r="CL317" i="3"/>
  <c r="CM317" i="3" s="1"/>
  <c r="AE317" i="3" s="1"/>
  <c r="AH317" i="3" s="1"/>
  <c r="AI317" i="3" s="1"/>
  <c r="CK317" i="3"/>
  <c r="CJ317" i="3"/>
  <c r="CI317" i="3"/>
  <c r="CH317" i="3"/>
  <c r="BE317" i="3"/>
  <c r="AX317" i="3"/>
  <c r="AU317" i="3"/>
  <c r="AT317" i="3" s="1"/>
  <c r="AS317" i="3"/>
  <c r="AR317" i="3" s="1"/>
  <c r="AP317" i="3"/>
  <c r="AO317" i="3"/>
  <c r="AN317" i="3"/>
  <c r="Y317" i="3"/>
  <c r="X317" i="3"/>
  <c r="DW316" i="3"/>
  <c r="DV316" i="3"/>
  <c r="DU316" i="3"/>
  <c r="DT316" i="3"/>
  <c r="DS316" i="3"/>
  <c r="DR316" i="3"/>
  <c r="DQ316" i="3"/>
  <c r="DP316" i="3"/>
  <c r="DO316" i="3"/>
  <c r="DN316" i="3"/>
  <c r="DM316" i="3"/>
  <c r="DL316" i="3"/>
  <c r="DK316" i="3"/>
  <c r="DJ316" i="3"/>
  <c r="DI316" i="3"/>
  <c r="DF316" i="3"/>
  <c r="DE316" i="3"/>
  <c r="DD316" i="3"/>
  <c r="DC316" i="3"/>
  <c r="DB316" i="3"/>
  <c r="DA316" i="3"/>
  <c r="CO316" i="3"/>
  <c r="CN316" i="3"/>
  <c r="CL316" i="3"/>
  <c r="CM316" i="3" s="1"/>
  <c r="AE316" i="3" s="1"/>
  <c r="AH316" i="3" s="1"/>
  <c r="AI316" i="3" s="1"/>
  <c r="CK316" i="3"/>
  <c r="CJ316" i="3"/>
  <c r="CI316" i="3"/>
  <c r="CH316" i="3"/>
  <c r="BE316" i="3"/>
  <c r="AX316" i="3"/>
  <c r="AU316" i="3"/>
  <c r="AT316" i="3" s="1"/>
  <c r="AS316" i="3"/>
  <c r="AR316" i="3" s="1"/>
  <c r="AP316" i="3"/>
  <c r="AO316" i="3"/>
  <c r="AN316" i="3"/>
  <c r="Y316" i="3"/>
  <c r="X316" i="3"/>
  <c r="DW315" i="3"/>
  <c r="DV315" i="3"/>
  <c r="DU315" i="3"/>
  <c r="DT315" i="3"/>
  <c r="DS315" i="3"/>
  <c r="DR315" i="3"/>
  <c r="DQ315" i="3"/>
  <c r="DP315" i="3"/>
  <c r="DO315" i="3"/>
  <c r="DN315" i="3"/>
  <c r="DM315" i="3"/>
  <c r="DL315" i="3"/>
  <c r="DK315" i="3"/>
  <c r="DJ315" i="3"/>
  <c r="DI315" i="3"/>
  <c r="DF315" i="3"/>
  <c r="DE315" i="3"/>
  <c r="DD315" i="3"/>
  <c r="DC315" i="3"/>
  <c r="DB315" i="3"/>
  <c r="DA315" i="3"/>
  <c r="CO315" i="3"/>
  <c r="CN315" i="3"/>
  <c r="CL315" i="3"/>
  <c r="CM315" i="3" s="1"/>
  <c r="AE315" i="3" s="1"/>
  <c r="AH315" i="3" s="1"/>
  <c r="AI315" i="3" s="1"/>
  <c r="CK315" i="3"/>
  <c r="CJ315" i="3"/>
  <c r="CI315" i="3"/>
  <c r="CH315" i="3"/>
  <c r="BE315" i="3"/>
  <c r="AX315" i="3"/>
  <c r="AU315" i="3"/>
  <c r="AT315" i="3" s="1"/>
  <c r="AS315" i="3"/>
  <c r="AR315" i="3" s="1"/>
  <c r="AP315" i="3"/>
  <c r="AO315" i="3"/>
  <c r="AN315" i="3"/>
  <c r="Y315" i="3"/>
  <c r="X315" i="3"/>
  <c r="DW314" i="3"/>
  <c r="DV314" i="3"/>
  <c r="DU314" i="3"/>
  <c r="DT314" i="3"/>
  <c r="DS314" i="3"/>
  <c r="DR314" i="3"/>
  <c r="DQ314" i="3"/>
  <c r="DP314" i="3"/>
  <c r="DO314" i="3"/>
  <c r="DN314" i="3"/>
  <c r="DM314" i="3"/>
  <c r="DL314" i="3"/>
  <c r="DK314" i="3"/>
  <c r="DJ314" i="3"/>
  <c r="DI314" i="3"/>
  <c r="DF314" i="3"/>
  <c r="DE314" i="3"/>
  <c r="DD314" i="3"/>
  <c r="DC314" i="3"/>
  <c r="DB314" i="3"/>
  <c r="DA314" i="3"/>
  <c r="CO314" i="3"/>
  <c r="CN314" i="3"/>
  <c r="CL314" i="3"/>
  <c r="CM314" i="3" s="1"/>
  <c r="AE314" i="3" s="1"/>
  <c r="CK314" i="3"/>
  <c r="CJ314" i="3"/>
  <c r="CI314" i="3"/>
  <c r="CH314" i="3"/>
  <c r="BE314" i="3"/>
  <c r="AX314" i="3"/>
  <c r="AU314" i="3"/>
  <c r="AT314" i="3" s="1"/>
  <c r="AS314" i="3"/>
  <c r="AR314" i="3" s="1"/>
  <c r="AP314" i="3"/>
  <c r="AO314" i="3"/>
  <c r="AN314" i="3"/>
  <c r="Y314" i="3"/>
  <c r="X314" i="3"/>
  <c r="DW313" i="3"/>
  <c r="DV313" i="3"/>
  <c r="DU313" i="3"/>
  <c r="DT313" i="3"/>
  <c r="DS313" i="3"/>
  <c r="DR313" i="3"/>
  <c r="DQ313" i="3"/>
  <c r="DP313" i="3"/>
  <c r="DO313" i="3"/>
  <c r="DN313" i="3"/>
  <c r="DM313" i="3"/>
  <c r="DL313" i="3"/>
  <c r="DK313" i="3"/>
  <c r="DJ313" i="3"/>
  <c r="DI313" i="3"/>
  <c r="DF313" i="3"/>
  <c r="DE313" i="3"/>
  <c r="DD313" i="3"/>
  <c r="DC313" i="3"/>
  <c r="DB313" i="3"/>
  <c r="DA313" i="3"/>
  <c r="CO313" i="3"/>
  <c r="CN313" i="3"/>
  <c r="CL313" i="3"/>
  <c r="CM313" i="3" s="1"/>
  <c r="AE313" i="3" s="1"/>
  <c r="AH313" i="3" s="1"/>
  <c r="CK313" i="3"/>
  <c r="CJ313" i="3"/>
  <c r="CI313" i="3"/>
  <c r="CH313" i="3"/>
  <c r="BE313" i="3"/>
  <c r="AX313" i="3"/>
  <c r="AU313" i="3"/>
  <c r="AT313" i="3" s="1"/>
  <c r="AS313" i="3"/>
  <c r="AR313" i="3" s="1"/>
  <c r="AP313" i="3"/>
  <c r="AO313" i="3"/>
  <c r="AN313" i="3"/>
  <c r="Y313" i="3"/>
  <c r="X313" i="3"/>
  <c r="DW312" i="3"/>
  <c r="DV312" i="3"/>
  <c r="DU312" i="3"/>
  <c r="DT312" i="3"/>
  <c r="DS312" i="3"/>
  <c r="DR312" i="3"/>
  <c r="DQ312" i="3"/>
  <c r="DP312" i="3"/>
  <c r="DO312" i="3"/>
  <c r="DN312" i="3"/>
  <c r="DM312" i="3"/>
  <c r="DL312" i="3"/>
  <c r="DK312" i="3"/>
  <c r="DJ312" i="3"/>
  <c r="DI312" i="3"/>
  <c r="DF312" i="3"/>
  <c r="DE312" i="3"/>
  <c r="DD312" i="3"/>
  <c r="DC312" i="3"/>
  <c r="DB312" i="3"/>
  <c r="DA312" i="3"/>
  <c r="CO312" i="3"/>
  <c r="CN312" i="3"/>
  <c r="CL312" i="3"/>
  <c r="CM312" i="3" s="1"/>
  <c r="AE312" i="3" s="1"/>
  <c r="CK312" i="3"/>
  <c r="CJ312" i="3"/>
  <c r="CI312" i="3"/>
  <c r="CH312" i="3"/>
  <c r="BE312" i="3"/>
  <c r="AX312" i="3"/>
  <c r="AU312" i="3"/>
  <c r="AT312" i="3" s="1"/>
  <c r="AS312" i="3"/>
  <c r="AR312" i="3" s="1"/>
  <c r="AP312" i="3"/>
  <c r="AO312" i="3"/>
  <c r="AN312" i="3"/>
  <c r="Y312" i="3"/>
  <c r="X312" i="3"/>
  <c r="DW311" i="3"/>
  <c r="DV311" i="3"/>
  <c r="DU311" i="3"/>
  <c r="DT311" i="3"/>
  <c r="DS311" i="3"/>
  <c r="DR311" i="3"/>
  <c r="DQ311" i="3"/>
  <c r="DP311" i="3"/>
  <c r="DO311" i="3"/>
  <c r="DN311" i="3"/>
  <c r="DM311" i="3"/>
  <c r="DL311" i="3"/>
  <c r="DK311" i="3"/>
  <c r="DJ311" i="3"/>
  <c r="DI311" i="3"/>
  <c r="DF311" i="3"/>
  <c r="DE311" i="3"/>
  <c r="DD311" i="3"/>
  <c r="DC311" i="3"/>
  <c r="DB311" i="3"/>
  <c r="DA311" i="3"/>
  <c r="CO311" i="3"/>
  <c r="CN311" i="3"/>
  <c r="CL311" i="3"/>
  <c r="CM311" i="3" s="1"/>
  <c r="AE311" i="3" s="1"/>
  <c r="CK311" i="3"/>
  <c r="CJ311" i="3"/>
  <c r="CI311" i="3"/>
  <c r="CH311" i="3"/>
  <c r="BE311" i="3"/>
  <c r="AX311" i="3"/>
  <c r="AU311" i="3"/>
  <c r="AT311" i="3" s="1"/>
  <c r="AS311" i="3"/>
  <c r="AR311" i="3" s="1"/>
  <c r="AP311" i="3"/>
  <c r="AO311" i="3"/>
  <c r="AN311" i="3"/>
  <c r="Y311" i="3"/>
  <c r="X311" i="3"/>
  <c r="DW310" i="3"/>
  <c r="DV310" i="3"/>
  <c r="DU310" i="3"/>
  <c r="DT310" i="3"/>
  <c r="DS310" i="3"/>
  <c r="DR310" i="3"/>
  <c r="DQ310" i="3"/>
  <c r="DP310" i="3"/>
  <c r="DO310" i="3"/>
  <c r="DN310" i="3"/>
  <c r="DM310" i="3"/>
  <c r="DL310" i="3"/>
  <c r="DK310" i="3"/>
  <c r="DJ310" i="3"/>
  <c r="DI310" i="3"/>
  <c r="DF310" i="3"/>
  <c r="DE310" i="3"/>
  <c r="DD310" i="3"/>
  <c r="DC310" i="3"/>
  <c r="DB310" i="3"/>
  <c r="DA310" i="3"/>
  <c r="CO310" i="3"/>
  <c r="CN310" i="3"/>
  <c r="CL310" i="3"/>
  <c r="CM310" i="3" s="1"/>
  <c r="AE310" i="3" s="1"/>
  <c r="AH310" i="3" s="1"/>
  <c r="CK310" i="3"/>
  <c r="CJ310" i="3"/>
  <c r="CI310" i="3"/>
  <c r="CH310" i="3"/>
  <c r="BE310" i="3"/>
  <c r="AX310" i="3"/>
  <c r="AU310" i="3"/>
  <c r="AT310" i="3" s="1"/>
  <c r="AS310" i="3"/>
  <c r="AR310" i="3" s="1"/>
  <c r="AP310" i="3"/>
  <c r="AO310" i="3"/>
  <c r="AN310" i="3"/>
  <c r="AM310" i="3" s="1"/>
  <c r="Y310" i="3"/>
  <c r="X310" i="3"/>
  <c r="DW309" i="3"/>
  <c r="DV309" i="3"/>
  <c r="DU309" i="3"/>
  <c r="DT309" i="3"/>
  <c r="DS309" i="3"/>
  <c r="DR309" i="3"/>
  <c r="DQ309" i="3"/>
  <c r="DP309" i="3"/>
  <c r="DO309" i="3"/>
  <c r="DN309" i="3"/>
  <c r="DM309" i="3"/>
  <c r="DL309" i="3"/>
  <c r="DK309" i="3"/>
  <c r="DJ309" i="3"/>
  <c r="DI309" i="3"/>
  <c r="DF309" i="3"/>
  <c r="DE309" i="3"/>
  <c r="DD309" i="3"/>
  <c r="DC309" i="3"/>
  <c r="DB309" i="3"/>
  <c r="DA309" i="3"/>
  <c r="CO309" i="3"/>
  <c r="CN309" i="3"/>
  <c r="CL309" i="3"/>
  <c r="CM309" i="3" s="1"/>
  <c r="AE309" i="3" s="1"/>
  <c r="AH309" i="3" s="1"/>
  <c r="AI309" i="3" s="1"/>
  <c r="CK309" i="3"/>
  <c r="CJ309" i="3"/>
  <c r="CI309" i="3"/>
  <c r="CH309" i="3"/>
  <c r="BE309" i="3"/>
  <c r="AX309" i="3"/>
  <c r="AU309" i="3"/>
  <c r="AT309" i="3" s="1"/>
  <c r="AS309" i="3"/>
  <c r="AR309" i="3" s="1"/>
  <c r="AP309" i="3"/>
  <c r="AO309" i="3"/>
  <c r="AN309" i="3"/>
  <c r="Y309" i="3"/>
  <c r="X309" i="3"/>
  <c r="DW308" i="3"/>
  <c r="DV308" i="3"/>
  <c r="DU308" i="3"/>
  <c r="DT308" i="3"/>
  <c r="DS308" i="3"/>
  <c r="DR308" i="3"/>
  <c r="DQ308" i="3"/>
  <c r="DP308" i="3"/>
  <c r="DO308" i="3"/>
  <c r="DN308" i="3"/>
  <c r="DM308" i="3"/>
  <c r="DL308" i="3"/>
  <c r="DK308" i="3"/>
  <c r="DJ308" i="3"/>
  <c r="DI308" i="3"/>
  <c r="DF308" i="3"/>
  <c r="DE308" i="3"/>
  <c r="DD308" i="3"/>
  <c r="DC308" i="3"/>
  <c r="DB308" i="3"/>
  <c r="DA308" i="3"/>
  <c r="CO308" i="3"/>
  <c r="CN308" i="3"/>
  <c r="CL308" i="3"/>
  <c r="CM308" i="3" s="1"/>
  <c r="AE308" i="3" s="1"/>
  <c r="CK308" i="3"/>
  <c r="CJ308" i="3"/>
  <c r="CI308" i="3"/>
  <c r="CH308" i="3"/>
  <c r="BE308" i="3"/>
  <c r="AX308" i="3"/>
  <c r="AU308" i="3"/>
  <c r="AT308" i="3" s="1"/>
  <c r="AS308" i="3"/>
  <c r="AR308" i="3" s="1"/>
  <c r="AP308" i="3"/>
  <c r="AO308" i="3"/>
  <c r="AN308" i="3"/>
  <c r="Y308" i="3"/>
  <c r="X308" i="3"/>
  <c r="DW307" i="3"/>
  <c r="DV307" i="3"/>
  <c r="DU307" i="3"/>
  <c r="DT307" i="3"/>
  <c r="DS307" i="3"/>
  <c r="DR307" i="3"/>
  <c r="DQ307" i="3"/>
  <c r="DP307" i="3"/>
  <c r="DO307" i="3"/>
  <c r="DN307" i="3"/>
  <c r="DM307" i="3"/>
  <c r="DL307" i="3"/>
  <c r="DK307" i="3"/>
  <c r="DJ307" i="3"/>
  <c r="DI307" i="3"/>
  <c r="DF307" i="3"/>
  <c r="DE307" i="3"/>
  <c r="DD307" i="3"/>
  <c r="DC307" i="3"/>
  <c r="DB307" i="3"/>
  <c r="DA307" i="3"/>
  <c r="CO307" i="3"/>
  <c r="CN307" i="3"/>
  <c r="CL307" i="3"/>
  <c r="CM307" i="3" s="1"/>
  <c r="AE307" i="3" s="1"/>
  <c r="CK307" i="3"/>
  <c r="CJ307" i="3"/>
  <c r="CI307" i="3"/>
  <c r="CH307" i="3"/>
  <c r="BE307" i="3"/>
  <c r="AX307" i="3"/>
  <c r="AU307" i="3"/>
  <c r="AT307" i="3" s="1"/>
  <c r="AS307" i="3"/>
  <c r="AR307" i="3" s="1"/>
  <c r="AP307" i="3"/>
  <c r="AO307" i="3"/>
  <c r="AN307" i="3"/>
  <c r="Y307" i="3"/>
  <c r="X307" i="3"/>
  <c r="DW306" i="3"/>
  <c r="DV306" i="3"/>
  <c r="DU306" i="3"/>
  <c r="DT306" i="3"/>
  <c r="DS306" i="3"/>
  <c r="DR306" i="3"/>
  <c r="DQ306" i="3"/>
  <c r="DP306" i="3"/>
  <c r="DO306" i="3"/>
  <c r="DN306" i="3"/>
  <c r="DM306" i="3"/>
  <c r="DL306" i="3"/>
  <c r="DK306" i="3"/>
  <c r="DJ306" i="3"/>
  <c r="DI306" i="3"/>
  <c r="DF306" i="3"/>
  <c r="DE306" i="3"/>
  <c r="DD306" i="3"/>
  <c r="DC306" i="3"/>
  <c r="DB306" i="3"/>
  <c r="DA306" i="3"/>
  <c r="CO306" i="3"/>
  <c r="CN306" i="3"/>
  <c r="CL306" i="3"/>
  <c r="CM306" i="3" s="1"/>
  <c r="AE306" i="3" s="1"/>
  <c r="CK306" i="3"/>
  <c r="CJ306" i="3"/>
  <c r="CI306" i="3"/>
  <c r="CH306" i="3"/>
  <c r="BE306" i="3"/>
  <c r="AX306" i="3"/>
  <c r="AU306" i="3"/>
  <c r="AT306" i="3" s="1"/>
  <c r="AS306" i="3"/>
  <c r="AR306" i="3" s="1"/>
  <c r="AP306" i="3"/>
  <c r="AO306" i="3"/>
  <c r="AN306" i="3"/>
  <c r="Y306" i="3"/>
  <c r="X306" i="3"/>
  <c r="DW305" i="3"/>
  <c r="DV305" i="3"/>
  <c r="DU305" i="3"/>
  <c r="DT305" i="3"/>
  <c r="DS305" i="3"/>
  <c r="DR305" i="3"/>
  <c r="DQ305" i="3"/>
  <c r="DP305" i="3"/>
  <c r="DO305" i="3"/>
  <c r="DN305" i="3"/>
  <c r="DM305" i="3"/>
  <c r="DL305" i="3"/>
  <c r="DK305" i="3"/>
  <c r="DJ305" i="3"/>
  <c r="DI305" i="3"/>
  <c r="DF305" i="3"/>
  <c r="DE305" i="3"/>
  <c r="DD305" i="3"/>
  <c r="DC305" i="3"/>
  <c r="DB305" i="3"/>
  <c r="DA305" i="3"/>
  <c r="CO305" i="3"/>
  <c r="CN305" i="3"/>
  <c r="CL305" i="3"/>
  <c r="CM305" i="3" s="1"/>
  <c r="AE305" i="3" s="1"/>
  <c r="AH305" i="3" s="1"/>
  <c r="CK305" i="3"/>
  <c r="CJ305" i="3"/>
  <c r="CI305" i="3"/>
  <c r="CH305" i="3"/>
  <c r="BE305" i="3"/>
  <c r="AX305" i="3"/>
  <c r="AU305" i="3"/>
  <c r="AT305" i="3" s="1"/>
  <c r="AS305" i="3"/>
  <c r="AR305" i="3" s="1"/>
  <c r="AP305" i="3"/>
  <c r="AO305" i="3"/>
  <c r="AN305" i="3"/>
  <c r="Y305" i="3"/>
  <c r="X305" i="3"/>
  <c r="DW304" i="3"/>
  <c r="DV304" i="3"/>
  <c r="DU304" i="3"/>
  <c r="DT304" i="3"/>
  <c r="DS304" i="3"/>
  <c r="DR304" i="3"/>
  <c r="DQ304" i="3"/>
  <c r="DP304" i="3"/>
  <c r="DO304" i="3"/>
  <c r="DN304" i="3"/>
  <c r="DM304" i="3"/>
  <c r="DL304" i="3"/>
  <c r="DK304" i="3"/>
  <c r="DJ304" i="3"/>
  <c r="DI304" i="3"/>
  <c r="DF304" i="3"/>
  <c r="DE304" i="3"/>
  <c r="DD304" i="3"/>
  <c r="DC304" i="3"/>
  <c r="DB304" i="3"/>
  <c r="DA304" i="3"/>
  <c r="CO304" i="3"/>
  <c r="CN304" i="3"/>
  <c r="CL304" i="3"/>
  <c r="CM304" i="3" s="1"/>
  <c r="AE304" i="3" s="1"/>
  <c r="AH304" i="3" s="1"/>
  <c r="CK304" i="3"/>
  <c r="CJ304" i="3"/>
  <c r="CI304" i="3"/>
  <c r="CH304" i="3"/>
  <c r="BE304" i="3"/>
  <c r="AX304" i="3"/>
  <c r="AU304" i="3"/>
  <c r="AT304" i="3" s="1"/>
  <c r="AS304" i="3"/>
  <c r="AR304" i="3" s="1"/>
  <c r="AP304" i="3"/>
  <c r="AO304" i="3"/>
  <c r="AN304" i="3"/>
  <c r="Y304" i="3"/>
  <c r="X304" i="3"/>
  <c r="DW303" i="3"/>
  <c r="DV303" i="3"/>
  <c r="DU303" i="3"/>
  <c r="DT303" i="3"/>
  <c r="DS303" i="3"/>
  <c r="DR303" i="3"/>
  <c r="DQ303" i="3"/>
  <c r="DP303" i="3"/>
  <c r="DO303" i="3"/>
  <c r="DN303" i="3"/>
  <c r="DM303" i="3"/>
  <c r="DL303" i="3"/>
  <c r="DK303" i="3"/>
  <c r="DJ303" i="3"/>
  <c r="DI303" i="3"/>
  <c r="DF303" i="3"/>
  <c r="DE303" i="3"/>
  <c r="DD303" i="3"/>
  <c r="DC303" i="3"/>
  <c r="DB303" i="3"/>
  <c r="DA303" i="3"/>
  <c r="CO303" i="3"/>
  <c r="CN303" i="3"/>
  <c r="CL303" i="3"/>
  <c r="CM303" i="3" s="1"/>
  <c r="AE303" i="3" s="1"/>
  <c r="CK303" i="3"/>
  <c r="CJ303" i="3"/>
  <c r="CI303" i="3"/>
  <c r="CH303" i="3"/>
  <c r="BE303" i="3"/>
  <c r="AX303" i="3"/>
  <c r="AU303" i="3"/>
  <c r="AT303" i="3" s="1"/>
  <c r="AS303" i="3"/>
  <c r="AR303" i="3" s="1"/>
  <c r="AP303" i="3"/>
  <c r="AO303" i="3"/>
  <c r="AN303" i="3"/>
  <c r="Y303" i="3"/>
  <c r="X303" i="3"/>
  <c r="DW302" i="3"/>
  <c r="DV302" i="3"/>
  <c r="DU302" i="3"/>
  <c r="DT302" i="3"/>
  <c r="DS302" i="3"/>
  <c r="DR302" i="3"/>
  <c r="DQ302" i="3"/>
  <c r="DP302" i="3"/>
  <c r="DO302" i="3"/>
  <c r="DN302" i="3"/>
  <c r="DM302" i="3"/>
  <c r="DL302" i="3"/>
  <c r="DK302" i="3"/>
  <c r="DJ302" i="3"/>
  <c r="DI302" i="3"/>
  <c r="DF302" i="3"/>
  <c r="DE302" i="3"/>
  <c r="DD302" i="3"/>
  <c r="DC302" i="3"/>
  <c r="DB302" i="3"/>
  <c r="DA302" i="3"/>
  <c r="CO302" i="3"/>
  <c r="CN302" i="3"/>
  <c r="CL302" i="3"/>
  <c r="CM302" i="3" s="1"/>
  <c r="AE302" i="3" s="1"/>
  <c r="CK302" i="3"/>
  <c r="CJ302" i="3"/>
  <c r="CI302" i="3"/>
  <c r="CH302" i="3"/>
  <c r="BE302" i="3"/>
  <c r="AX302" i="3"/>
  <c r="AU302" i="3"/>
  <c r="AT302" i="3" s="1"/>
  <c r="AS302" i="3"/>
  <c r="AR302" i="3" s="1"/>
  <c r="AP302" i="3"/>
  <c r="AO302" i="3"/>
  <c r="AN302" i="3"/>
  <c r="Y302" i="3"/>
  <c r="X302" i="3"/>
  <c r="DW301" i="3"/>
  <c r="DV301" i="3"/>
  <c r="DU301" i="3"/>
  <c r="DT301" i="3"/>
  <c r="DS301" i="3"/>
  <c r="DR301" i="3"/>
  <c r="DQ301" i="3"/>
  <c r="DP301" i="3"/>
  <c r="DO301" i="3"/>
  <c r="DN301" i="3"/>
  <c r="DM301" i="3"/>
  <c r="DL301" i="3"/>
  <c r="DK301" i="3"/>
  <c r="DJ301" i="3"/>
  <c r="DI301" i="3"/>
  <c r="DF301" i="3"/>
  <c r="DE301" i="3"/>
  <c r="DD301" i="3"/>
  <c r="DC301" i="3"/>
  <c r="DB301" i="3"/>
  <c r="DA301" i="3"/>
  <c r="CO301" i="3"/>
  <c r="CN301" i="3"/>
  <c r="CL301" i="3"/>
  <c r="CM301" i="3" s="1"/>
  <c r="AE301" i="3" s="1"/>
  <c r="AH301" i="3" s="1"/>
  <c r="AI301" i="3" s="1"/>
  <c r="CK301" i="3"/>
  <c r="CJ301" i="3"/>
  <c r="CI301" i="3"/>
  <c r="CH301" i="3"/>
  <c r="BE301" i="3"/>
  <c r="AX301" i="3"/>
  <c r="AU301" i="3"/>
  <c r="AT301" i="3" s="1"/>
  <c r="AS301" i="3"/>
  <c r="AR301" i="3" s="1"/>
  <c r="AP301" i="3"/>
  <c r="AO301" i="3"/>
  <c r="AN301" i="3"/>
  <c r="Y301" i="3"/>
  <c r="X301" i="3"/>
  <c r="DW300" i="3"/>
  <c r="DV300" i="3"/>
  <c r="DU300" i="3"/>
  <c r="DT300" i="3"/>
  <c r="DS300" i="3"/>
  <c r="DR300" i="3"/>
  <c r="DQ300" i="3"/>
  <c r="DP300" i="3"/>
  <c r="DO300" i="3"/>
  <c r="DN300" i="3"/>
  <c r="DM300" i="3"/>
  <c r="DL300" i="3"/>
  <c r="DK300" i="3"/>
  <c r="DJ300" i="3"/>
  <c r="DI300" i="3"/>
  <c r="DF300" i="3"/>
  <c r="DE300" i="3"/>
  <c r="DD300" i="3"/>
  <c r="DC300" i="3"/>
  <c r="DB300" i="3"/>
  <c r="DA300" i="3"/>
  <c r="CO300" i="3"/>
  <c r="CN300" i="3"/>
  <c r="CL300" i="3"/>
  <c r="CM300" i="3" s="1"/>
  <c r="AE300" i="3" s="1"/>
  <c r="CK300" i="3"/>
  <c r="CJ300" i="3"/>
  <c r="CI300" i="3"/>
  <c r="CH300" i="3"/>
  <c r="BE300" i="3"/>
  <c r="AX300" i="3"/>
  <c r="AU300" i="3"/>
  <c r="AT300" i="3" s="1"/>
  <c r="AS300" i="3"/>
  <c r="AR300" i="3" s="1"/>
  <c r="AP300" i="3"/>
  <c r="AO300" i="3"/>
  <c r="AN300" i="3"/>
  <c r="Y300" i="3"/>
  <c r="X300" i="3"/>
  <c r="DW299" i="3"/>
  <c r="DV299" i="3"/>
  <c r="DU299" i="3"/>
  <c r="DT299" i="3"/>
  <c r="DS299" i="3"/>
  <c r="DR299" i="3"/>
  <c r="DQ299" i="3"/>
  <c r="DP299" i="3"/>
  <c r="DO299" i="3"/>
  <c r="DN299" i="3"/>
  <c r="DM299" i="3"/>
  <c r="DL299" i="3"/>
  <c r="DK299" i="3"/>
  <c r="DJ299" i="3"/>
  <c r="DI299" i="3"/>
  <c r="DF299" i="3"/>
  <c r="DE299" i="3"/>
  <c r="DD299" i="3"/>
  <c r="DC299" i="3"/>
  <c r="DB299" i="3"/>
  <c r="DA299" i="3"/>
  <c r="CO299" i="3"/>
  <c r="CN299" i="3"/>
  <c r="CL299" i="3"/>
  <c r="CM299" i="3" s="1"/>
  <c r="AE299" i="3" s="1"/>
  <c r="CK299" i="3"/>
  <c r="CJ299" i="3"/>
  <c r="CI299" i="3"/>
  <c r="CH299" i="3"/>
  <c r="BE299" i="3"/>
  <c r="AX299" i="3"/>
  <c r="AU299" i="3"/>
  <c r="AT299" i="3" s="1"/>
  <c r="AS299" i="3"/>
  <c r="AR299" i="3" s="1"/>
  <c r="AP299" i="3"/>
  <c r="AO299" i="3"/>
  <c r="AN299" i="3"/>
  <c r="Y299" i="3"/>
  <c r="X299" i="3"/>
  <c r="DW298" i="3"/>
  <c r="DV298" i="3"/>
  <c r="DU298" i="3"/>
  <c r="DT298" i="3"/>
  <c r="DS298" i="3"/>
  <c r="DR298" i="3"/>
  <c r="DQ298" i="3"/>
  <c r="DP298" i="3"/>
  <c r="DO298" i="3"/>
  <c r="DN298" i="3"/>
  <c r="DM298" i="3"/>
  <c r="DL298" i="3"/>
  <c r="DK298" i="3"/>
  <c r="DJ298" i="3"/>
  <c r="DI298" i="3"/>
  <c r="DF298" i="3"/>
  <c r="DE298" i="3"/>
  <c r="DD298" i="3"/>
  <c r="DC298" i="3"/>
  <c r="DB298" i="3"/>
  <c r="DA298" i="3"/>
  <c r="CO298" i="3"/>
  <c r="CN298" i="3"/>
  <c r="CL298" i="3"/>
  <c r="CM298" i="3" s="1"/>
  <c r="AE298" i="3" s="1"/>
  <c r="CK298" i="3"/>
  <c r="CJ298" i="3"/>
  <c r="CI298" i="3"/>
  <c r="CH298" i="3"/>
  <c r="BE298" i="3"/>
  <c r="AX298" i="3"/>
  <c r="AU298" i="3"/>
  <c r="AT298" i="3" s="1"/>
  <c r="AS298" i="3"/>
  <c r="AR298" i="3" s="1"/>
  <c r="AP298" i="3"/>
  <c r="AO298" i="3"/>
  <c r="AN298" i="3"/>
  <c r="Y298" i="3"/>
  <c r="X298" i="3"/>
  <c r="DW297" i="3"/>
  <c r="DV297" i="3"/>
  <c r="DU297" i="3"/>
  <c r="DT297" i="3"/>
  <c r="DS297" i="3"/>
  <c r="DR297" i="3"/>
  <c r="DQ297" i="3"/>
  <c r="DP297" i="3"/>
  <c r="DO297" i="3"/>
  <c r="DN297" i="3"/>
  <c r="DM297" i="3"/>
  <c r="DL297" i="3"/>
  <c r="DK297" i="3"/>
  <c r="DJ297" i="3"/>
  <c r="DI297" i="3"/>
  <c r="DF297" i="3"/>
  <c r="DE297" i="3"/>
  <c r="DD297" i="3"/>
  <c r="DC297" i="3"/>
  <c r="DB297" i="3"/>
  <c r="DA297" i="3"/>
  <c r="CO297" i="3"/>
  <c r="CN297" i="3"/>
  <c r="CL297" i="3"/>
  <c r="CM297" i="3" s="1"/>
  <c r="AE297" i="3" s="1"/>
  <c r="AH297" i="3" s="1"/>
  <c r="CK297" i="3"/>
  <c r="CJ297" i="3"/>
  <c r="CI297" i="3"/>
  <c r="CH297" i="3"/>
  <c r="BE297" i="3"/>
  <c r="AX297" i="3"/>
  <c r="AU297" i="3"/>
  <c r="AT297" i="3" s="1"/>
  <c r="AS297" i="3"/>
  <c r="AR297" i="3" s="1"/>
  <c r="AP297" i="3"/>
  <c r="AO297" i="3"/>
  <c r="AN297" i="3"/>
  <c r="Y297" i="3"/>
  <c r="X297" i="3"/>
  <c r="DW296" i="3"/>
  <c r="DV296" i="3"/>
  <c r="DU296" i="3"/>
  <c r="DT296" i="3"/>
  <c r="DS296" i="3"/>
  <c r="DR296" i="3"/>
  <c r="DQ296" i="3"/>
  <c r="DP296" i="3"/>
  <c r="DO296" i="3"/>
  <c r="DN296" i="3"/>
  <c r="DM296" i="3"/>
  <c r="DL296" i="3"/>
  <c r="DK296" i="3"/>
  <c r="DJ296" i="3"/>
  <c r="DI296" i="3"/>
  <c r="DF296" i="3"/>
  <c r="DE296" i="3"/>
  <c r="DD296" i="3"/>
  <c r="DC296" i="3"/>
  <c r="DB296" i="3"/>
  <c r="DA296" i="3"/>
  <c r="CO296" i="3"/>
  <c r="CN296" i="3"/>
  <c r="CL296" i="3"/>
  <c r="CM296" i="3" s="1"/>
  <c r="AE296" i="3" s="1"/>
  <c r="CK296" i="3"/>
  <c r="CJ296" i="3"/>
  <c r="CI296" i="3"/>
  <c r="CH296" i="3"/>
  <c r="BE296" i="3"/>
  <c r="AX296" i="3"/>
  <c r="AU296" i="3"/>
  <c r="AT296" i="3" s="1"/>
  <c r="AS296" i="3"/>
  <c r="AR296" i="3" s="1"/>
  <c r="AP296" i="3"/>
  <c r="AO296" i="3"/>
  <c r="AN296" i="3"/>
  <c r="Y296" i="3"/>
  <c r="X296" i="3"/>
  <c r="DW295" i="3"/>
  <c r="DV295" i="3"/>
  <c r="DU295" i="3"/>
  <c r="DT295" i="3"/>
  <c r="DS295" i="3"/>
  <c r="DR295" i="3"/>
  <c r="DQ295" i="3"/>
  <c r="DP295" i="3"/>
  <c r="DO295" i="3"/>
  <c r="DN295" i="3"/>
  <c r="DM295" i="3"/>
  <c r="DL295" i="3"/>
  <c r="DK295" i="3"/>
  <c r="DJ295" i="3"/>
  <c r="DI295" i="3"/>
  <c r="DF295" i="3"/>
  <c r="DE295" i="3"/>
  <c r="DD295" i="3"/>
  <c r="DC295" i="3"/>
  <c r="DB295" i="3"/>
  <c r="DA295" i="3"/>
  <c r="CO295" i="3"/>
  <c r="CN295" i="3"/>
  <c r="CL295" i="3"/>
  <c r="CM295" i="3" s="1"/>
  <c r="AE295" i="3" s="1"/>
  <c r="CK295" i="3"/>
  <c r="CJ295" i="3"/>
  <c r="CI295" i="3"/>
  <c r="CH295" i="3"/>
  <c r="BE295" i="3"/>
  <c r="AX295" i="3"/>
  <c r="AU295" i="3"/>
  <c r="AT295" i="3" s="1"/>
  <c r="AS295" i="3"/>
  <c r="AR295" i="3" s="1"/>
  <c r="AP295" i="3"/>
  <c r="AO295" i="3"/>
  <c r="AN295" i="3"/>
  <c r="Y295" i="3"/>
  <c r="X295" i="3"/>
  <c r="DW294" i="3"/>
  <c r="DV294" i="3"/>
  <c r="DU294" i="3"/>
  <c r="DT294" i="3"/>
  <c r="DS294" i="3"/>
  <c r="DR294" i="3"/>
  <c r="DQ294" i="3"/>
  <c r="DP294" i="3"/>
  <c r="DO294" i="3"/>
  <c r="DN294" i="3"/>
  <c r="DM294" i="3"/>
  <c r="DL294" i="3"/>
  <c r="DK294" i="3"/>
  <c r="DJ294" i="3"/>
  <c r="DI294" i="3"/>
  <c r="DF294" i="3"/>
  <c r="DE294" i="3"/>
  <c r="DD294" i="3"/>
  <c r="DC294" i="3"/>
  <c r="DB294" i="3"/>
  <c r="DA294" i="3"/>
  <c r="CO294" i="3"/>
  <c r="CN294" i="3"/>
  <c r="CL294" i="3"/>
  <c r="CM294" i="3" s="1"/>
  <c r="AE294" i="3" s="1"/>
  <c r="CK294" i="3"/>
  <c r="CJ294" i="3"/>
  <c r="CI294" i="3"/>
  <c r="CH294" i="3"/>
  <c r="BE294" i="3"/>
  <c r="AX294" i="3"/>
  <c r="AU294" i="3"/>
  <c r="AT294" i="3" s="1"/>
  <c r="AS294" i="3"/>
  <c r="AR294" i="3" s="1"/>
  <c r="AP294" i="3"/>
  <c r="AO294" i="3"/>
  <c r="AN294" i="3"/>
  <c r="Y294" i="3"/>
  <c r="X294" i="3"/>
  <c r="DW293" i="3"/>
  <c r="DV293" i="3"/>
  <c r="DU293" i="3"/>
  <c r="DT293" i="3"/>
  <c r="DS293" i="3"/>
  <c r="DR293" i="3"/>
  <c r="DQ293" i="3"/>
  <c r="DP293" i="3"/>
  <c r="DO293" i="3"/>
  <c r="DN293" i="3"/>
  <c r="DM293" i="3"/>
  <c r="DL293" i="3"/>
  <c r="DK293" i="3"/>
  <c r="DJ293" i="3"/>
  <c r="DI293" i="3"/>
  <c r="DF293" i="3"/>
  <c r="DE293" i="3"/>
  <c r="DD293" i="3"/>
  <c r="DC293" i="3"/>
  <c r="DB293" i="3"/>
  <c r="DA293" i="3"/>
  <c r="CO293" i="3"/>
  <c r="CN293" i="3"/>
  <c r="CL293" i="3"/>
  <c r="CM293" i="3" s="1"/>
  <c r="AE293" i="3" s="1"/>
  <c r="AH293" i="3" s="1"/>
  <c r="AI293" i="3" s="1"/>
  <c r="CK293" i="3"/>
  <c r="CJ293" i="3"/>
  <c r="CI293" i="3"/>
  <c r="CH293" i="3"/>
  <c r="BE293" i="3"/>
  <c r="AX293" i="3"/>
  <c r="AU293" i="3"/>
  <c r="AT293" i="3" s="1"/>
  <c r="AS293" i="3"/>
  <c r="AR293" i="3" s="1"/>
  <c r="AP293" i="3"/>
  <c r="AO293" i="3"/>
  <c r="AN293" i="3"/>
  <c r="Y293" i="3"/>
  <c r="X293" i="3"/>
  <c r="DW292" i="3"/>
  <c r="DV292" i="3"/>
  <c r="DU292" i="3"/>
  <c r="DT292" i="3"/>
  <c r="DS292" i="3"/>
  <c r="DR292" i="3"/>
  <c r="DQ292" i="3"/>
  <c r="DP292" i="3"/>
  <c r="DO292" i="3"/>
  <c r="DN292" i="3"/>
  <c r="DM292" i="3"/>
  <c r="DL292" i="3"/>
  <c r="DK292" i="3"/>
  <c r="DJ292" i="3"/>
  <c r="DI292" i="3"/>
  <c r="DF292" i="3"/>
  <c r="DE292" i="3"/>
  <c r="DD292" i="3"/>
  <c r="DC292" i="3"/>
  <c r="DB292" i="3"/>
  <c r="DA292" i="3"/>
  <c r="CO292" i="3"/>
  <c r="CN292" i="3"/>
  <c r="CL292" i="3"/>
  <c r="CM292" i="3" s="1"/>
  <c r="AE292" i="3" s="1"/>
  <c r="AH292" i="3" s="1"/>
  <c r="AI292" i="3" s="1"/>
  <c r="CK292" i="3"/>
  <c r="CJ292" i="3"/>
  <c r="CI292" i="3"/>
  <c r="CH292" i="3"/>
  <c r="BE292" i="3"/>
  <c r="AX292" i="3"/>
  <c r="AU292" i="3"/>
  <c r="AT292" i="3" s="1"/>
  <c r="AS292" i="3"/>
  <c r="AR292" i="3" s="1"/>
  <c r="AP292" i="3"/>
  <c r="AO292" i="3"/>
  <c r="AN292" i="3"/>
  <c r="Y292" i="3"/>
  <c r="X292" i="3"/>
  <c r="DW291" i="3"/>
  <c r="DV291" i="3"/>
  <c r="DU291" i="3"/>
  <c r="DT291" i="3"/>
  <c r="DS291" i="3"/>
  <c r="DR291" i="3"/>
  <c r="DQ291" i="3"/>
  <c r="DP291" i="3"/>
  <c r="DO291" i="3"/>
  <c r="DN291" i="3"/>
  <c r="DM291" i="3"/>
  <c r="DL291" i="3"/>
  <c r="DK291" i="3"/>
  <c r="DJ291" i="3"/>
  <c r="DI291" i="3"/>
  <c r="DF291" i="3"/>
  <c r="DE291" i="3"/>
  <c r="DD291" i="3"/>
  <c r="DC291" i="3"/>
  <c r="DB291" i="3"/>
  <c r="DA291" i="3"/>
  <c r="CO291" i="3"/>
  <c r="CN291" i="3"/>
  <c r="CL291" i="3"/>
  <c r="CM291" i="3" s="1"/>
  <c r="AE291" i="3" s="1"/>
  <c r="AH291" i="3" s="1"/>
  <c r="AI291" i="3" s="1"/>
  <c r="CK291" i="3"/>
  <c r="CJ291" i="3"/>
  <c r="CI291" i="3"/>
  <c r="CH291" i="3"/>
  <c r="BE291" i="3"/>
  <c r="AX291" i="3"/>
  <c r="AU291" i="3"/>
  <c r="AT291" i="3" s="1"/>
  <c r="AS291" i="3"/>
  <c r="AR291" i="3" s="1"/>
  <c r="AP291" i="3"/>
  <c r="AO291" i="3"/>
  <c r="AN291" i="3"/>
  <c r="AM291" i="3" s="1"/>
  <c r="Y291" i="3"/>
  <c r="X291" i="3"/>
  <c r="DW290" i="3"/>
  <c r="DV290" i="3"/>
  <c r="DU290" i="3"/>
  <c r="DT290" i="3"/>
  <c r="DS290" i="3"/>
  <c r="DR290" i="3"/>
  <c r="DQ290" i="3"/>
  <c r="DP290" i="3"/>
  <c r="DO290" i="3"/>
  <c r="DN290" i="3"/>
  <c r="DM290" i="3"/>
  <c r="DL290" i="3"/>
  <c r="DK290" i="3"/>
  <c r="DJ290" i="3"/>
  <c r="DI290" i="3"/>
  <c r="DF290" i="3"/>
  <c r="DE290" i="3"/>
  <c r="DD290" i="3"/>
  <c r="DC290" i="3"/>
  <c r="DB290" i="3"/>
  <c r="DA290" i="3"/>
  <c r="CO290" i="3"/>
  <c r="CN290" i="3"/>
  <c r="CL290" i="3"/>
  <c r="CM290" i="3" s="1"/>
  <c r="AE290" i="3" s="1"/>
  <c r="AH290" i="3" s="1"/>
  <c r="CK290" i="3"/>
  <c r="CJ290" i="3"/>
  <c r="CI290" i="3"/>
  <c r="CH290" i="3"/>
  <c r="BE290" i="3"/>
  <c r="AX290" i="3"/>
  <c r="AU290" i="3"/>
  <c r="AT290" i="3" s="1"/>
  <c r="AS290" i="3"/>
  <c r="AR290" i="3" s="1"/>
  <c r="AP290" i="3"/>
  <c r="AO290" i="3"/>
  <c r="AN290" i="3"/>
  <c r="Y290" i="3"/>
  <c r="X290" i="3"/>
  <c r="DW289" i="3"/>
  <c r="DV289" i="3"/>
  <c r="DU289" i="3"/>
  <c r="DT289" i="3"/>
  <c r="DS289" i="3"/>
  <c r="DR289" i="3"/>
  <c r="DQ289" i="3"/>
  <c r="DP289" i="3"/>
  <c r="DO289" i="3"/>
  <c r="DN289" i="3"/>
  <c r="DM289" i="3"/>
  <c r="DL289" i="3"/>
  <c r="DK289" i="3"/>
  <c r="DJ289" i="3"/>
  <c r="DI289" i="3"/>
  <c r="DF289" i="3"/>
  <c r="DE289" i="3"/>
  <c r="DD289" i="3"/>
  <c r="DC289" i="3"/>
  <c r="DB289" i="3"/>
  <c r="DA289" i="3"/>
  <c r="CO289" i="3"/>
  <c r="CN289" i="3"/>
  <c r="CL289" i="3"/>
  <c r="CM289" i="3" s="1"/>
  <c r="AE289" i="3" s="1"/>
  <c r="AH289" i="3" s="1"/>
  <c r="CK289" i="3"/>
  <c r="CJ289" i="3"/>
  <c r="CI289" i="3"/>
  <c r="CH289" i="3"/>
  <c r="BE289" i="3"/>
  <c r="AX289" i="3"/>
  <c r="AU289" i="3"/>
  <c r="AT289" i="3" s="1"/>
  <c r="AS289" i="3"/>
  <c r="AR289" i="3" s="1"/>
  <c r="AP289" i="3"/>
  <c r="AO289" i="3"/>
  <c r="AN289" i="3"/>
  <c r="Y289" i="3"/>
  <c r="X289" i="3"/>
  <c r="DW288" i="3"/>
  <c r="DV288" i="3"/>
  <c r="DU288" i="3"/>
  <c r="DT288" i="3"/>
  <c r="DS288" i="3"/>
  <c r="DR288" i="3"/>
  <c r="DQ288" i="3"/>
  <c r="DP288" i="3"/>
  <c r="DO288" i="3"/>
  <c r="DN288" i="3"/>
  <c r="DM288" i="3"/>
  <c r="DL288" i="3"/>
  <c r="DK288" i="3"/>
  <c r="DJ288" i="3"/>
  <c r="DI288" i="3"/>
  <c r="DF288" i="3"/>
  <c r="DE288" i="3"/>
  <c r="DD288" i="3"/>
  <c r="DC288" i="3"/>
  <c r="DB288" i="3"/>
  <c r="DA288" i="3"/>
  <c r="CO288" i="3"/>
  <c r="CN288" i="3"/>
  <c r="CL288" i="3"/>
  <c r="CM288" i="3" s="1"/>
  <c r="AE288" i="3" s="1"/>
  <c r="CK288" i="3"/>
  <c r="CJ288" i="3"/>
  <c r="CI288" i="3"/>
  <c r="CH288" i="3"/>
  <c r="BE288" i="3"/>
  <c r="AX288" i="3"/>
  <c r="AU288" i="3"/>
  <c r="AT288" i="3" s="1"/>
  <c r="AS288" i="3"/>
  <c r="AR288" i="3" s="1"/>
  <c r="AP288" i="3"/>
  <c r="AO288" i="3"/>
  <c r="AN288" i="3"/>
  <c r="Y288" i="3"/>
  <c r="X288" i="3"/>
  <c r="DW287" i="3"/>
  <c r="DV287" i="3"/>
  <c r="DU287" i="3"/>
  <c r="DT287" i="3"/>
  <c r="DS287" i="3"/>
  <c r="DR287" i="3"/>
  <c r="DQ287" i="3"/>
  <c r="DP287" i="3"/>
  <c r="DO287" i="3"/>
  <c r="DN287" i="3"/>
  <c r="DM287" i="3"/>
  <c r="DL287" i="3"/>
  <c r="DK287" i="3"/>
  <c r="DJ287" i="3"/>
  <c r="DI287" i="3"/>
  <c r="DF287" i="3"/>
  <c r="DE287" i="3"/>
  <c r="DD287" i="3"/>
  <c r="DC287" i="3"/>
  <c r="DB287" i="3"/>
  <c r="DA287" i="3"/>
  <c r="CO287" i="3"/>
  <c r="CN287" i="3"/>
  <c r="CL287" i="3"/>
  <c r="CM287" i="3" s="1"/>
  <c r="AE287" i="3" s="1"/>
  <c r="AH287" i="3" s="1"/>
  <c r="CK287" i="3"/>
  <c r="CJ287" i="3"/>
  <c r="CI287" i="3"/>
  <c r="CH287" i="3"/>
  <c r="BE287" i="3"/>
  <c r="AX287" i="3"/>
  <c r="AU287" i="3"/>
  <c r="AT287" i="3" s="1"/>
  <c r="AS287" i="3"/>
  <c r="AR287" i="3" s="1"/>
  <c r="AP287" i="3"/>
  <c r="AO287" i="3"/>
  <c r="AN287" i="3"/>
  <c r="AM287" i="3" s="1"/>
  <c r="Y287" i="3"/>
  <c r="X287" i="3"/>
  <c r="DW286" i="3"/>
  <c r="DV286" i="3"/>
  <c r="DU286" i="3"/>
  <c r="DT286" i="3"/>
  <c r="DS286" i="3"/>
  <c r="DR286" i="3"/>
  <c r="DQ286" i="3"/>
  <c r="DP286" i="3"/>
  <c r="DO286" i="3"/>
  <c r="DN286" i="3"/>
  <c r="DM286" i="3"/>
  <c r="DL286" i="3"/>
  <c r="DK286" i="3"/>
  <c r="DJ286" i="3"/>
  <c r="DI286" i="3"/>
  <c r="DF286" i="3"/>
  <c r="DE286" i="3"/>
  <c r="DD286" i="3"/>
  <c r="DC286" i="3"/>
  <c r="DB286" i="3"/>
  <c r="DA286" i="3"/>
  <c r="CO286" i="3"/>
  <c r="CN286" i="3"/>
  <c r="CL286" i="3"/>
  <c r="CM286" i="3" s="1"/>
  <c r="AE286" i="3" s="1"/>
  <c r="AH286" i="3" s="1"/>
  <c r="CK286" i="3"/>
  <c r="CJ286" i="3"/>
  <c r="CI286" i="3"/>
  <c r="CH286" i="3"/>
  <c r="BE286" i="3"/>
  <c r="AX286" i="3"/>
  <c r="AU286" i="3"/>
  <c r="AT286" i="3" s="1"/>
  <c r="AS286" i="3"/>
  <c r="AR286" i="3" s="1"/>
  <c r="AP286" i="3"/>
  <c r="AO286" i="3"/>
  <c r="AN286" i="3"/>
  <c r="Y286" i="3"/>
  <c r="X286" i="3"/>
  <c r="DW285" i="3"/>
  <c r="DV285" i="3"/>
  <c r="DU285" i="3"/>
  <c r="DT285" i="3"/>
  <c r="DS285" i="3"/>
  <c r="DR285" i="3"/>
  <c r="DQ285" i="3"/>
  <c r="DP285" i="3"/>
  <c r="DO285" i="3"/>
  <c r="DN285" i="3"/>
  <c r="DM285" i="3"/>
  <c r="DL285" i="3"/>
  <c r="DK285" i="3"/>
  <c r="DJ285" i="3"/>
  <c r="DI285" i="3"/>
  <c r="DF285" i="3"/>
  <c r="DE285" i="3"/>
  <c r="DD285" i="3"/>
  <c r="DC285" i="3"/>
  <c r="DB285" i="3"/>
  <c r="DA285" i="3"/>
  <c r="CO285" i="3"/>
  <c r="CN285" i="3"/>
  <c r="CL285" i="3"/>
  <c r="CM285" i="3" s="1"/>
  <c r="AE285" i="3" s="1"/>
  <c r="CK285" i="3"/>
  <c r="CJ285" i="3"/>
  <c r="CI285" i="3"/>
  <c r="CH285" i="3"/>
  <c r="BE285" i="3"/>
  <c r="AX285" i="3"/>
  <c r="AU285" i="3"/>
  <c r="AT285" i="3" s="1"/>
  <c r="AS285" i="3"/>
  <c r="AR285" i="3" s="1"/>
  <c r="AP285" i="3"/>
  <c r="AO285" i="3"/>
  <c r="AN285" i="3"/>
  <c r="Y285" i="3"/>
  <c r="X285" i="3"/>
  <c r="DW284" i="3"/>
  <c r="DV284" i="3"/>
  <c r="DU284" i="3"/>
  <c r="DT284" i="3"/>
  <c r="DS284" i="3"/>
  <c r="DR284" i="3"/>
  <c r="DQ284" i="3"/>
  <c r="DP284" i="3"/>
  <c r="DO284" i="3"/>
  <c r="DN284" i="3"/>
  <c r="DM284" i="3"/>
  <c r="DL284" i="3"/>
  <c r="DK284" i="3"/>
  <c r="DJ284" i="3"/>
  <c r="DI284" i="3"/>
  <c r="DF284" i="3"/>
  <c r="DE284" i="3"/>
  <c r="DD284" i="3"/>
  <c r="DC284" i="3"/>
  <c r="DB284" i="3"/>
  <c r="DA284" i="3"/>
  <c r="CO284" i="3"/>
  <c r="CN284" i="3"/>
  <c r="CL284" i="3"/>
  <c r="CM284" i="3" s="1"/>
  <c r="AE284" i="3" s="1"/>
  <c r="CK284" i="3"/>
  <c r="CJ284" i="3"/>
  <c r="CI284" i="3"/>
  <c r="CH284" i="3"/>
  <c r="BE284" i="3"/>
  <c r="AX284" i="3"/>
  <c r="AU284" i="3"/>
  <c r="AT284" i="3" s="1"/>
  <c r="AS284" i="3"/>
  <c r="AR284" i="3" s="1"/>
  <c r="AP284" i="3"/>
  <c r="AO284" i="3"/>
  <c r="AN284" i="3"/>
  <c r="Y284" i="3"/>
  <c r="X284" i="3"/>
  <c r="DW283" i="3"/>
  <c r="DV283" i="3"/>
  <c r="DU283" i="3"/>
  <c r="DT283" i="3"/>
  <c r="DS283" i="3"/>
  <c r="DR283" i="3"/>
  <c r="DQ283" i="3"/>
  <c r="DP283" i="3"/>
  <c r="DO283" i="3"/>
  <c r="DN283" i="3"/>
  <c r="DM283" i="3"/>
  <c r="DL283" i="3"/>
  <c r="DK283" i="3"/>
  <c r="DJ283" i="3"/>
  <c r="DI283" i="3"/>
  <c r="DF283" i="3"/>
  <c r="DE283" i="3"/>
  <c r="DD283" i="3"/>
  <c r="DC283" i="3"/>
  <c r="DB283" i="3"/>
  <c r="DA283" i="3"/>
  <c r="CO283" i="3"/>
  <c r="CN283" i="3"/>
  <c r="CL283" i="3"/>
  <c r="CM283" i="3" s="1"/>
  <c r="AE283" i="3" s="1"/>
  <c r="AH283" i="3" s="1"/>
  <c r="AI283" i="3" s="1"/>
  <c r="CK283" i="3"/>
  <c r="CJ283" i="3"/>
  <c r="CI283" i="3"/>
  <c r="CH283" i="3"/>
  <c r="BE283" i="3"/>
  <c r="AX283" i="3"/>
  <c r="AU283" i="3"/>
  <c r="AT283" i="3" s="1"/>
  <c r="AS283" i="3"/>
  <c r="AR283" i="3" s="1"/>
  <c r="AP283" i="3"/>
  <c r="AO283" i="3"/>
  <c r="AN283" i="3"/>
  <c r="AM283" i="3" s="1"/>
  <c r="Y283" i="3"/>
  <c r="X283" i="3"/>
  <c r="DW282" i="3"/>
  <c r="DV282" i="3"/>
  <c r="DU282" i="3"/>
  <c r="DT282" i="3"/>
  <c r="DS282" i="3"/>
  <c r="DR282" i="3"/>
  <c r="DQ282" i="3"/>
  <c r="DP282" i="3"/>
  <c r="DO282" i="3"/>
  <c r="DN282" i="3"/>
  <c r="DM282" i="3"/>
  <c r="DL282" i="3"/>
  <c r="DK282" i="3"/>
  <c r="DJ282" i="3"/>
  <c r="DI282" i="3"/>
  <c r="DF282" i="3"/>
  <c r="DE282" i="3"/>
  <c r="DD282" i="3"/>
  <c r="DC282" i="3"/>
  <c r="DB282" i="3"/>
  <c r="DA282" i="3"/>
  <c r="CO282" i="3"/>
  <c r="CN282" i="3"/>
  <c r="CL282" i="3"/>
  <c r="CM282" i="3" s="1"/>
  <c r="AE282" i="3" s="1"/>
  <c r="AH282" i="3" s="1"/>
  <c r="CK282" i="3"/>
  <c r="CJ282" i="3"/>
  <c r="CI282" i="3"/>
  <c r="CH282" i="3"/>
  <c r="BE282" i="3"/>
  <c r="AX282" i="3"/>
  <c r="AU282" i="3"/>
  <c r="AT282" i="3" s="1"/>
  <c r="AS282" i="3"/>
  <c r="AR282" i="3" s="1"/>
  <c r="AP282" i="3"/>
  <c r="AO282" i="3"/>
  <c r="AN282" i="3"/>
  <c r="Y282" i="3"/>
  <c r="X282" i="3"/>
  <c r="DW281" i="3"/>
  <c r="DV281" i="3"/>
  <c r="DU281" i="3"/>
  <c r="DT281" i="3"/>
  <c r="DS281" i="3"/>
  <c r="DR281" i="3"/>
  <c r="DQ281" i="3"/>
  <c r="DP281" i="3"/>
  <c r="DO281" i="3"/>
  <c r="DN281" i="3"/>
  <c r="DM281" i="3"/>
  <c r="DL281" i="3"/>
  <c r="DK281" i="3"/>
  <c r="DJ281" i="3"/>
  <c r="DI281" i="3"/>
  <c r="DF281" i="3"/>
  <c r="DE281" i="3"/>
  <c r="DD281" i="3"/>
  <c r="DC281" i="3"/>
  <c r="DB281" i="3"/>
  <c r="DA281" i="3"/>
  <c r="CO281" i="3"/>
  <c r="CN281" i="3"/>
  <c r="CL281" i="3"/>
  <c r="CM281" i="3" s="1"/>
  <c r="AE281" i="3" s="1"/>
  <c r="CK281" i="3"/>
  <c r="CJ281" i="3"/>
  <c r="CI281" i="3"/>
  <c r="CH281" i="3"/>
  <c r="BE281" i="3"/>
  <c r="AX281" i="3"/>
  <c r="AU281" i="3"/>
  <c r="AT281" i="3" s="1"/>
  <c r="AS281" i="3"/>
  <c r="AR281" i="3" s="1"/>
  <c r="AP281" i="3"/>
  <c r="AO281" i="3"/>
  <c r="AN281" i="3"/>
  <c r="Y281" i="3"/>
  <c r="X281" i="3"/>
  <c r="DW280" i="3"/>
  <c r="DV280" i="3"/>
  <c r="DU280" i="3"/>
  <c r="DT280" i="3"/>
  <c r="DS280" i="3"/>
  <c r="DR280" i="3"/>
  <c r="DQ280" i="3"/>
  <c r="DP280" i="3"/>
  <c r="DO280" i="3"/>
  <c r="DN280" i="3"/>
  <c r="DM280" i="3"/>
  <c r="DL280" i="3"/>
  <c r="DK280" i="3"/>
  <c r="DJ280" i="3"/>
  <c r="DI280" i="3"/>
  <c r="DF280" i="3"/>
  <c r="DE280" i="3"/>
  <c r="DD280" i="3"/>
  <c r="DC280" i="3"/>
  <c r="DB280" i="3"/>
  <c r="DA280" i="3"/>
  <c r="CO280" i="3"/>
  <c r="CN280" i="3"/>
  <c r="CL280" i="3"/>
  <c r="CM280" i="3" s="1"/>
  <c r="AE280" i="3" s="1"/>
  <c r="CK280" i="3"/>
  <c r="CJ280" i="3"/>
  <c r="CI280" i="3"/>
  <c r="CH280" i="3"/>
  <c r="BE280" i="3"/>
  <c r="AX280" i="3"/>
  <c r="AU280" i="3"/>
  <c r="AT280" i="3" s="1"/>
  <c r="AS280" i="3"/>
  <c r="AR280" i="3" s="1"/>
  <c r="AP280" i="3"/>
  <c r="AO280" i="3"/>
  <c r="AN280" i="3"/>
  <c r="Y280" i="3"/>
  <c r="X280" i="3"/>
  <c r="DW279" i="3"/>
  <c r="DV279" i="3"/>
  <c r="DU279" i="3"/>
  <c r="DT279" i="3"/>
  <c r="DS279" i="3"/>
  <c r="DR279" i="3"/>
  <c r="DQ279" i="3"/>
  <c r="DP279" i="3"/>
  <c r="DO279" i="3"/>
  <c r="DN279" i="3"/>
  <c r="DM279" i="3"/>
  <c r="DL279" i="3"/>
  <c r="DK279" i="3"/>
  <c r="DJ279" i="3"/>
  <c r="DI279" i="3"/>
  <c r="DF279" i="3"/>
  <c r="DE279" i="3"/>
  <c r="DD279" i="3"/>
  <c r="DC279" i="3"/>
  <c r="DB279" i="3"/>
  <c r="DA279" i="3"/>
  <c r="CO279" i="3"/>
  <c r="CN279" i="3"/>
  <c r="CL279" i="3"/>
  <c r="CM279" i="3" s="1"/>
  <c r="AE279" i="3" s="1"/>
  <c r="CK279" i="3"/>
  <c r="CJ279" i="3"/>
  <c r="CI279" i="3"/>
  <c r="CH279" i="3"/>
  <c r="BE279" i="3"/>
  <c r="AX279" i="3"/>
  <c r="AU279" i="3"/>
  <c r="AT279" i="3" s="1"/>
  <c r="AS279" i="3"/>
  <c r="AR279" i="3" s="1"/>
  <c r="AP279" i="3"/>
  <c r="AO279" i="3"/>
  <c r="AN279" i="3"/>
  <c r="Y279" i="3"/>
  <c r="X279" i="3"/>
  <c r="DW278" i="3"/>
  <c r="DV278" i="3"/>
  <c r="DU278" i="3"/>
  <c r="DT278" i="3"/>
  <c r="DS278" i="3"/>
  <c r="DR278" i="3"/>
  <c r="DQ278" i="3"/>
  <c r="DP278" i="3"/>
  <c r="DO278" i="3"/>
  <c r="DN278" i="3"/>
  <c r="DM278" i="3"/>
  <c r="DL278" i="3"/>
  <c r="DK278" i="3"/>
  <c r="DJ278" i="3"/>
  <c r="DI278" i="3"/>
  <c r="DF278" i="3"/>
  <c r="DE278" i="3"/>
  <c r="DD278" i="3"/>
  <c r="DC278" i="3"/>
  <c r="DB278" i="3"/>
  <c r="DA278" i="3"/>
  <c r="CO278" i="3"/>
  <c r="CN278" i="3"/>
  <c r="CL278" i="3"/>
  <c r="CM278" i="3" s="1"/>
  <c r="AE278" i="3" s="1"/>
  <c r="CK278" i="3"/>
  <c r="CJ278" i="3"/>
  <c r="CI278" i="3"/>
  <c r="CH278" i="3"/>
  <c r="BE278" i="3"/>
  <c r="AX278" i="3"/>
  <c r="AU278" i="3"/>
  <c r="AT278" i="3" s="1"/>
  <c r="AS278" i="3"/>
  <c r="AR278" i="3" s="1"/>
  <c r="AP278" i="3"/>
  <c r="AO278" i="3"/>
  <c r="AN278" i="3"/>
  <c r="Y278" i="3"/>
  <c r="X278" i="3"/>
  <c r="DW277" i="3"/>
  <c r="DV277" i="3"/>
  <c r="DU277" i="3"/>
  <c r="DT277" i="3"/>
  <c r="DS277" i="3"/>
  <c r="DR277" i="3"/>
  <c r="DQ277" i="3"/>
  <c r="DP277" i="3"/>
  <c r="DO277" i="3"/>
  <c r="DN277" i="3"/>
  <c r="DM277" i="3"/>
  <c r="DL277" i="3"/>
  <c r="DK277" i="3"/>
  <c r="DJ277" i="3"/>
  <c r="DI277" i="3"/>
  <c r="DF277" i="3"/>
  <c r="DE277" i="3"/>
  <c r="DD277" i="3"/>
  <c r="DC277" i="3"/>
  <c r="DB277" i="3"/>
  <c r="DA277" i="3"/>
  <c r="CO277" i="3"/>
  <c r="CN277" i="3"/>
  <c r="CL277" i="3"/>
  <c r="CM277" i="3" s="1"/>
  <c r="AE277" i="3" s="1"/>
  <c r="AH277" i="3" s="1"/>
  <c r="AI277" i="3" s="1"/>
  <c r="CK277" i="3"/>
  <c r="CJ277" i="3"/>
  <c r="CI277" i="3"/>
  <c r="CH277" i="3"/>
  <c r="BE277" i="3"/>
  <c r="AX277" i="3"/>
  <c r="AU277" i="3"/>
  <c r="AT277" i="3" s="1"/>
  <c r="AS277" i="3"/>
  <c r="AR277" i="3" s="1"/>
  <c r="AP277" i="3"/>
  <c r="AO277" i="3"/>
  <c r="AN277" i="3"/>
  <c r="Y277" i="3"/>
  <c r="X277" i="3"/>
  <c r="DW276" i="3"/>
  <c r="DV276" i="3"/>
  <c r="DU276" i="3"/>
  <c r="DT276" i="3"/>
  <c r="DS276" i="3"/>
  <c r="DR276" i="3"/>
  <c r="DQ276" i="3"/>
  <c r="DP276" i="3"/>
  <c r="DO276" i="3"/>
  <c r="DN276" i="3"/>
  <c r="DM276" i="3"/>
  <c r="DL276" i="3"/>
  <c r="DK276" i="3"/>
  <c r="DJ276" i="3"/>
  <c r="DI276" i="3"/>
  <c r="DF276" i="3"/>
  <c r="DE276" i="3"/>
  <c r="DD276" i="3"/>
  <c r="DC276" i="3"/>
  <c r="DB276" i="3"/>
  <c r="DA276" i="3"/>
  <c r="CO276" i="3"/>
  <c r="CN276" i="3"/>
  <c r="CL276" i="3"/>
  <c r="CM276" i="3" s="1"/>
  <c r="AE276" i="3" s="1"/>
  <c r="AH276" i="3" s="1"/>
  <c r="AI276" i="3" s="1"/>
  <c r="CK276" i="3"/>
  <c r="CJ276" i="3"/>
  <c r="CI276" i="3"/>
  <c r="CH276" i="3"/>
  <c r="BE276" i="3"/>
  <c r="AX276" i="3"/>
  <c r="AU276" i="3"/>
  <c r="AT276" i="3" s="1"/>
  <c r="AS276" i="3"/>
  <c r="AR276" i="3" s="1"/>
  <c r="AP276" i="3"/>
  <c r="AO276" i="3"/>
  <c r="AN276" i="3"/>
  <c r="Y276" i="3"/>
  <c r="X276" i="3"/>
  <c r="DW275" i="3"/>
  <c r="DV275" i="3"/>
  <c r="DU275" i="3"/>
  <c r="DT275" i="3"/>
  <c r="DS275" i="3"/>
  <c r="DR275" i="3"/>
  <c r="DQ275" i="3"/>
  <c r="DP275" i="3"/>
  <c r="DO275" i="3"/>
  <c r="DN275" i="3"/>
  <c r="DM275" i="3"/>
  <c r="DL275" i="3"/>
  <c r="DK275" i="3"/>
  <c r="DJ275" i="3"/>
  <c r="DI275" i="3"/>
  <c r="DF275" i="3"/>
  <c r="DE275" i="3"/>
  <c r="DD275" i="3"/>
  <c r="DC275" i="3"/>
  <c r="DB275" i="3"/>
  <c r="DA275" i="3"/>
  <c r="CO275" i="3"/>
  <c r="CN275" i="3"/>
  <c r="CL275" i="3"/>
  <c r="CM275" i="3" s="1"/>
  <c r="AE275" i="3" s="1"/>
  <c r="AH275" i="3" s="1"/>
  <c r="AI275" i="3" s="1"/>
  <c r="CK275" i="3"/>
  <c r="CJ275" i="3"/>
  <c r="CI275" i="3"/>
  <c r="CH275" i="3"/>
  <c r="BE275" i="3"/>
  <c r="AX275" i="3"/>
  <c r="AU275" i="3"/>
  <c r="AT275" i="3" s="1"/>
  <c r="AS275" i="3"/>
  <c r="AR275" i="3" s="1"/>
  <c r="AP275" i="3"/>
  <c r="AO275" i="3"/>
  <c r="AN275" i="3"/>
  <c r="Y275" i="3"/>
  <c r="X275" i="3"/>
  <c r="DW274" i="3"/>
  <c r="DV274" i="3"/>
  <c r="DU274" i="3"/>
  <c r="DT274" i="3"/>
  <c r="DS274" i="3"/>
  <c r="DR274" i="3"/>
  <c r="DQ274" i="3"/>
  <c r="DP274" i="3"/>
  <c r="DO274" i="3"/>
  <c r="DN274" i="3"/>
  <c r="DM274" i="3"/>
  <c r="DL274" i="3"/>
  <c r="DK274" i="3"/>
  <c r="DJ274" i="3"/>
  <c r="DI274" i="3"/>
  <c r="DF274" i="3"/>
  <c r="DE274" i="3"/>
  <c r="DD274" i="3"/>
  <c r="DC274" i="3"/>
  <c r="DB274" i="3"/>
  <c r="DA274" i="3"/>
  <c r="CO274" i="3"/>
  <c r="CN274" i="3"/>
  <c r="CL274" i="3"/>
  <c r="CM274" i="3" s="1"/>
  <c r="AE274" i="3" s="1"/>
  <c r="AH274" i="3" s="1"/>
  <c r="CK274" i="3"/>
  <c r="CJ274" i="3"/>
  <c r="CI274" i="3"/>
  <c r="CH274" i="3"/>
  <c r="BE274" i="3"/>
  <c r="AX274" i="3"/>
  <c r="AU274" i="3"/>
  <c r="AT274" i="3" s="1"/>
  <c r="AS274" i="3"/>
  <c r="AR274" i="3" s="1"/>
  <c r="AP274" i="3"/>
  <c r="AO274" i="3"/>
  <c r="AN274" i="3"/>
  <c r="Y274" i="3"/>
  <c r="X274" i="3"/>
  <c r="DW273" i="3"/>
  <c r="DV273" i="3"/>
  <c r="DU273" i="3"/>
  <c r="DT273" i="3"/>
  <c r="DS273" i="3"/>
  <c r="DR273" i="3"/>
  <c r="DQ273" i="3"/>
  <c r="DP273" i="3"/>
  <c r="DO273" i="3"/>
  <c r="DN273" i="3"/>
  <c r="DM273" i="3"/>
  <c r="DL273" i="3"/>
  <c r="DK273" i="3"/>
  <c r="DJ273" i="3"/>
  <c r="DI273" i="3"/>
  <c r="DF273" i="3"/>
  <c r="DE273" i="3"/>
  <c r="DD273" i="3"/>
  <c r="DC273" i="3"/>
  <c r="DB273" i="3"/>
  <c r="DA273" i="3"/>
  <c r="CO273" i="3"/>
  <c r="CN273" i="3"/>
  <c r="CL273" i="3"/>
  <c r="CM273" i="3" s="1"/>
  <c r="AE273" i="3" s="1"/>
  <c r="CK273" i="3"/>
  <c r="CJ273" i="3"/>
  <c r="CI273" i="3"/>
  <c r="CH273" i="3"/>
  <c r="BE273" i="3"/>
  <c r="AX273" i="3"/>
  <c r="AU273" i="3"/>
  <c r="AT273" i="3" s="1"/>
  <c r="AS273" i="3"/>
  <c r="AR273" i="3" s="1"/>
  <c r="AP273" i="3"/>
  <c r="AO273" i="3"/>
  <c r="AN273" i="3"/>
  <c r="Y273" i="3"/>
  <c r="X273" i="3"/>
  <c r="DW272" i="3"/>
  <c r="DV272" i="3"/>
  <c r="DU272" i="3"/>
  <c r="DT272" i="3"/>
  <c r="DS272" i="3"/>
  <c r="DR272" i="3"/>
  <c r="DQ272" i="3"/>
  <c r="DP272" i="3"/>
  <c r="DO272" i="3"/>
  <c r="DN272" i="3"/>
  <c r="DM272" i="3"/>
  <c r="DL272" i="3"/>
  <c r="DK272" i="3"/>
  <c r="DJ272" i="3"/>
  <c r="DI272" i="3"/>
  <c r="DF272" i="3"/>
  <c r="DE272" i="3"/>
  <c r="DD272" i="3"/>
  <c r="DC272" i="3"/>
  <c r="DB272" i="3"/>
  <c r="DA272" i="3"/>
  <c r="CO272" i="3"/>
  <c r="CN272" i="3"/>
  <c r="CL272" i="3"/>
  <c r="CM272" i="3" s="1"/>
  <c r="AE272" i="3" s="1"/>
  <c r="CK272" i="3"/>
  <c r="CJ272" i="3"/>
  <c r="CI272" i="3"/>
  <c r="CH272" i="3"/>
  <c r="BE272" i="3"/>
  <c r="AX272" i="3"/>
  <c r="AU272" i="3"/>
  <c r="AT272" i="3" s="1"/>
  <c r="AS272" i="3"/>
  <c r="AR272" i="3" s="1"/>
  <c r="AP272" i="3"/>
  <c r="AO272" i="3"/>
  <c r="AN272" i="3"/>
  <c r="Y272" i="3"/>
  <c r="X272" i="3"/>
  <c r="DW271" i="3"/>
  <c r="DV271" i="3"/>
  <c r="DU271" i="3"/>
  <c r="DT271" i="3"/>
  <c r="DS271" i="3"/>
  <c r="DR271" i="3"/>
  <c r="DQ271" i="3"/>
  <c r="DP271" i="3"/>
  <c r="DO271" i="3"/>
  <c r="DN271" i="3"/>
  <c r="DM271" i="3"/>
  <c r="DL271" i="3"/>
  <c r="DK271" i="3"/>
  <c r="DJ271" i="3"/>
  <c r="DI271" i="3"/>
  <c r="DF271" i="3"/>
  <c r="DE271" i="3"/>
  <c r="DD271" i="3"/>
  <c r="DC271" i="3"/>
  <c r="DB271" i="3"/>
  <c r="DA271" i="3"/>
  <c r="CO271" i="3"/>
  <c r="CN271" i="3"/>
  <c r="CL271" i="3"/>
  <c r="CM271" i="3" s="1"/>
  <c r="AE271" i="3" s="1"/>
  <c r="CK271" i="3"/>
  <c r="CJ271" i="3"/>
  <c r="CI271" i="3"/>
  <c r="CH271" i="3"/>
  <c r="BE271" i="3"/>
  <c r="AX271" i="3"/>
  <c r="AU271" i="3"/>
  <c r="AT271" i="3" s="1"/>
  <c r="AS271" i="3"/>
  <c r="AR271" i="3" s="1"/>
  <c r="AP271" i="3"/>
  <c r="AO271" i="3"/>
  <c r="AN271" i="3"/>
  <c r="AM271" i="3" s="1"/>
  <c r="Y271" i="3"/>
  <c r="X271" i="3"/>
  <c r="DW270" i="3"/>
  <c r="DV270" i="3"/>
  <c r="DU270" i="3"/>
  <c r="DT270" i="3"/>
  <c r="DS270" i="3"/>
  <c r="DR270" i="3"/>
  <c r="DQ270" i="3"/>
  <c r="DP270" i="3"/>
  <c r="DO270" i="3"/>
  <c r="DN270" i="3"/>
  <c r="DM270" i="3"/>
  <c r="DL270" i="3"/>
  <c r="DK270" i="3"/>
  <c r="DJ270" i="3"/>
  <c r="DI270" i="3"/>
  <c r="DF270" i="3"/>
  <c r="DE270" i="3"/>
  <c r="DD270" i="3"/>
  <c r="DC270" i="3"/>
  <c r="DB270" i="3"/>
  <c r="DA270" i="3"/>
  <c r="CO270" i="3"/>
  <c r="CN270" i="3"/>
  <c r="CL270" i="3"/>
  <c r="CM270" i="3" s="1"/>
  <c r="AE270" i="3" s="1"/>
  <c r="CK270" i="3"/>
  <c r="CJ270" i="3"/>
  <c r="CI270" i="3"/>
  <c r="CH270" i="3"/>
  <c r="BE270" i="3"/>
  <c r="AX270" i="3"/>
  <c r="AU270" i="3"/>
  <c r="AT270" i="3" s="1"/>
  <c r="AS270" i="3"/>
  <c r="AR270" i="3" s="1"/>
  <c r="AP270" i="3"/>
  <c r="AO270" i="3"/>
  <c r="AN270" i="3"/>
  <c r="Y270" i="3"/>
  <c r="X270" i="3"/>
  <c r="DW269" i="3"/>
  <c r="DV269" i="3"/>
  <c r="DU269" i="3"/>
  <c r="DT269" i="3"/>
  <c r="DS269" i="3"/>
  <c r="DR269" i="3"/>
  <c r="DQ269" i="3"/>
  <c r="DP269" i="3"/>
  <c r="DO269" i="3"/>
  <c r="DN269" i="3"/>
  <c r="DM269" i="3"/>
  <c r="DL269" i="3"/>
  <c r="DK269" i="3"/>
  <c r="DJ269" i="3"/>
  <c r="DI269" i="3"/>
  <c r="DF269" i="3"/>
  <c r="DE269" i="3"/>
  <c r="DD269" i="3"/>
  <c r="DC269" i="3"/>
  <c r="DB269" i="3"/>
  <c r="DA269" i="3"/>
  <c r="CO269" i="3"/>
  <c r="CN269" i="3"/>
  <c r="CL269" i="3"/>
  <c r="CM269" i="3" s="1"/>
  <c r="AE269" i="3" s="1"/>
  <c r="CK269" i="3"/>
  <c r="CJ269" i="3"/>
  <c r="CI269" i="3"/>
  <c r="CH269" i="3"/>
  <c r="BE269" i="3"/>
  <c r="AX269" i="3"/>
  <c r="AU269" i="3"/>
  <c r="AT269" i="3" s="1"/>
  <c r="AS269" i="3"/>
  <c r="AR269" i="3" s="1"/>
  <c r="AP269" i="3"/>
  <c r="AO269" i="3"/>
  <c r="AN269" i="3"/>
  <c r="BM269" i="3" s="1"/>
  <c r="Y269" i="3"/>
  <c r="X269" i="3"/>
  <c r="DW268" i="3"/>
  <c r="DV268" i="3"/>
  <c r="DU268" i="3"/>
  <c r="DT268" i="3"/>
  <c r="DS268" i="3"/>
  <c r="DR268" i="3"/>
  <c r="DQ268" i="3"/>
  <c r="DP268" i="3"/>
  <c r="DO268" i="3"/>
  <c r="DN268" i="3"/>
  <c r="DM268" i="3"/>
  <c r="DL268" i="3"/>
  <c r="DK268" i="3"/>
  <c r="DJ268" i="3"/>
  <c r="DI268" i="3"/>
  <c r="DF268" i="3"/>
  <c r="DE268" i="3"/>
  <c r="DD268" i="3"/>
  <c r="DC268" i="3"/>
  <c r="DB268" i="3"/>
  <c r="DA268" i="3"/>
  <c r="CO268" i="3"/>
  <c r="CN268" i="3"/>
  <c r="CL268" i="3"/>
  <c r="CM268" i="3" s="1"/>
  <c r="AE268" i="3" s="1"/>
  <c r="CK268" i="3"/>
  <c r="CJ268" i="3"/>
  <c r="CI268" i="3"/>
  <c r="CH268" i="3"/>
  <c r="BE268" i="3"/>
  <c r="AX268" i="3"/>
  <c r="AU268" i="3"/>
  <c r="AT268" i="3" s="1"/>
  <c r="AS268" i="3"/>
  <c r="AR268" i="3" s="1"/>
  <c r="AP268" i="3"/>
  <c r="AO268" i="3"/>
  <c r="AN268" i="3"/>
  <c r="AM268" i="3" s="1"/>
  <c r="Y268" i="3"/>
  <c r="X268" i="3"/>
  <c r="DW267" i="3"/>
  <c r="DV267" i="3"/>
  <c r="DU267" i="3"/>
  <c r="DT267" i="3"/>
  <c r="DS267" i="3"/>
  <c r="DR267" i="3"/>
  <c r="DQ267" i="3"/>
  <c r="DP267" i="3"/>
  <c r="DO267" i="3"/>
  <c r="DN267" i="3"/>
  <c r="DM267" i="3"/>
  <c r="DL267" i="3"/>
  <c r="DK267" i="3"/>
  <c r="DJ267" i="3"/>
  <c r="DI267" i="3"/>
  <c r="DF267" i="3"/>
  <c r="DE267" i="3"/>
  <c r="DD267" i="3"/>
  <c r="DC267" i="3"/>
  <c r="DB267" i="3"/>
  <c r="DA267" i="3"/>
  <c r="CO267" i="3"/>
  <c r="CN267" i="3"/>
  <c r="CL267" i="3"/>
  <c r="CM267" i="3" s="1"/>
  <c r="AE267" i="3" s="1"/>
  <c r="CK267" i="3"/>
  <c r="CJ267" i="3"/>
  <c r="CI267" i="3"/>
  <c r="CH267" i="3"/>
  <c r="BE267" i="3"/>
  <c r="AX267" i="3"/>
  <c r="AU267" i="3"/>
  <c r="AT267" i="3" s="1"/>
  <c r="AS267" i="3"/>
  <c r="AR267" i="3" s="1"/>
  <c r="AP267" i="3"/>
  <c r="AO267" i="3"/>
  <c r="AN267" i="3"/>
  <c r="Y267" i="3"/>
  <c r="X267" i="3"/>
  <c r="DW266" i="3"/>
  <c r="DV266" i="3"/>
  <c r="DU266" i="3"/>
  <c r="DT266" i="3"/>
  <c r="DS266" i="3"/>
  <c r="DR266" i="3"/>
  <c r="DQ266" i="3"/>
  <c r="DP266" i="3"/>
  <c r="DO266" i="3"/>
  <c r="DN266" i="3"/>
  <c r="DM266" i="3"/>
  <c r="DL266" i="3"/>
  <c r="DK266" i="3"/>
  <c r="DJ266" i="3"/>
  <c r="DI266" i="3"/>
  <c r="DF266" i="3"/>
  <c r="DE266" i="3"/>
  <c r="DD266" i="3"/>
  <c r="DC266" i="3"/>
  <c r="DB266" i="3"/>
  <c r="DA266" i="3"/>
  <c r="CO266" i="3"/>
  <c r="CN266" i="3"/>
  <c r="CL266" i="3"/>
  <c r="CM266" i="3" s="1"/>
  <c r="AE266" i="3" s="1"/>
  <c r="CK266" i="3"/>
  <c r="CJ266" i="3"/>
  <c r="CI266" i="3"/>
  <c r="CH266" i="3"/>
  <c r="BE266" i="3"/>
  <c r="AX266" i="3"/>
  <c r="AU266" i="3"/>
  <c r="AT266" i="3" s="1"/>
  <c r="AS266" i="3"/>
  <c r="AR266" i="3" s="1"/>
  <c r="AP266" i="3"/>
  <c r="AO266" i="3"/>
  <c r="AN266" i="3"/>
  <c r="Y266" i="3"/>
  <c r="X266" i="3"/>
  <c r="DW265" i="3"/>
  <c r="DV265" i="3"/>
  <c r="DU265" i="3"/>
  <c r="DT265" i="3"/>
  <c r="DS265" i="3"/>
  <c r="DR265" i="3"/>
  <c r="DQ265" i="3"/>
  <c r="DP265" i="3"/>
  <c r="DO265" i="3"/>
  <c r="DN265" i="3"/>
  <c r="DM265" i="3"/>
  <c r="DL265" i="3"/>
  <c r="DK265" i="3"/>
  <c r="DJ265" i="3"/>
  <c r="DI265" i="3"/>
  <c r="DF265" i="3"/>
  <c r="DE265" i="3"/>
  <c r="DD265" i="3"/>
  <c r="DC265" i="3"/>
  <c r="DB265" i="3"/>
  <c r="DA265" i="3"/>
  <c r="CO265" i="3"/>
  <c r="CN265" i="3"/>
  <c r="CL265" i="3"/>
  <c r="CM265" i="3" s="1"/>
  <c r="AE265" i="3" s="1"/>
  <c r="CK265" i="3"/>
  <c r="CJ265" i="3"/>
  <c r="CI265" i="3"/>
  <c r="CH265" i="3"/>
  <c r="BE265" i="3"/>
  <c r="AX265" i="3"/>
  <c r="AU265" i="3"/>
  <c r="AT265" i="3" s="1"/>
  <c r="AS265" i="3"/>
  <c r="AR265" i="3" s="1"/>
  <c r="AP265" i="3"/>
  <c r="AO265" i="3"/>
  <c r="AN265" i="3"/>
  <c r="Y265" i="3"/>
  <c r="X265" i="3"/>
  <c r="DW264" i="3"/>
  <c r="DV264" i="3"/>
  <c r="DU264" i="3"/>
  <c r="DT264" i="3"/>
  <c r="DS264" i="3"/>
  <c r="DR264" i="3"/>
  <c r="DQ264" i="3"/>
  <c r="DP264" i="3"/>
  <c r="DO264" i="3"/>
  <c r="DN264" i="3"/>
  <c r="DM264" i="3"/>
  <c r="DL264" i="3"/>
  <c r="DK264" i="3"/>
  <c r="DJ264" i="3"/>
  <c r="DI264" i="3"/>
  <c r="DF264" i="3"/>
  <c r="DE264" i="3"/>
  <c r="DD264" i="3"/>
  <c r="DC264" i="3"/>
  <c r="DB264" i="3"/>
  <c r="DA264" i="3"/>
  <c r="CO264" i="3"/>
  <c r="CN264" i="3"/>
  <c r="CL264" i="3"/>
  <c r="CM264" i="3" s="1"/>
  <c r="AE264" i="3" s="1"/>
  <c r="AH264" i="3" s="1"/>
  <c r="CK264" i="3"/>
  <c r="CJ264" i="3"/>
  <c r="CI264" i="3"/>
  <c r="CH264" i="3"/>
  <c r="BE264" i="3"/>
  <c r="AX264" i="3"/>
  <c r="AU264" i="3"/>
  <c r="AT264" i="3" s="1"/>
  <c r="AS264" i="3"/>
  <c r="AR264" i="3" s="1"/>
  <c r="AP264" i="3"/>
  <c r="AO264" i="3"/>
  <c r="AN264" i="3"/>
  <c r="AM264" i="3" s="1"/>
  <c r="Y264" i="3"/>
  <c r="X264" i="3"/>
  <c r="DW263" i="3"/>
  <c r="DV263" i="3"/>
  <c r="DU263" i="3"/>
  <c r="DT263" i="3"/>
  <c r="DS263" i="3"/>
  <c r="DR263" i="3"/>
  <c r="DQ263" i="3"/>
  <c r="DP263" i="3"/>
  <c r="DO263" i="3"/>
  <c r="DN263" i="3"/>
  <c r="DM263" i="3"/>
  <c r="DL263" i="3"/>
  <c r="DK263" i="3"/>
  <c r="DJ263" i="3"/>
  <c r="DI263" i="3"/>
  <c r="DF263" i="3"/>
  <c r="DE263" i="3"/>
  <c r="DD263" i="3"/>
  <c r="DC263" i="3"/>
  <c r="DB263" i="3"/>
  <c r="DA263" i="3"/>
  <c r="CO263" i="3"/>
  <c r="CN263" i="3"/>
  <c r="CL263" i="3"/>
  <c r="CM263" i="3" s="1"/>
  <c r="AE263" i="3" s="1"/>
  <c r="AH263" i="3" s="1"/>
  <c r="CK263" i="3"/>
  <c r="CJ263" i="3"/>
  <c r="CI263" i="3"/>
  <c r="CH263" i="3"/>
  <c r="BE263" i="3"/>
  <c r="AX263" i="3"/>
  <c r="AU263" i="3"/>
  <c r="AT263" i="3" s="1"/>
  <c r="AS263" i="3"/>
  <c r="AR263" i="3" s="1"/>
  <c r="AP263" i="3"/>
  <c r="AO263" i="3"/>
  <c r="AN263" i="3"/>
  <c r="Y263" i="3"/>
  <c r="X263" i="3"/>
  <c r="DW262" i="3"/>
  <c r="DV262" i="3"/>
  <c r="DU262" i="3"/>
  <c r="DT262" i="3"/>
  <c r="DS262" i="3"/>
  <c r="DR262" i="3"/>
  <c r="DQ262" i="3"/>
  <c r="DP262" i="3"/>
  <c r="DO262" i="3"/>
  <c r="DN262" i="3"/>
  <c r="DM262" i="3"/>
  <c r="DL262" i="3"/>
  <c r="DK262" i="3"/>
  <c r="DJ262" i="3"/>
  <c r="DI262" i="3"/>
  <c r="DF262" i="3"/>
  <c r="DE262" i="3"/>
  <c r="DD262" i="3"/>
  <c r="DC262" i="3"/>
  <c r="DB262" i="3"/>
  <c r="DA262" i="3"/>
  <c r="CO262" i="3"/>
  <c r="CN262" i="3"/>
  <c r="CL262" i="3"/>
  <c r="CM262" i="3" s="1"/>
  <c r="AE262" i="3" s="1"/>
  <c r="AH262" i="3" s="1"/>
  <c r="CK262" i="3"/>
  <c r="CJ262" i="3"/>
  <c r="CI262" i="3"/>
  <c r="CH262" i="3"/>
  <c r="BE262" i="3"/>
  <c r="AX262" i="3"/>
  <c r="AU262" i="3"/>
  <c r="AT262" i="3" s="1"/>
  <c r="AS262" i="3"/>
  <c r="AR262" i="3" s="1"/>
  <c r="AP262" i="3"/>
  <c r="AO262" i="3"/>
  <c r="AN262" i="3"/>
  <c r="Y262" i="3"/>
  <c r="X262" i="3"/>
  <c r="DW261" i="3"/>
  <c r="DV261" i="3"/>
  <c r="DU261" i="3"/>
  <c r="DT261" i="3"/>
  <c r="DS261" i="3"/>
  <c r="DR261" i="3"/>
  <c r="DQ261" i="3"/>
  <c r="DP261" i="3"/>
  <c r="DO261" i="3"/>
  <c r="DN261" i="3"/>
  <c r="DM261" i="3"/>
  <c r="DL261" i="3"/>
  <c r="DK261" i="3"/>
  <c r="DJ261" i="3"/>
  <c r="DI261" i="3"/>
  <c r="DF261" i="3"/>
  <c r="DE261" i="3"/>
  <c r="DD261" i="3"/>
  <c r="DC261" i="3"/>
  <c r="DB261" i="3"/>
  <c r="DA261" i="3"/>
  <c r="CO261" i="3"/>
  <c r="CN261" i="3"/>
  <c r="CL261" i="3"/>
  <c r="CM261" i="3" s="1"/>
  <c r="AE261" i="3" s="1"/>
  <c r="AH261" i="3" s="1"/>
  <c r="AI261" i="3" s="1"/>
  <c r="CK261" i="3"/>
  <c r="CJ261" i="3"/>
  <c r="CI261" i="3"/>
  <c r="CH261" i="3"/>
  <c r="BE261" i="3"/>
  <c r="AX261" i="3"/>
  <c r="AU261" i="3"/>
  <c r="AT261" i="3" s="1"/>
  <c r="AS261" i="3"/>
  <c r="AR261" i="3" s="1"/>
  <c r="AP261" i="3"/>
  <c r="AO261" i="3"/>
  <c r="AN261" i="3"/>
  <c r="Y261" i="3"/>
  <c r="X261" i="3"/>
  <c r="DW260" i="3"/>
  <c r="DV260" i="3"/>
  <c r="DU260" i="3"/>
  <c r="DT260" i="3"/>
  <c r="DS260" i="3"/>
  <c r="DR260" i="3"/>
  <c r="DQ260" i="3"/>
  <c r="DP260" i="3"/>
  <c r="DO260" i="3"/>
  <c r="DN260" i="3"/>
  <c r="DM260" i="3"/>
  <c r="DL260" i="3"/>
  <c r="DK260" i="3"/>
  <c r="DJ260" i="3"/>
  <c r="DI260" i="3"/>
  <c r="DF260" i="3"/>
  <c r="DE260" i="3"/>
  <c r="DD260" i="3"/>
  <c r="DC260" i="3"/>
  <c r="DB260" i="3"/>
  <c r="DA260" i="3"/>
  <c r="CO260" i="3"/>
  <c r="CN260" i="3"/>
  <c r="CL260" i="3"/>
  <c r="CM260" i="3" s="1"/>
  <c r="AE260" i="3" s="1"/>
  <c r="AH260" i="3" s="1"/>
  <c r="AI260" i="3" s="1"/>
  <c r="CK260" i="3"/>
  <c r="CJ260" i="3"/>
  <c r="CI260" i="3"/>
  <c r="CH260" i="3"/>
  <c r="BE260" i="3"/>
  <c r="AX260" i="3"/>
  <c r="AU260" i="3"/>
  <c r="AT260" i="3" s="1"/>
  <c r="AS260" i="3"/>
  <c r="AR260" i="3" s="1"/>
  <c r="AP260" i="3"/>
  <c r="AO260" i="3"/>
  <c r="AN260" i="3"/>
  <c r="Y260" i="3"/>
  <c r="X260" i="3"/>
  <c r="DW259" i="3"/>
  <c r="DV259" i="3"/>
  <c r="DU259" i="3"/>
  <c r="DT259" i="3"/>
  <c r="DS259" i="3"/>
  <c r="DR259" i="3"/>
  <c r="DQ259" i="3"/>
  <c r="DP259" i="3"/>
  <c r="DO259" i="3"/>
  <c r="DN259" i="3"/>
  <c r="DM259" i="3"/>
  <c r="DL259" i="3"/>
  <c r="DK259" i="3"/>
  <c r="DJ259" i="3"/>
  <c r="DI259" i="3"/>
  <c r="DF259" i="3"/>
  <c r="DE259" i="3"/>
  <c r="DD259" i="3"/>
  <c r="DC259" i="3"/>
  <c r="DB259" i="3"/>
  <c r="DA259" i="3"/>
  <c r="CO259" i="3"/>
  <c r="CN259" i="3"/>
  <c r="CL259" i="3"/>
  <c r="CM259" i="3" s="1"/>
  <c r="AE259" i="3" s="1"/>
  <c r="AH259" i="3" s="1"/>
  <c r="AI259" i="3" s="1"/>
  <c r="CK259" i="3"/>
  <c r="CJ259" i="3"/>
  <c r="CI259" i="3"/>
  <c r="CH259" i="3"/>
  <c r="BE259" i="3"/>
  <c r="AX259" i="3"/>
  <c r="AU259" i="3"/>
  <c r="AT259" i="3" s="1"/>
  <c r="AS259" i="3"/>
  <c r="AR259" i="3" s="1"/>
  <c r="AP259" i="3"/>
  <c r="AO259" i="3"/>
  <c r="AN259" i="3"/>
  <c r="Y259" i="3"/>
  <c r="X259" i="3"/>
  <c r="DW258" i="3"/>
  <c r="DV258" i="3"/>
  <c r="DU258" i="3"/>
  <c r="DT258" i="3"/>
  <c r="DS258" i="3"/>
  <c r="DR258" i="3"/>
  <c r="DQ258" i="3"/>
  <c r="DP258" i="3"/>
  <c r="DO258" i="3"/>
  <c r="DN258" i="3"/>
  <c r="DM258" i="3"/>
  <c r="DL258" i="3"/>
  <c r="DK258" i="3"/>
  <c r="DJ258" i="3"/>
  <c r="DI258" i="3"/>
  <c r="DF258" i="3"/>
  <c r="DE258" i="3"/>
  <c r="DD258" i="3"/>
  <c r="DC258" i="3"/>
  <c r="DB258" i="3"/>
  <c r="DA258" i="3"/>
  <c r="CO258" i="3"/>
  <c r="CN258" i="3"/>
  <c r="CL258" i="3"/>
  <c r="CM258" i="3" s="1"/>
  <c r="AE258" i="3" s="1"/>
  <c r="AH258" i="3" s="1"/>
  <c r="CK258" i="3"/>
  <c r="CJ258" i="3"/>
  <c r="CI258" i="3"/>
  <c r="CH258" i="3"/>
  <c r="BE258" i="3"/>
  <c r="AX258" i="3"/>
  <c r="AU258" i="3"/>
  <c r="AT258" i="3" s="1"/>
  <c r="AS258" i="3"/>
  <c r="AR258" i="3" s="1"/>
  <c r="AP258" i="3"/>
  <c r="AO258" i="3"/>
  <c r="AN258" i="3"/>
  <c r="Y258" i="3"/>
  <c r="X258" i="3"/>
  <c r="DW257" i="3"/>
  <c r="DV257" i="3"/>
  <c r="DU257" i="3"/>
  <c r="DT257" i="3"/>
  <c r="DS257" i="3"/>
  <c r="DR257" i="3"/>
  <c r="DQ257" i="3"/>
  <c r="DP257" i="3"/>
  <c r="DO257" i="3"/>
  <c r="DN257" i="3"/>
  <c r="DM257" i="3"/>
  <c r="DL257" i="3"/>
  <c r="DK257" i="3"/>
  <c r="DJ257" i="3"/>
  <c r="DI257" i="3"/>
  <c r="DF257" i="3"/>
  <c r="DE257" i="3"/>
  <c r="DD257" i="3"/>
  <c r="DC257" i="3"/>
  <c r="DB257" i="3"/>
  <c r="DA257" i="3"/>
  <c r="CO257" i="3"/>
  <c r="CN257" i="3"/>
  <c r="CL257" i="3"/>
  <c r="CM257" i="3" s="1"/>
  <c r="AE257" i="3" s="1"/>
  <c r="AH257" i="3" s="1"/>
  <c r="CK257" i="3"/>
  <c r="CJ257" i="3"/>
  <c r="CI257" i="3"/>
  <c r="CH257" i="3"/>
  <c r="BE257" i="3"/>
  <c r="AX257" i="3"/>
  <c r="AU257" i="3"/>
  <c r="AT257" i="3" s="1"/>
  <c r="AS257" i="3"/>
  <c r="AR257" i="3" s="1"/>
  <c r="AP257" i="3"/>
  <c r="AO257" i="3"/>
  <c r="AN257" i="3"/>
  <c r="Y257" i="3"/>
  <c r="X257" i="3"/>
  <c r="DW256" i="3"/>
  <c r="DV256" i="3"/>
  <c r="DU256" i="3"/>
  <c r="DT256" i="3"/>
  <c r="DS256" i="3"/>
  <c r="DR256" i="3"/>
  <c r="DQ256" i="3"/>
  <c r="DP256" i="3"/>
  <c r="DO256" i="3"/>
  <c r="DN256" i="3"/>
  <c r="DM256" i="3"/>
  <c r="DL256" i="3"/>
  <c r="DK256" i="3"/>
  <c r="DJ256" i="3"/>
  <c r="DI256" i="3"/>
  <c r="DF256" i="3"/>
  <c r="DE256" i="3"/>
  <c r="DD256" i="3"/>
  <c r="DC256" i="3"/>
  <c r="DB256" i="3"/>
  <c r="DA256" i="3"/>
  <c r="CO256" i="3"/>
  <c r="CN256" i="3"/>
  <c r="CL256" i="3"/>
  <c r="CM256" i="3" s="1"/>
  <c r="AE256" i="3" s="1"/>
  <c r="CK256" i="3"/>
  <c r="CJ256" i="3"/>
  <c r="CI256" i="3"/>
  <c r="CH256" i="3"/>
  <c r="BE256" i="3"/>
  <c r="AX256" i="3"/>
  <c r="AU256" i="3"/>
  <c r="AT256" i="3" s="1"/>
  <c r="AS256" i="3"/>
  <c r="AR256" i="3" s="1"/>
  <c r="AP256" i="3"/>
  <c r="AO256" i="3"/>
  <c r="AN256" i="3"/>
  <c r="Y256" i="3"/>
  <c r="X256" i="3"/>
  <c r="DW255" i="3"/>
  <c r="DV255" i="3"/>
  <c r="DU255" i="3"/>
  <c r="DT255" i="3"/>
  <c r="DS255" i="3"/>
  <c r="DR255" i="3"/>
  <c r="DQ255" i="3"/>
  <c r="DP255" i="3"/>
  <c r="DO255" i="3"/>
  <c r="DN255" i="3"/>
  <c r="DM255" i="3"/>
  <c r="DL255" i="3"/>
  <c r="DK255" i="3"/>
  <c r="DJ255" i="3"/>
  <c r="DI255" i="3"/>
  <c r="DF255" i="3"/>
  <c r="DE255" i="3"/>
  <c r="DD255" i="3"/>
  <c r="DC255" i="3"/>
  <c r="DB255" i="3"/>
  <c r="DA255" i="3"/>
  <c r="CO255" i="3"/>
  <c r="CN255" i="3"/>
  <c r="CL255" i="3"/>
  <c r="CM255" i="3" s="1"/>
  <c r="AE255" i="3" s="1"/>
  <c r="CK255" i="3"/>
  <c r="CJ255" i="3"/>
  <c r="CI255" i="3"/>
  <c r="CH255" i="3"/>
  <c r="BE255" i="3"/>
  <c r="AX255" i="3"/>
  <c r="AU255" i="3"/>
  <c r="AT255" i="3" s="1"/>
  <c r="AS255" i="3"/>
  <c r="AR255" i="3" s="1"/>
  <c r="AP255" i="3"/>
  <c r="AO255" i="3"/>
  <c r="AN255" i="3"/>
  <c r="BM255" i="3" s="1"/>
  <c r="Y255" i="3"/>
  <c r="X255" i="3"/>
  <c r="DW254" i="3"/>
  <c r="DV254" i="3"/>
  <c r="DU254" i="3"/>
  <c r="DT254" i="3"/>
  <c r="DS254" i="3"/>
  <c r="DR254" i="3"/>
  <c r="DQ254" i="3"/>
  <c r="DP254" i="3"/>
  <c r="DO254" i="3"/>
  <c r="DN254" i="3"/>
  <c r="DM254" i="3"/>
  <c r="DL254" i="3"/>
  <c r="DK254" i="3"/>
  <c r="DJ254" i="3"/>
  <c r="DI254" i="3"/>
  <c r="DF254" i="3"/>
  <c r="DE254" i="3"/>
  <c r="DD254" i="3"/>
  <c r="DC254" i="3"/>
  <c r="DB254" i="3"/>
  <c r="DA254" i="3"/>
  <c r="CO254" i="3"/>
  <c r="CN254" i="3"/>
  <c r="CL254" i="3"/>
  <c r="CM254" i="3" s="1"/>
  <c r="AE254" i="3" s="1"/>
  <c r="CK254" i="3"/>
  <c r="CJ254" i="3"/>
  <c r="CI254" i="3"/>
  <c r="CH254" i="3"/>
  <c r="BE254" i="3"/>
  <c r="AX254" i="3"/>
  <c r="AU254" i="3"/>
  <c r="AT254" i="3" s="1"/>
  <c r="AS254" i="3"/>
  <c r="AR254" i="3" s="1"/>
  <c r="AP254" i="3"/>
  <c r="AO254" i="3"/>
  <c r="AN254" i="3"/>
  <c r="AM254" i="3" s="1"/>
  <c r="Y254" i="3"/>
  <c r="X254" i="3"/>
  <c r="DW253" i="3"/>
  <c r="DV253" i="3"/>
  <c r="DU253" i="3"/>
  <c r="DT253" i="3"/>
  <c r="DS253" i="3"/>
  <c r="DR253" i="3"/>
  <c r="DQ253" i="3"/>
  <c r="DP253" i="3"/>
  <c r="DO253" i="3"/>
  <c r="DN253" i="3"/>
  <c r="DM253" i="3"/>
  <c r="DL253" i="3"/>
  <c r="DK253" i="3"/>
  <c r="DJ253" i="3"/>
  <c r="DI253" i="3"/>
  <c r="DF253" i="3"/>
  <c r="DE253" i="3"/>
  <c r="DD253" i="3"/>
  <c r="DC253" i="3"/>
  <c r="DB253" i="3"/>
  <c r="DA253" i="3"/>
  <c r="CO253" i="3"/>
  <c r="CN253" i="3"/>
  <c r="CL253" i="3"/>
  <c r="CM253" i="3" s="1"/>
  <c r="AE253" i="3" s="1"/>
  <c r="CK253" i="3"/>
  <c r="CJ253" i="3"/>
  <c r="CI253" i="3"/>
  <c r="CH253" i="3"/>
  <c r="BE253" i="3"/>
  <c r="AX253" i="3"/>
  <c r="AU253" i="3"/>
  <c r="AT253" i="3" s="1"/>
  <c r="AS253" i="3"/>
  <c r="AR253" i="3" s="1"/>
  <c r="AP253" i="3"/>
  <c r="AO253" i="3"/>
  <c r="AN253" i="3"/>
  <c r="AM253" i="3" s="1"/>
  <c r="Y253" i="3"/>
  <c r="X253" i="3"/>
  <c r="DW252" i="3"/>
  <c r="DV252" i="3"/>
  <c r="DU252" i="3"/>
  <c r="DT252" i="3"/>
  <c r="DS252" i="3"/>
  <c r="DR252" i="3"/>
  <c r="DQ252" i="3"/>
  <c r="DP252" i="3"/>
  <c r="DO252" i="3"/>
  <c r="DN252" i="3"/>
  <c r="DM252" i="3"/>
  <c r="DL252" i="3"/>
  <c r="DK252" i="3"/>
  <c r="DJ252" i="3"/>
  <c r="DI252" i="3"/>
  <c r="DF252" i="3"/>
  <c r="DE252" i="3"/>
  <c r="DD252" i="3"/>
  <c r="DC252" i="3"/>
  <c r="DB252" i="3"/>
  <c r="DA252" i="3"/>
  <c r="CO252" i="3"/>
  <c r="CN252" i="3"/>
  <c r="CL252" i="3"/>
  <c r="CM252" i="3" s="1"/>
  <c r="AE252" i="3" s="1"/>
  <c r="CK252" i="3"/>
  <c r="CJ252" i="3"/>
  <c r="CI252" i="3"/>
  <c r="CH252" i="3"/>
  <c r="BE252" i="3"/>
  <c r="AX252" i="3"/>
  <c r="AU252" i="3"/>
  <c r="AT252" i="3" s="1"/>
  <c r="AS252" i="3"/>
  <c r="AR252" i="3" s="1"/>
  <c r="AP252" i="3"/>
  <c r="AO252" i="3"/>
  <c r="AN252" i="3"/>
  <c r="Y252" i="3"/>
  <c r="X252" i="3"/>
  <c r="DW251" i="3"/>
  <c r="DV251" i="3"/>
  <c r="DU251" i="3"/>
  <c r="DT251" i="3"/>
  <c r="DS251" i="3"/>
  <c r="DR251" i="3"/>
  <c r="DQ251" i="3"/>
  <c r="DP251" i="3"/>
  <c r="DO251" i="3"/>
  <c r="DN251" i="3"/>
  <c r="DM251" i="3"/>
  <c r="DL251" i="3"/>
  <c r="DK251" i="3"/>
  <c r="DJ251" i="3"/>
  <c r="DI251" i="3"/>
  <c r="DF251" i="3"/>
  <c r="DE251" i="3"/>
  <c r="DD251" i="3"/>
  <c r="DC251" i="3"/>
  <c r="DB251" i="3"/>
  <c r="DA251" i="3"/>
  <c r="CO251" i="3"/>
  <c r="CN251" i="3"/>
  <c r="CL251" i="3"/>
  <c r="CM251" i="3" s="1"/>
  <c r="AE251" i="3" s="1"/>
  <c r="AH251" i="3" s="1"/>
  <c r="AI251" i="3" s="1"/>
  <c r="CK251" i="3"/>
  <c r="CJ251" i="3"/>
  <c r="CI251" i="3"/>
  <c r="CH251" i="3"/>
  <c r="BE251" i="3"/>
  <c r="AX251" i="3"/>
  <c r="AU251" i="3"/>
  <c r="AT251" i="3" s="1"/>
  <c r="AS251" i="3"/>
  <c r="AR251" i="3" s="1"/>
  <c r="AP251" i="3"/>
  <c r="AO251" i="3"/>
  <c r="AN251" i="3"/>
  <c r="Y251" i="3"/>
  <c r="X251" i="3"/>
  <c r="DW250" i="3"/>
  <c r="DV250" i="3"/>
  <c r="DU250" i="3"/>
  <c r="DT250" i="3"/>
  <c r="DS250" i="3"/>
  <c r="DR250" i="3"/>
  <c r="DQ250" i="3"/>
  <c r="DP250" i="3"/>
  <c r="DO250" i="3"/>
  <c r="DN250" i="3"/>
  <c r="DM250" i="3"/>
  <c r="DL250" i="3"/>
  <c r="DK250" i="3"/>
  <c r="DJ250" i="3"/>
  <c r="DI250" i="3"/>
  <c r="DF250" i="3"/>
  <c r="DE250" i="3"/>
  <c r="DD250" i="3"/>
  <c r="DC250" i="3"/>
  <c r="DB250" i="3"/>
  <c r="DA250" i="3"/>
  <c r="CO250" i="3"/>
  <c r="CN250" i="3"/>
  <c r="CL250" i="3"/>
  <c r="CM250" i="3" s="1"/>
  <c r="AE250" i="3" s="1"/>
  <c r="AH250" i="3" s="1"/>
  <c r="CK250" i="3"/>
  <c r="CJ250" i="3"/>
  <c r="CI250" i="3"/>
  <c r="CH250" i="3"/>
  <c r="BE250" i="3"/>
  <c r="AX250" i="3"/>
  <c r="AU250" i="3"/>
  <c r="AT250" i="3" s="1"/>
  <c r="AS250" i="3"/>
  <c r="AR250" i="3" s="1"/>
  <c r="AP250" i="3"/>
  <c r="AO250" i="3"/>
  <c r="AN250" i="3"/>
  <c r="Y250" i="3"/>
  <c r="X250" i="3"/>
  <c r="DW249" i="3"/>
  <c r="DV249" i="3"/>
  <c r="DU249" i="3"/>
  <c r="DT249" i="3"/>
  <c r="DS249" i="3"/>
  <c r="DR249" i="3"/>
  <c r="DQ249" i="3"/>
  <c r="DP249" i="3"/>
  <c r="DO249" i="3"/>
  <c r="DN249" i="3"/>
  <c r="DM249" i="3"/>
  <c r="DL249" i="3"/>
  <c r="DK249" i="3"/>
  <c r="DJ249" i="3"/>
  <c r="DI249" i="3"/>
  <c r="DF249" i="3"/>
  <c r="DE249" i="3"/>
  <c r="DD249" i="3"/>
  <c r="DC249" i="3"/>
  <c r="DB249" i="3"/>
  <c r="DA249" i="3"/>
  <c r="CO249" i="3"/>
  <c r="CN249" i="3"/>
  <c r="CL249" i="3"/>
  <c r="CM249" i="3" s="1"/>
  <c r="AE249" i="3" s="1"/>
  <c r="AH249" i="3" s="1"/>
  <c r="CK249" i="3"/>
  <c r="CJ249" i="3"/>
  <c r="CI249" i="3"/>
  <c r="CH249" i="3"/>
  <c r="BE249" i="3"/>
  <c r="AX249" i="3"/>
  <c r="AU249" i="3"/>
  <c r="AT249" i="3" s="1"/>
  <c r="AS249" i="3"/>
  <c r="AR249" i="3" s="1"/>
  <c r="AP249" i="3"/>
  <c r="AO249" i="3"/>
  <c r="AN249" i="3"/>
  <c r="AM249" i="3" s="1"/>
  <c r="Y249" i="3"/>
  <c r="X249" i="3"/>
  <c r="DW248" i="3"/>
  <c r="DV248" i="3"/>
  <c r="DU248" i="3"/>
  <c r="DT248" i="3"/>
  <c r="DS248" i="3"/>
  <c r="DR248" i="3"/>
  <c r="DQ248" i="3"/>
  <c r="DP248" i="3"/>
  <c r="DO248" i="3"/>
  <c r="DN248" i="3"/>
  <c r="DM248" i="3"/>
  <c r="DL248" i="3"/>
  <c r="DK248" i="3"/>
  <c r="DJ248" i="3"/>
  <c r="DI248" i="3"/>
  <c r="DF248" i="3"/>
  <c r="DE248" i="3"/>
  <c r="DD248" i="3"/>
  <c r="DC248" i="3"/>
  <c r="DB248" i="3"/>
  <c r="DA248" i="3"/>
  <c r="CO248" i="3"/>
  <c r="CN248" i="3"/>
  <c r="CL248" i="3"/>
  <c r="CM248" i="3" s="1"/>
  <c r="AE248" i="3" s="1"/>
  <c r="AH248" i="3" s="1"/>
  <c r="CK248" i="3"/>
  <c r="CJ248" i="3"/>
  <c r="CI248" i="3"/>
  <c r="CH248" i="3"/>
  <c r="BE248" i="3"/>
  <c r="AX248" i="3"/>
  <c r="AU248" i="3"/>
  <c r="AT248" i="3" s="1"/>
  <c r="AS248" i="3"/>
  <c r="AR248" i="3" s="1"/>
  <c r="AP248" i="3"/>
  <c r="AO248" i="3"/>
  <c r="AN248" i="3"/>
  <c r="Y248" i="3"/>
  <c r="X248" i="3"/>
  <c r="DW247" i="3"/>
  <c r="DV247" i="3"/>
  <c r="DU247" i="3"/>
  <c r="DT247" i="3"/>
  <c r="DS247" i="3"/>
  <c r="DR247" i="3"/>
  <c r="DQ247" i="3"/>
  <c r="DP247" i="3"/>
  <c r="DO247" i="3"/>
  <c r="DN247" i="3"/>
  <c r="DM247" i="3"/>
  <c r="DL247" i="3"/>
  <c r="DK247" i="3"/>
  <c r="DJ247" i="3"/>
  <c r="DI247" i="3"/>
  <c r="DF247" i="3"/>
  <c r="DE247" i="3"/>
  <c r="DD247" i="3"/>
  <c r="DC247" i="3"/>
  <c r="DB247" i="3"/>
  <c r="DA247" i="3"/>
  <c r="CO247" i="3"/>
  <c r="CN247" i="3"/>
  <c r="CL247" i="3"/>
  <c r="CM247" i="3" s="1"/>
  <c r="AE247" i="3" s="1"/>
  <c r="AH247" i="3" s="1"/>
  <c r="CK247" i="3"/>
  <c r="CJ247" i="3"/>
  <c r="CI247" i="3"/>
  <c r="CH247" i="3"/>
  <c r="BE247" i="3"/>
  <c r="AX247" i="3"/>
  <c r="AU247" i="3"/>
  <c r="AT247" i="3" s="1"/>
  <c r="AS247" i="3"/>
  <c r="AR247" i="3" s="1"/>
  <c r="AP247" i="3"/>
  <c r="AO247" i="3"/>
  <c r="AN247" i="3"/>
  <c r="Y247" i="3"/>
  <c r="X247" i="3"/>
  <c r="DW246" i="3"/>
  <c r="DV246" i="3"/>
  <c r="DU246" i="3"/>
  <c r="DT246" i="3"/>
  <c r="DS246" i="3"/>
  <c r="DR246" i="3"/>
  <c r="DQ246" i="3"/>
  <c r="DP246" i="3"/>
  <c r="DO246" i="3"/>
  <c r="DN246" i="3"/>
  <c r="DM246" i="3"/>
  <c r="DL246" i="3"/>
  <c r="DK246" i="3"/>
  <c r="DJ246" i="3"/>
  <c r="DI246" i="3"/>
  <c r="DF246" i="3"/>
  <c r="DE246" i="3"/>
  <c r="DD246" i="3"/>
  <c r="DC246" i="3"/>
  <c r="DB246" i="3"/>
  <c r="DA246" i="3"/>
  <c r="CO246" i="3"/>
  <c r="CN246" i="3"/>
  <c r="CL246" i="3"/>
  <c r="CM246" i="3" s="1"/>
  <c r="AE246" i="3" s="1"/>
  <c r="AH246" i="3" s="1"/>
  <c r="CK246" i="3"/>
  <c r="CJ246" i="3"/>
  <c r="CI246" i="3"/>
  <c r="CH246" i="3"/>
  <c r="BE246" i="3"/>
  <c r="AX246" i="3"/>
  <c r="AU246" i="3"/>
  <c r="AT246" i="3" s="1"/>
  <c r="AS246" i="3"/>
  <c r="AR246" i="3" s="1"/>
  <c r="AP246" i="3"/>
  <c r="AO246" i="3"/>
  <c r="AN246" i="3"/>
  <c r="AM246" i="3" s="1"/>
  <c r="Y246" i="3"/>
  <c r="X246" i="3"/>
  <c r="DW245" i="3"/>
  <c r="DV245" i="3"/>
  <c r="DU245" i="3"/>
  <c r="DT245" i="3"/>
  <c r="DS245" i="3"/>
  <c r="DR245" i="3"/>
  <c r="DQ245" i="3"/>
  <c r="DP245" i="3"/>
  <c r="DO245" i="3"/>
  <c r="DN245" i="3"/>
  <c r="DM245" i="3"/>
  <c r="DL245" i="3"/>
  <c r="DK245" i="3"/>
  <c r="DJ245" i="3"/>
  <c r="DI245" i="3"/>
  <c r="DF245" i="3"/>
  <c r="DE245" i="3"/>
  <c r="DD245" i="3"/>
  <c r="DC245" i="3"/>
  <c r="DB245" i="3"/>
  <c r="DA245" i="3"/>
  <c r="CO245" i="3"/>
  <c r="CN245" i="3"/>
  <c r="CL245" i="3"/>
  <c r="CM245" i="3" s="1"/>
  <c r="AE245" i="3" s="1"/>
  <c r="AH245" i="3" s="1"/>
  <c r="AI245" i="3" s="1"/>
  <c r="CK245" i="3"/>
  <c r="CJ245" i="3"/>
  <c r="CI245" i="3"/>
  <c r="CH245" i="3"/>
  <c r="BE245" i="3"/>
  <c r="AX245" i="3"/>
  <c r="AU245" i="3"/>
  <c r="AT245" i="3" s="1"/>
  <c r="AS245" i="3"/>
  <c r="AR245" i="3" s="1"/>
  <c r="AP245" i="3"/>
  <c r="AO245" i="3"/>
  <c r="AN245" i="3"/>
  <c r="Y245" i="3"/>
  <c r="X245" i="3"/>
  <c r="DW244" i="3"/>
  <c r="DV244" i="3"/>
  <c r="DU244" i="3"/>
  <c r="DT244" i="3"/>
  <c r="DS244" i="3"/>
  <c r="DR244" i="3"/>
  <c r="DQ244" i="3"/>
  <c r="DP244" i="3"/>
  <c r="DO244" i="3"/>
  <c r="DN244" i="3"/>
  <c r="DM244" i="3"/>
  <c r="DL244" i="3"/>
  <c r="DK244" i="3"/>
  <c r="DJ244" i="3"/>
  <c r="DI244" i="3"/>
  <c r="DF244" i="3"/>
  <c r="DE244" i="3"/>
  <c r="DD244" i="3"/>
  <c r="DC244" i="3"/>
  <c r="DB244" i="3"/>
  <c r="DA244" i="3"/>
  <c r="CO244" i="3"/>
  <c r="CN244" i="3"/>
  <c r="CL244" i="3"/>
  <c r="CM244" i="3" s="1"/>
  <c r="AE244" i="3" s="1"/>
  <c r="AH244" i="3" s="1"/>
  <c r="AI244" i="3" s="1"/>
  <c r="CK244" i="3"/>
  <c r="CJ244" i="3"/>
  <c r="CI244" i="3"/>
  <c r="CH244" i="3"/>
  <c r="BE244" i="3"/>
  <c r="AX244" i="3"/>
  <c r="AU244" i="3"/>
  <c r="AT244" i="3" s="1"/>
  <c r="AS244" i="3"/>
  <c r="AR244" i="3" s="1"/>
  <c r="AP244" i="3"/>
  <c r="AO244" i="3"/>
  <c r="AN244" i="3"/>
  <c r="BM244" i="3" s="1"/>
  <c r="Y244" i="3"/>
  <c r="X244" i="3"/>
  <c r="DW243" i="3"/>
  <c r="DV243" i="3"/>
  <c r="DU243" i="3"/>
  <c r="DT243" i="3"/>
  <c r="DS243" i="3"/>
  <c r="DR243" i="3"/>
  <c r="DQ243" i="3"/>
  <c r="DP243" i="3"/>
  <c r="DO243" i="3"/>
  <c r="DN243" i="3"/>
  <c r="DM243" i="3"/>
  <c r="DL243" i="3"/>
  <c r="DK243" i="3"/>
  <c r="DJ243" i="3"/>
  <c r="DI243" i="3"/>
  <c r="DF243" i="3"/>
  <c r="DE243" i="3"/>
  <c r="DD243" i="3"/>
  <c r="DC243" i="3"/>
  <c r="DB243" i="3"/>
  <c r="DA243" i="3"/>
  <c r="CO243" i="3"/>
  <c r="CN243" i="3"/>
  <c r="CL243" i="3"/>
  <c r="CM243" i="3" s="1"/>
  <c r="AE243" i="3" s="1"/>
  <c r="AH243" i="3" s="1"/>
  <c r="AI243" i="3" s="1"/>
  <c r="CK243" i="3"/>
  <c r="CJ243" i="3"/>
  <c r="CI243" i="3"/>
  <c r="CH243" i="3"/>
  <c r="BE243" i="3"/>
  <c r="AX243" i="3"/>
  <c r="AU243" i="3"/>
  <c r="AT243" i="3" s="1"/>
  <c r="AS243" i="3"/>
  <c r="AR243" i="3" s="1"/>
  <c r="AP243" i="3"/>
  <c r="AO243" i="3"/>
  <c r="AN243" i="3"/>
  <c r="Y243" i="3"/>
  <c r="X243" i="3"/>
  <c r="DW242" i="3"/>
  <c r="DV242" i="3"/>
  <c r="DU242" i="3"/>
  <c r="DT242" i="3"/>
  <c r="DS242" i="3"/>
  <c r="DR242" i="3"/>
  <c r="DQ242" i="3"/>
  <c r="DP242" i="3"/>
  <c r="DO242" i="3"/>
  <c r="DN242" i="3"/>
  <c r="DM242" i="3"/>
  <c r="DL242" i="3"/>
  <c r="DK242" i="3"/>
  <c r="DJ242" i="3"/>
  <c r="DI242" i="3"/>
  <c r="DF242" i="3"/>
  <c r="DE242" i="3"/>
  <c r="DD242" i="3"/>
  <c r="DC242" i="3"/>
  <c r="DB242" i="3"/>
  <c r="DA242" i="3"/>
  <c r="CO242" i="3"/>
  <c r="CN242" i="3"/>
  <c r="CL242" i="3"/>
  <c r="CM242" i="3" s="1"/>
  <c r="AE242" i="3" s="1"/>
  <c r="CK242" i="3"/>
  <c r="CJ242" i="3"/>
  <c r="CI242" i="3"/>
  <c r="CH242" i="3"/>
  <c r="BE242" i="3"/>
  <c r="AX242" i="3"/>
  <c r="AU242" i="3"/>
  <c r="AT242" i="3" s="1"/>
  <c r="AS242" i="3"/>
  <c r="AR242" i="3" s="1"/>
  <c r="AP242" i="3"/>
  <c r="AO242" i="3"/>
  <c r="AN242" i="3"/>
  <c r="Y242" i="3"/>
  <c r="X242" i="3"/>
  <c r="DW241" i="3"/>
  <c r="DV241" i="3"/>
  <c r="DU241" i="3"/>
  <c r="DT241" i="3"/>
  <c r="DS241" i="3"/>
  <c r="DR241" i="3"/>
  <c r="DQ241" i="3"/>
  <c r="DP241" i="3"/>
  <c r="DO241" i="3"/>
  <c r="DN241" i="3"/>
  <c r="DM241" i="3"/>
  <c r="DL241" i="3"/>
  <c r="DK241" i="3"/>
  <c r="DJ241" i="3"/>
  <c r="DI241" i="3"/>
  <c r="DF241" i="3"/>
  <c r="DE241" i="3"/>
  <c r="DD241" i="3"/>
  <c r="DC241" i="3"/>
  <c r="DB241" i="3"/>
  <c r="DA241" i="3"/>
  <c r="CO241" i="3"/>
  <c r="CN241" i="3"/>
  <c r="CL241" i="3"/>
  <c r="CM241" i="3" s="1"/>
  <c r="AE241" i="3" s="1"/>
  <c r="CK241" i="3"/>
  <c r="CJ241" i="3"/>
  <c r="CI241" i="3"/>
  <c r="CH241" i="3"/>
  <c r="BE241" i="3"/>
  <c r="AX241" i="3"/>
  <c r="AU241" i="3"/>
  <c r="AT241" i="3" s="1"/>
  <c r="AS241" i="3"/>
  <c r="AR241" i="3" s="1"/>
  <c r="AP241" i="3"/>
  <c r="AO241" i="3"/>
  <c r="AN241" i="3"/>
  <c r="Y241" i="3"/>
  <c r="X241" i="3"/>
  <c r="DW240" i="3"/>
  <c r="DV240" i="3"/>
  <c r="DU240" i="3"/>
  <c r="DT240" i="3"/>
  <c r="DS240" i="3"/>
  <c r="DR240" i="3"/>
  <c r="DQ240" i="3"/>
  <c r="DP240" i="3"/>
  <c r="DO240" i="3"/>
  <c r="DN240" i="3"/>
  <c r="DM240" i="3"/>
  <c r="DL240" i="3"/>
  <c r="DK240" i="3"/>
  <c r="DJ240" i="3"/>
  <c r="DI240" i="3"/>
  <c r="DF240" i="3"/>
  <c r="DE240" i="3"/>
  <c r="DD240" i="3"/>
  <c r="DC240" i="3"/>
  <c r="DB240" i="3"/>
  <c r="DA240" i="3"/>
  <c r="CO240" i="3"/>
  <c r="CN240" i="3"/>
  <c r="CL240" i="3"/>
  <c r="CM240" i="3" s="1"/>
  <c r="AE240" i="3" s="1"/>
  <c r="CK240" i="3"/>
  <c r="CJ240" i="3"/>
  <c r="CI240" i="3"/>
  <c r="CH240" i="3"/>
  <c r="BE240" i="3"/>
  <c r="AX240" i="3"/>
  <c r="AU240" i="3"/>
  <c r="AT240" i="3" s="1"/>
  <c r="AS240" i="3"/>
  <c r="AR240" i="3" s="1"/>
  <c r="AP240" i="3"/>
  <c r="AO240" i="3"/>
  <c r="AN240" i="3"/>
  <c r="Y240" i="3"/>
  <c r="X240" i="3"/>
  <c r="DW239" i="3"/>
  <c r="DV239" i="3"/>
  <c r="DU239" i="3"/>
  <c r="DT239" i="3"/>
  <c r="DS239" i="3"/>
  <c r="DR239" i="3"/>
  <c r="DQ239" i="3"/>
  <c r="DP239" i="3"/>
  <c r="DO239" i="3"/>
  <c r="DN239" i="3"/>
  <c r="DM239" i="3"/>
  <c r="DL239" i="3"/>
  <c r="DK239" i="3"/>
  <c r="DJ239" i="3"/>
  <c r="DI239" i="3"/>
  <c r="DF239" i="3"/>
  <c r="DE239" i="3"/>
  <c r="DD239" i="3"/>
  <c r="DC239" i="3"/>
  <c r="DB239" i="3"/>
  <c r="DA239" i="3"/>
  <c r="CO239" i="3"/>
  <c r="CN239" i="3"/>
  <c r="CL239" i="3"/>
  <c r="CM239" i="3" s="1"/>
  <c r="AE239" i="3" s="1"/>
  <c r="CK239" i="3"/>
  <c r="CJ239" i="3"/>
  <c r="CI239" i="3"/>
  <c r="CH239" i="3"/>
  <c r="BE239" i="3"/>
  <c r="AX239" i="3"/>
  <c r="AU239" i="3"/>
  <c r="AT239" i="3" s="1"/>
  <c r="AS239" i="3"/>
  <c r="AR239" i="3" s="1"/>
  <c r="AP239" i="3"/>
  <c r="AO239" i="3"/>
  <c r="AN239" i="3"/>
  <c r="Y239" i="3"/>
  <c r="X239" i="3"/>
  <c r="DW238" i="3"/>
  <c r="DV238" i="3"/>
  <c r="DU238" i="3"/>
  <c r="DT238" i="3"/>
  <c r="DS238" i="3"/>
  <c r="DR238" i="3"/>
  <c r="DQ238" i="3"/>
  <c r="DP238" i="3"/>
  <c r="DO238" i="3"/>
  <c r="DN238" i="3"/>
  <c r="DM238" i="3"/>
  <c r="DL238" i="3"/>
  <c r="DK238" i="3"/>
  <c r="DJ238" i="3"/>
  <c r="DI238" i="3"/>
  <c r="DF238" i="3"/>
  <c r="DE238" i="3"/>
  <c r="DD238" i="3"/>
  <c r="DC238" i="3"/>
  <c r="DB238" i="3"/>
  <c r="DA238" i="3"/>
  <c r="CO238" i="3"/>
  <c r="CN238" i="3"/>
  <c r="CL238" i="3"/>
  <c r="CM238" i="3" s="1"/>
  <c r="AE238" i="3" s="1"/>
  <c r="CK238" i="3"/>
  <c r="CJ238" i="3"/>
  <c r="CI238" i="3"/>
  <c r="CH238" i="3"/>
  <c r="BE238" i="3"/>
  <c r="AX238" i="3"/>
  <c r="AU238" i="3"/>
  <c r="AT238" i="3" s="1"/>
  <c r="AS238" i="3"/>
  <c r="AR238" i="3" s="1"/>
  <c r="AP238" i="3"/>
  <c r="AO238" i="3"/>
  <c r="AN238" i="3"/>
  <c r="Y238" i="3"/>
  <c r="X238" i="3"/>
  <c r="DW237" i="3"/>
  <c r="DV237" i="3"/>
  <c r="DU237" i="3"/>
  <c r="DT237" i="3"/>
  <c r="DS237" i="3"/>
  <c r="DR237" i="3"/>
  <c r="DQ237" i="3"/>
  <c r="DP237" i="3"/>
  <c r="DO237" i="3"/>
  <c r="DN237" i="3"/>
  <c r="DM237" i="3"/>
  <c r="DL237" i="3"/>
  <c r="DK237" i="3"/>
  <c r="DJ237" i="3"/>
  <c r="DI237" i="3"/>
  <c r="DF237" i="3"/>
  <c r="DE237" i="3"/>
  <c r="DD237" i="3"/>
  <c r="DC237" i="3"/>
  <c r="DB237" i="3"/>
  <c r="DA237" i="3"/>
  <c r="CO237" i="3"/>
  <c r="CN237" i="3"/>
  <c r="CL237" i="3"/>
  <c r="CM237" i="3" s="1"/>
  <c r="AE237" i="3" s="1"/>
  <c r="CK237" i="3"/>
  <c r="CJ237" i="3"/>
  <c r="CI237" i="3"/>
  <c r="CH237" i="3"/>
  <c r="BE237" i="3"/>
  <c r="AX237" i="3"/>
  <c r="AU237" i="3"/>
  <c r="AT237" i="3" s="1"/>
  <c r="AS237" i="3"/>
  <c r="AR237" i="3" s="1"/>
  <c r="AP237" i="3"/>
  <c r="AO237" i="3"/>
  <c r="AN237" i="3"/>
  <c r="Y237" i="3"/>
  <c r="X237" i="3"/>
  <c r="DW236" i="3"/>
  <c r="DV236" i="3"/>
  <c r="DU236" i="3"/>
  <c r="DT236" i="3"/>
  <c r="DS236" i="3"/>
  <c r="DR236" i="3"/>
  <c r="DQ236" i="3"/>
  <c r="DP236" i="3"/>
  <c r="DO236" i="3"/>
  <c r="DN236" i="3"/>
  <c r="DM236" i="3"/>
  <c r="DL236" i="3"/>
  <c r="DK236" i="3"/>
  <c r="DJ236" i="3"/>
  <c r="DI236" i="3"/>
  <c r="DF236" i="3"/>
  <c r="DE236" i="3"/>
  <c r="DD236" i="3"/>
  <c r="DC236" i="3"/>
  <c r="DB236" i="3"/>
  <c r="DA236" i="3"/>
  <c r="CO236" i="3"/>
  <c r="CN236" i="3"/>
  <c r="CL236" i="3"/>
  <c r="CM236" i="3" s="1"/>
  <c r="AE236" i="3" s="1"/>
  <c r="CK236" i="3"/>
  <c r="CJ236" i="3"/>
  <c r="CI236" i="3"/>
  <c r="CH236" i="3"/>
  <c r="BE236" i="3"/>
  <c r="AX236" i="3"/>
  <c r="AU236" i="3"/>
  <c r="AT236" i="3" s="1"/>
  <c r="AS236" i="3"/>
  <c r="AR236" i="3" s="1"/>
  <c r="AP236" i="3"/>
  <c r="AO236" i="3"/>
  <c r="AN236" i="3"/>
  <c r="Y236" i="3"/>
  <c r="X236" i="3"/>
  <c r="DW235" i="3"/>
  <c r="DV235" i="3"/>
  <c r="DU235" i="3"/>
  <c r="DT235" i="3"/>
  <c r="DS235" i="3"/>
  <c r="DR235" i="3"/>
  <c r="DQ235" i="3"/>
  <c r="DP235" i="3"/>
  <c r="DO235" i="3"/>
  <c r="DN235" i="3"/>
  <c r="DM235" i="3"/>
  <c r="DL235" i="3"/>
  <c r="DK235" i="3"/>
  <c r="DJ235" i="3"/>
  <c r="DI235" i="3"/>
  <c r="DF235" i="3"/>
  <c r="DE235" i="3"/>
  <c r="DD235" i="3"/>
  <c r="DC235" i="3"/>
  <c r="DB235" i="3"/>
  <c r="DA235" i="3"/>
  <c r="CO235" i="3"/>
  <c r="CN235" i="3"/>
  <c r="CL235" i="3"/>
  <c r="CM235" i="3" s="1"/>
  <c r="AE235" i="3" s="1"/>
  <c r="CK235" i="3"/>
  <c r="CJ235" i="3"/>
  <c r="CI235" i="3"/>
  <c r="CH235" i="3"/>
  <c r="BE235" i="3"/>
  <c r="AX235" i="3"/>
  <c r="AU235" i="3"/>
  <c r="AT235" i="3" s="1"/>
  <c r="AS235" i="3"/>
  <c r="AR235" i="3" s="1"/>
  <c r="AP235" i="3"/>
  <c r="AO235" i="3"/>
  <c r="AN235" i="3"/>
  <c r="Y235" i="3"/>
  <c r="X235" i="3"/>
  <c r="DW234" i="3"/>
  <c r="DV234" i="3"/>
  <c r="DU234" i="3"/>
  <c r="DT234" i="3"/>
  <c r="DS234" i="3"/>
  <c r="DR234" i="3"/>
  <c r="DQ234" i="3"/>
  <c r="DP234" i="3"/>
  <c r="DO234" i="3"/>
  <c r="DN234" i="3"/>
  <c r="DM234" i="3"/>
  <c r="DL234" i="3"/>
  <c r="DK234" i="3"/>
  <c r="DJ234" i="3"/>
  <c r="DI234" i="3"/>
  <c r="DF234" i="3"/>
  <c r="DE234" i="3"/>
  <c r="DD234" i="3"/>
  <c r="DC234" i="3"/>
  <c r="DB234" i="3"/>
  <c r="DA234" i="3"/>
  <c r="CO234" i="3"/>
  <c r="CN234" i="3"/>
  <c r="CL234" i="3"/>
  <c r="CM234" i="3" s="1"/>
  <c r="AE234" i="3" s="1"/>
  <c r="CK234" i="3"/>
  <c r="CJ234" i="3"/>
  <c r="CI234" i="3"/>
  <c r="CH234" i="3"/>
  <c r="BE234" i="3"/>
  <c r="AX234" i="3"/>
  <c r="AU234" i="3"/>
  <c r="AT234" i="3" s="1"/>
  <c r="AS234" i="3"/>
  <c r="AR234" i="3" s="1"/>
  <c r="AP234" i="3"/>
  <c r="AO234" i="3"/>
  <c r="AN234" i="3"/>
  <c r="Y234" i="3"/>
  <c r="X234" i="3"/>
  <c r="DW233" i="3"/>
  <c r="DV233" i="3"/>
  <c r="DU233" i="3"/>
  <c r="DT233" i="3"/>
  <c r="DS233" i="3"/>
  <c r="DR233" i="3"/>
  <c r="DQ233" i="3"/>
  <c r="DP233" i="3"/>
  <c r="DO233" i="3"/>
  <c r="DN233" i="3"/>
  <c r="DM233" i="3"/>
  <c r="DL233" i="3"/>
  <c r="DK233" i="3"/>
  <c r="DJ233" i="3"/>
  <c r="DI233" i="3"/>
  <c r="DF233" i="3"/>
  <c r="DE233" i="3"/>
  <c r="DD233" i="3"/>
  <c r="DC233" i="3"/>
  <c r="DB233" i="3"/>
  <c r="DA233" i="3"/>
  <c r="CO233" i="3"/>
  <c r="CN233" i="3"/>
  <c r="CL233" i="3"/>
  <c r="CM233" i="3" s="1"/>
  <c r="AE233" i="3" s="1"/>
  <c r="CK233" i="3"/>
  <c r="CJ233" i="3"/>
  <c r="CI233" i="3"/>
  <c r="CH233" i="3"/>
  <c r="BE233" i="3"/>
  <c r="AX233" i="3"/>
  <c r="AU233" i="3"/>
  <c r="AT233" i="3" s="1"/>
  <c r="AS233" i="3"/>
  <c r="AR233" i="3" s="1"/>
  <c r="AP233" i="3"/>
  <c r="AO233" i="3"/>
  <c r="AN233" i="3"/>
  <c r="Y233" i="3"/>
  <c r="X233" i="3"/>
  <c r="DW232" i="3"/>
  <c r="DV232" i="3"/>
  <c r="DU232" i="3"/>
  <c r="DT232" i="3"/>
  <c r="DS232" i="3"/>
  <c r="DR232" i="3"/>
  <c r="DQ232" i="3"/>
  <c r="DP232" i="3"/>
  <c r="DO232" i="3"/>
  <c r="DN232" i="3"/>
  <c r="DM232" i="3"/>
  <c r="DL232" i="3"/>
  <c r="DK232" i="3"/>
  <c r="DJ232" i="3"/>
  <c r="DI232" i="3"/>
  <c r="DF232" i="3"/>
  <c r="DE232" i="3"/>
  <c r="DD232" i="3"/>
  <c r="DC232" i="3"/>
  <c r="DB232" i="3"/>
  <c r="DA232" i="3"/>
  <c r="CO232" i="3"/>
  <c r="CN232" i="3"/>
  <c r="CL232" i="3"/>
  <c r="CM232" i="3" s="1"/>
  <c r="AE232" i="3" s="1"/>
  <c r="CK232" i="3"/>
  <c r="CJ232" i="3"/>
  <c r="CI232" i="3"/>
  <c r="CH232" i="3"/>
  <c r="BE232" i="3"/>
  <c r="AX232" i="3"/>
  <c r="AU232" i="3"/>
  <c r="AT232" i="3" s="1"/>
  <c r="AS232" i="3"/>
  <c r="AR232" i="3" s="1"/>
  <c r="AP232" i="3"/>
  <c r="AO232" i="3"/>
  <c r="AN232" i="3"/>
  <c r="Y232" i="3"/>
  <c r="X232" i="3"/>
  <c r="DW231" i="3"/>
  <c r="DV231" i="3"/>
  <c r="DU231" i="3"/>
  <c r="DT231" i="3"/>
  <c r="DS231" i="3"/>
  <c r="DR231" i="3"/>
  <c r="DQ231" i="3"/>
  <c r="DP231" i="3"/>
  <c r="DO231" i="3"/>
  <c r="DN231" i="3"/>
  <c r="DM231" i="3"/>
  <c r="DL231" i="3"/>
  <c r="DK231" i="3"/>
  <c r="DJ231" i="3"/>
  <c r="DI231" i="3"/>
  <c r="DF231" i="3"/>
  <c r="DE231" i="3"/>
  <c r="DD231" i="3"/>
  <c r="DC231" i="3"/>
  <c r="DB231" i="3"/>
  <c r="DA231" i="3"/>
  <c r="CO231" i="3"/>
  <c r="CN231" i="3"/>
  <c r="CL231" i="3"/>
  <c r="CM231" i="3" s="1"/>
  <c r="AE231" i="3" s="1"/>
  <c r="AH231" i="3" s="1"/>
  <c r="CK231" i="3"/>
  <c r="CJ231" i="3"/>
  <c r="CI231" i="3"/>
  <c r="CH231" i="3"/>
  <c r="BE231" i="3"/>
  <c r="AX231" i="3"/>
  <c r="AU231" i="3"/>
  <c r="AT231" i="3" s="1"/>
  <c r="AS231" i="3"/>
  <c r="AR231" i="3" s="1"/>
  <c r="AP231" i="3"/>
  <c r="AO231" i="3"/>
  <c r="AN231" i="3"/>
  <c r="Y231" i="3"/>
  <c r="X231" i="3"/>
  <c r="DW230" i="3"/>
  <c r="DV230" i="3"/>
  <c r="DU230" i="3"/>
  <c r="DT230" i="3"/>
  <c r="DS230" i="3"/>
  <c r="DR230" i="3"/>
  <c r="DQ230" i="3"/>
  <c r="DP230" i="3"/>
  <c r="DO230" i="3"/>
  <c r="DN230" i="3"/>
  <c r="DM230" i="3"/>
  <c r="DL230" i="3"/>
  <c r="DK230" i="3"/>
  <c r="DJ230" i="3"/>
  <c r="DI230" i="3"/>
  <c r="DF230" i="3"/>
  <c r="DE230" i="3"/>
  <c r="DD230" i="3"/>
  <c r="DC230" i="3"/>
  <c r="DB230" i="3"/>
  <c r="DA230" i="3"/>
  <c r="CO230" i="3"/>
  <c r="CN230" i="3"/>
  <c r="CL230" i="3"/>
  <c r="CM230" i="3" s="1"/>
  <c r="AE230" i="3" s="1"/>
  <c r="AH230" i="3" s="1"/>
  <c r="CK230" i="3"/>
  <c r="CJ230" i="3"/>
  <c r="CI230" i="3"/>
  <c r="CH230" i="3"/>
  <c r="BE230" i="3"/>
  <c r="AX230" i="3"/>
  <c r="AU230" i="3"/>
  <c r="AT230" i="3" s="1"/>
  <c r="AS230" i="3"/>
  <c r="AR230" i="3" s="1"/>
  <c r="AP230" i="3"/>
  <c r="AO230" i="3"/>
  <c r="AN230" i="3"/>
  <c r="Y230" i="3"/>
  <c r="X230" i="3"/>
  <c r="DW229" i="3"/>
  <c r="DV229" i="3"/>
  <c r="DU229" i="3"/>
  <c r="DT229" i="3"/>
  <c r="DS229" i="3"/>
  <c r="DR229" i="3"/>
  <c r="DQ229" i="3"/>
  <c r="DP229" i="3"/>
  <c r="DO229" i="3"/>
  <c r="DN229" i="3"/>
  <c r="DM229" i="3"/>
  <c r="DL229" i="3"/>
  <c r="DK229" i="3"/>
  <c r="DJ229" i="3"/>
  <c r="DI229" i="3"/>
  <c r="DF229" i="3"/>
  <c r="DE229" i="3"/>
  <c r="DD229" i="3"/>
  <c r="DC229" i="3"/>
  <c r="DB229" i="3"/>
  <c r="DA229" i="3"/>
  <c r="CO229" i="3"/>
  <c r="CN229" i="3"/>
  <c r="CL229" i="3"/>
  <c r="CM229" i="3" s="1"/>
  <c r="AE229" i="3" s="1"/>
  <c r="CK229" i="3"/>
  <c r="CJ229" i="3"/>
  <c r="CI229" i="3"/>
  <c r="CH229" i="3"/>
  <c r="BE229" i="3"/>
  <c r="AX229" i="3"/>
  <c r="AU229" i="3"/>
  <c r="AT229" i="3" s="1"/>
  <c r="AS229" i="3"/>
  <c r="AR229" i="3" s="1"/>
  <c r="AP229" i="3"/>
  <c r="AO229" i="3"/>
  <c r="AN229" i="3"/>
  <c r="Y229" i="3"/>
  <c r="X229" i="3"/>
  <c r="DW228" i="3"/>
  <c r="DV228" i="3"/>
  <c r="DU228" i="3"/>
  <c r="DT228" i="3"/>
  <c r="DS228" i="3"/>
  <c r="DR228" i="3"/>
  <c r="DQ228" i="3"/>
  <c r="DP228" i="3"/>
  <c r="DO228" i="3"/>
  <c r="DN228" i="3"/>
  <c r="DM228" i="3"/>
  <c r="DL228" i="3"/>
  <c r="DK228" i="3"/>
  <c r="DJ228" i="3"/>
  <c r="DI228" i="3"/>
  <c r="DF228" i="3"/>
  <c r="DE228" i="3"/>
  <c r="DD228" i="3"/>
  <c r="DC228" i="3"/>
  <c r="DB228" i="3"/>
  <c r="DA228" i="3"/>
  <c r="CO228" i="3"/>
  <c r="CN228" i="3"/>
  <c r="CL228" i="3"/>
  <c r="CM228" i="3" s="1"/>
  <c r="AE228" i="3" s="1"/>
  <c r="CK228" i="3"/>
  <c r="CJ228" i="3"/>
  <c r="CI228" i="3"/>
  <c r="CH228" i="3"/>
  <c r="BE228" i="3"/>
  <c r="AX228" i="3"/>
  <c r="AU228" i="3"/>
  <c r="AT228" i="3" s="1"/>
  <c r="AS228" i="3"/>
  <c r="AR228" i="3" s="1"/>
  <c r="AP228" i="3"/>
  <c r="AO228" i="3"/>
  <c r="AN228" i="3"/>
  <c r="AM228" i="3" s="1"/>
  <c r="Y228" i="3"/>
  <c r="X228" i="3"/>
  <c r="DW227" i="3"/>
  <c r="DV227" i="3"/>
  <c r="DU227" i="3"/>
  <c r="DT227" i="3"/>
  <c r="DS227" i="3"/>
  <c r="DR227" i="3"/>
  <c r="DQ227" i="3"/>
  <c r="DP227" i="3"/>
  <c r="DO227" i="3"/>
  <c r="DN227" i="3"/>
  <c r="DM227" i="3"/>
  <c r="DL227" i="3"/>
  <c r="DK227" i="3"/>
  <c r="DJ227" i="3"/>
  <c r="DI227" i="3"/>
  <c r="DF227" i="3"/>
  <c r="DE227" i="3"/>
  <c r="DD227" i="3"/>
  <c r="DC227" i="3"/>
  <c r="DB227" i="3"/>
  <c r="DA227" i="3"/>
  <c r="CO227" i="3"/>
  <c r="CN227" i="3"/>
  <c r="CL227" i="3"/>
  <c r="CM227" i="3" s="1"/>
  <c r="AE227" i="3" s="1"/>
  <c r="CK227" i="3"/>
  <c r="CJ227" i="3"/>
  <c r="CI227" i="3"/>
  <c r="CH227" i="3"/>
  <c r="BE227" i="3"/>
  <c r="AX227" i="3"/>
  <c r="AU227" i="3"/>
  <c r="AT227" i="3" s="1"/>
  <c r="AS227" i="3"/>
  <c r="AR227" i="3" s="1"/>
  <c r="AP227" i="3"/>
  <c r="AO227" i="3"/>
  <c r="AN227" i="3"/>
  <c r="AM227" i="3" s="1"/>
  <c r="Y227" i="3"/>
  <c r="X227" i="3"/>
  <c r="DW226" i="3"/>
  <c r="DV226" i="3"/>
  <c r="DU226" i="3"/>
  <c r="DT226" i="3"/>
  <c r="DS226" i="3"/>
  <c r="DR226" i="3"/>
  <c r="DQ226" i="3"/>
  <c r="DP226" i="3"/>
  <c r="DO226" i="3"/>
  <c r="DN226" i="3"/>
  <c r="DM226" i="3"/>
  <c r="DL226" i="3"/>
  <c r="DK226" i="3"/>
  <c r="DJ226" i="3"/>
  <c r="DI226" i="3"/>
  <c r="DF226" i="3"/>
  <c r="DE226" i="3"/>
  <c r="DD226" i="3"/>
  <c r="DC226" i="3"/>
  <c r="DB226" i="3"/>
  <c r="DA226" i="3"/>
  <c r="CO226" i="3"/>
  <c r="CN226" i="3"/>
  <c r="CL226" i="3"/>
  <c r="CM226" i="3" s="1"/>
  <c r="AE226" i="3" s="1"/>
  <c r="AH226" i="3" s="1"/>
  <c r="CK226" i="3"/>
  <c r="CJ226" i="3"/>
  <c r="CI226" i="3"/>
  <c r="CH226" i="3"/>
  <c r="BE226" i="3"/>
  <c r="AX226" i="3"/>
  <c r="AU226" i="3"/>
  <c r="AT226" i="3" s="1"/>
  <c r="AS226" i="3"/>
  <c r="AR226" i="3" s="1"/>
  <c r="AP226" i="3"/>
  <c r="AO226" i="3"/>
  <c r="AN226" i="3"/>
  <c r="Y226" i="3"/>
  <c r="X226" i="3"/>
  <c r="DW225" i="3"/>
  <c r="DV225" i="3"/>
  <c r="DU225" i="3"/>
  <c r="DT225" i="3"/>
  <c r="DS225" i="3"/>
  <c r="DR225" i="3"/>
  <c r="DQ225" i="3"/>
  <c r="DP225" i="3"/>
  <c r="DO225" i="3"/>
  <c r="DN225" i="3"/>
  <c r="DM225" i="3"/>
  <c r="DL225" i="3"/>
  <c r="DK225" i="3"/>
  <c r="DJ225" i="3"/>
  <c r="DI225" i="3"/>
  <c r="DF225" i="3"/>
  <c r="DE225" i="3"/>
  <c r="DD225" i="3"/>
  <c r="DC225" i="3"/>
  <c r="DB225" i="3"/>
  <c r="DA225" i="3"/>
  <c r="CO225" i="3"/>
  <c r="CN225" i="3"/>
  <c r="CL225" i="3"/>
  <c r="CM225" i="3" s="1"/>
  <c r="AE225" i="3" s="1"/>
  <c r="AH225" i="3" s="1"/>
  <c r="CK225" i="3"/>
  <c r="CJ225" i="3"/>
  <c r="CI225" i="3"/>
  <c r="CH225" i="3"/>
  <c r="BE225" i="3"/>
  <c r="AX225" i="3"/>
  <c r="AU225" i="3"/>
  <c r="AT225" i="3" s="1"/>
  <c r="AS225" i="3"/>
  <c r="AR225" i="3" s="1"/>
  <c r="AP225" i="3"/>
  <c r="AO225" i="3"/>
  <c r="AN225" i="3"/>
  <c r="Y225" i="3"/>
  <c r="X225" i="3"/>
  <c r="DW224" i="3"/>
  <c r="DV224" i="3"/>
  <c r="DU224" i="3"/>
  <c r="DT224" i="3"/>
  <c r="DS224" i="3"/>
  <c r="DR224" i="3"/>
  <c r="DQ224" i="3"/>
  <c r="DP224" i="3"/>
  <c r="DO224" i="3"/>
  <c r="DN224" i="3"/>
  <c r="DM224" i="3"/>
  <c r="DL224" i="3"/>
  <c r="DK224" i="3"/>
  <c r="DJ224" i="3"/>
  <c r="DI224" i="3"/>
  <c r="DF224" i="3"/>
  <c r="DE224" i="3"/>
  <c r="DD224" i="3"/>
  <c r="DC224" i="3"/>
  <c r="DB224" i="3"/>
  <c r="DA224" i="3"/>
  <c r="CO224" i="3"/>
  <c r="CN224" i="3"/>
  <c r="CL224" i="3"/>
  <c r="CM224" i="3" s="1"/>
  <c r="AE224" i="3" s="1"/>
  <c r="CK224" i="3"/>
  <c r="CJ224" i="3"/>
  <c r="CI224" i="3"/>
  <c r="CH224" i="3"/>
  <c r="BE224" i="3"/>
  <c r="AX224" i="3"/>
  <c r="AU224" i="3"/>
  <c r="AT224" i="3" s="1"/>
  <c r="AS224" i="3"/>
  <c r="AR224" i="3" s="1"/>
  <c r="AP224" i="3"/>
  <c r="AO224" i="3"/>
  <c r="AN224" i="3"/>
  <c r="Y224" i="3"/>
  <c r="X224" i="3"/>
  <c r="AI485" i="3" l="1"/>
  <c r="AI493" i="3"/>
  <c r="AI509" i="3"/>
  <c r="AI282" i="3"/>
  <c r="AI290" i="3"/>
  <c r="AI338" i="3"/>
  <c r="AI370" i="3"/>
  <c r="AI394" i="3"/>
  <c r="AI402" i="3"/>
  <c r="AI418" i="3"/>
  <c r="AI426" i="3"/>
  <c r="AI434" i="3"/>
  <c r="AI442" i="3"/>
  <c r="AI230" i="3"/>
  <c r="AI246" i="3"/>
  <c r="AI262" i="3"/>
  <c r="AI286" i="3"/>
  <c r="AI310" i="3"/>
  <c r="AI318" i="3"/>
  <c r="AI374" i="3"/>
  <c r="AI382" i="3"/>
  <c r="AI390" i="3"/>
  <c r="AI438" i="3"/>
  <c r="AI454" i="3"/>
  <c r="AI478" i="3"/>
  <c r="AI486" i="3"/>
  <c r="AI231" i="3"/>
  <c r="AI247" i="3"/>
  <c r="AI263" i="3"/>
  <c r="AI287" i="3"/>
  <c r="AI335" i="3"/>
  <c r="AI375" i="3"/>
  <c r="AI399" i="3"/>
  <c r="AI447" i="3"/>
  <c r="AI463" i="3"/>
  <c r="AI471" i="3"/>
  <c r="AI495" i="3"/>
  <c r="AI511" i="3"/>
  <c r="AI519" i="3"/>
  <c r="AI226" i="3"/>
  <c r="AI250" i="3"/>
  <c r="AI225" i="3"/>
  <c r="AI249" i="3"/>
  <c r="AI257" i="3"/>
  <c r="AI289" i="3"/>
  <c r="AI297" i="3"/>
  <c r="AI305" i="3"/>
  <c r="AI313" i="3"/>
  <c r="AI337" i="3"/>
  <c r="AI345" i="3"/>
  <c r="AI353" i="3"/>
  <c r="AI377" i="3"/>
  <c r="AI425" i="3"/>
  <c r="AI433" i="3"/>
  <c r="AI449" i="3"/>
  <c r="AI465" i="3"/>
  <c r="AI489" i="3"/>
  <c r="AI505" i="3"/>
  <c r="AI513" i="3"/>
  <c r="AI521" i="3"/>
  <c r="AI274" i="3"/>
  <c r="AI494" i="3"/>
  <c r="AI518" i="3"/>
  <c r="AI258" i="3"/>
  <c r="AI248" i="3"/>
  <c r="AI264" i="3"/>
  <c r="AI304" i="3"/>
  <c r="AI344" i="3"/>
  <c r="AI352" i="3"/>
  <c r="AI360" i="3"/>
  <c r="AI368" i="3"/>
  <c r="AI400" i="3"/>
  <c r="AI408" i="3"/>
  <c r="AI416" i="3"/>
  <c r="AI432" i="3"/>
  <c r="AI472" i="3"/>
  <c r="AI480" i="3"/>
  <c r="AF389" i="3"/>
  <c r="AF514" i="3"/>
  <c r="AD298" i="3"/>
  <c r="AF351" i="3"/>
  <c r="AF252" i="3"/>
  <c r="AD511" i="3"/>
  <c r="AD490" i="3"/>
  <c r="AC296" i="3"/>
  <c r="AJ296" i="3" s="1"/>
  <c r="AF420" i="3"/>
  <c r="AF485" i="3"/>
  <c r="AF308" i="3"/>
  <c r="AD436" i="3"/>
  <c r="AC273" i="3"/>
  <c r="AJ273" i="3" s="1"/>
  <c r="AF456" i="3"/>
  <c r="AD488" i="3"/>
  <c r="AD496" i="3"/>
  <c r="AF521" i="3"/>
  <c r="AF416" i="3"/>
  <c r="AD440" i="3"/>
  <c r="AF332" i="3"/>
  <c r="AF512" i="3"/>
  <c r="AC226" i="3"/>
  <c r="AJ226" i="3" s="1"/>
  <c r="AD239" i="3"/>
  <c r="AF453" i="3"/>
  <c r="AF431" i="3"/>
  <c r="AC432" i="3"/>
  <c r="AJ432" i="3" s="1"/>
  <c r="AF439" i="3"/>
  <c r="AF445" i="3"/>
  <c r="AC450" i="3"/>
  <c r="AJ450" i="3" s="1"/>
  <c r="AF478" i="3"/>
  <c r="AC497" i="3"/>
  <c r="AJ497" i="3" s="1"/>
  <c r="AF502" i="3"/>
  <c r="AD517" i="3"/>
  <c r="AD453" i="3"/>
  <c r="AC476" i="3"/>
  <c r="AJ476" i="3" s="1"/>
  <c r="AF450" i="3"/>
  <c r="AD505" i="3"/>
  <c r="AF510" i="3"/>
  <c r="AF353" i="3"/>
  <c r="AC465" i="3"/>
  <c r="AJ465" i="3" s="1"/>
  <c r="AF474" i="3"/>
  <c r="AC485" i="3"/>
  <c r="AJ485" i="3" s="1"/>
  <c r="AC487" i="3"/>
  <c r="AJ487" i="3" s="1"/>
  <c r="AD240" i="3"/>
  <c r="AF408" i="3"/>
  <c r="AF473" i="3"/>
  <c r="AD486" i="3"/>
  <c r="AF498" i="3"/>
  <c r="AC241" i="3"/>
  <c r="AJ241" i="3" s="1"/>
  <c r="AF293" i="3"/>
  <c r="AF303" i="3"/>
  <c r="AF345" i="3"/>
  <c r="AF362" i="3"/>
  <c r="AF428" i="3"/>
  <c r="AF433" i="3"/>
  <c r="AF384" i="3"/>
  <c r="AF402" i="3"/>
  <c r="AF441" i="3"/>
  <c r="AD470" i="3"/>
  <c r="AD480" i="3"/>
  <c r="AC481" i="3"/>
  <c r="AJ481" i="3" s="1"/>
  <c r="AD506" i="3"/>
  <c r="AF235" i="3"/>
  <c r="AF248" i="3"/>
  <c r="AF268" i="3"/>
  <c r="AF286" i="3"/>
  <c r="AC330" i="3"/>
  <c r="AJ330" i="3" s="1"/>
  <c r="AC354" i="3"/>
  <c r="AJ354" i="3" s="1"/>
  <c r="AD366" i="3"/>
  <c r="AF411" i="3"/>
  <c r="AC489" i="3"/>
  <c r="AF516" i="3"/>
  <c r="AF272" i="3"/>
  <c r="AD520" i="3"/>
  <c r="AF233" i="3"/>
  <c r="AF251" i="3"/>
  <c r="AF284" i="3"/>
  <c r="AF315" i="3"/>
  <c r="AD334" i="3"/>
  <c r="AD393" i="3"/>
  <c r="AC409" i="3"/>
  <c r="AJ409" i="3" s="1"/>
  <c r="AF444" i="3"/>
  <c r="AC463" i="3"/>
  <c r="AJ463" i="3" s="1"/>
  <c r="AC468" i="3"/>
  <c r="AJ468" i="3" s="1"/>
  <c r="AC333" i="3"/>
  <c r="AJ333" i="3" s="1"/>
  <c r="AC347" i="3"/>
  <c r="AJ347" i="3" s="1"/>
  <c r="AC359" i="3"/>
  <c r="AJ359" i="3" s="1"/>
  <c r="AF423" i="3"/>
  <c r="AC436" i="3"/>
  <c r="AF437" i="3"/>
  <c r="AC453" i="3"/>
  <c r="AC457" i="3"/>
  <c r="AJ457" i="3" s="1"/>
  <c r="AF477" i="3"/>
  <c r="AF484" i="3"/>
  <c r="AD502" i="3"/>
  <c r="AF227" i="3"/>
  <c r="AF228" i="3"/>
  <c r="AC230" i="3"/>
  <c r="AJ230" i="3" s="1"/>
  <c r="AF242" i="3"/>
  <c r="AD274" i="3"/>
  <c r="AF294" i="3"/>
  <c r="AC295" i="3"/>
  <c r="AJ295" i="3" s="1"/>
  <c r="AF296" i="3"/>
  <c r="AF299" i="3"/>
  <c r="AC331" i="3"/>
  <c r="AJ331" i="3" s="1"/>
  <c r="AF385" i="3"/>
  <c r="AD404" i="3"/>
  <c r="AD416" i="3"/>
  <c r="AF427" i="3"/>
  <c r="AF522" i="3"/>
  <c r="AD444" i="3"/>
  <c r="AF458" i="3"/>
  <c r="AD462" i="3"/>
  <c r="AC472" i="3"/>
  <c r="AJ472" i="3" s="1"/>
  <c r="AD492" i="3"/>
  <c r="AC493" i="3"/>
  <c r="AJ493" i="3" s="1"/>
  <c r="AF234" i="3"/>
  <c r="AD245" i="3"/>
  <c r="AF254" i="3"/>
  <c r="AF266" i="3"/>
  <c r="AF282" i="3"/>
  <c r="AD320" i="3"/>
  <c r="AC360" i="3"/>
  <c r="AF366" i="3"/>
  <c r="AD375" i="3"/>
  <c r="AF383" i="3"/>
  <c r="AD403" i="3"/>
  <c r="AC420" i="3"/>
  <c r="AF424" i="3"/>
  <c r="AF425" i="3"/>
  <c r="AD432" i="3"/>
  <c r="AD460" i="3"/>
  <c r="AD464" i="3"/>
  <c r="AC471" i="3"/>
  <c r="AJ471" i="3" s="1"/>
  <c r="AF494" i="3"/>
  <c r="AF508" i="3"/>
  <c r="AF518" i="3"/>
  <c r="AD519" i="3"/>
  <c r="AC240" i="3"/>
  <c r="AJ240" i="3" s="1"/>
  <c r="AF279" i="3"/>
  <c r="AF304" i="3"/>
  <c r="AH314" i="3"/>
  <c r="AI314" i="3" s="1"/>
  <c r="AF317" i="3"/>
  <c r="AF436" i="3"/>
  <c r="AC456" i="3"/>
  <c r="AJ456" i="3" s="1"/>
  <c r="AC461" i="3"/>
  <c r="AJ461" i="3" s="1"/>
  <c r="AF499" i="3"/>
  <c r="AD500" i="3"/>
  <c r="AF504" i="3"/>
  <c r="AF232" i="3"/>
  <c r="AF238" i="3"/>
  <c r="AF264" i="3"/>
  <c r="AD303" i="3"/>
  <c r="AF313" i="3"/>
  <c r="AD342" i="3"/>
  <c r="AC343" i="3"/>
  <c r="AJ343" i="3" s="1"/>
  <c r="AD360" i="3"/>
  <c r="AC369" i="3"/>
  <c r="AJ369" i="3" s="1"/>
  <c r="AF370" i="3"/>
  <c r="AF380" i="3"/>
  <c r="AC392" i="3"/>
  <c r="AJ392" i="3" s="1"/>
  <c r="AD407" i="3"/>
  <c r="AF412" i="3"/>
  <c r="AF448" i="3"/>
  <c r="AF449" i="3"/>
  <c r="AF451" i="3"/>
  <c r="AF452" i="3"/>
  <c r="AF460" i="3"/>
  <c r="AF476" i="3"/>
  <c r="AC477" i="3"/>
  <c r="AJ477" i="3" s="1"/>
  <c r="AF482" i="3"/>
  <c r="AC225" i="3"/>
  <c r="AJ225" i="3" s="1"/>
  <c r="AF231" i="3"/>
  <c r="AF258" i="3"/>
  <c r="AD269" i="3"/>
  <c r="AF288" i="3"/>
  <c r="AF309" i="3"/>
  <c r="AC323" i="3"/>
  <c r="AJ323" i="3" s="1"/>
  <c r="AF324" i="3"/>
  <c r="AD359" i="3"/>
  <c r="AF364" i="3"/>
  <c r="AD379" i="3"/>
  <c r="AH385" i="3"/>
  <c r="AI385" i="3" s="1"/>
  <c r="AD387" i="3"/>
  <c r="AD391" i="3"/>
  <c r="AF406" i="3"/>
  <c r="AF429" i="3"/>
  <c r="AC444" i="3"/>
  <c r="AC454" i="3"/>
  <c r="AJ454" i="3" s="1"/>
  <c r="AC467" i="3"/>
  <c r="AJ467" i="3" s="1"/>
  <c r="AF480" i="3"/>
  <c r="AD485" i="3"/>
  <c r="AC502" i="3"/>
  <c r="AJ502" i="3" s="1"/>
  <c r="AD523" i="3"/>
  <c r="AD230" i="3"/>
  <c r="AD238" i="3"/>
  <c r="AD271" i="3"/>
  <c r="AF283" i="3"/>
  <c r="AF365" i="3"/>
  <c r="AH367" i="3"/>
  <c r="AI367" i="3" s="1"/>
  <c r="AD378" i="3"/>
  <c r="AC473" i="3"/>
  <c r="AF489" i="3"/>
  <c r="AF291" i="3"/>
  <c r="AF255" i="3"/>
  <c r="AC280" i="3"/>
  <c r="AJ280" i="3" s="1"/>
  <c r="AD284" i="3"/>
  <c r="AC332" i="3"/>
  <c r="AJ332" i="3" s="1"/>
  <c r="AD473" i="3"/>
  <c r="AC494" i="3"/>
  <c r="AC425" i="3"/>
  <c r="AD494" i="3"/>
  <c r="AF225" i="3"/>
  <c r="AC366" i="3"/>
  <c r="AJ366" i="3" s="1"/>
  <c r="AD425" i="3"/>
  <c r="AD468" i="3"/>
  <c r="AD449" i="3"/>
  <c r="AF468" i="3"/>
  <c r="AD508" i="3"/>
  <c r="AF368" i="3"/>
  <c r="AD382" i="3"/>
  <c r="AC428" i="3"/>
  <c r="AD276" i="3"/>
  <c r="AD229" i="3"/>
  <c r="AC266" i="3"/>
  <c r="AJ266" i="3" s="1"/>
  <c r="AD272" i="3"/>
  <c r="AD278" i="3"/>
  <c r="AC389" i="3"/>
  <c r="AJ389" i="3" s="1"/>
  <c r="AD428" i="3"/>
  <c r="AD454" i="3"/>
  <c r="AD481" i="3"/>
  <c r="AC490" i="3"/>
  <c r="AJ490" i="3" s="1"/>
  <c r="AD497" i="3"/>
  <c r="AD389" i="3"/>
  <c r="AF409" i="3"/>
  <c r="AC429" i="3"/>
  <c r="AD445" i="3"/>
  <c r="AF454" i="3"/>
  <c r="AC464" i="3"/>
  <c r="AJ464" i="3" s="1"/>
  <c r="AF481" i="3"/>
  <c r="AF490" i="3"/>
  <c r="AC498" i="3"/>
  <c r="AC516" i="3"/>
  <c r="AJ516" i="3" s="1"/>
  <c r="AD429" i="3"/>
  <c r="AD451" i="3"/>
  <c r="AF464" i="3"/>
  <c r="AF486" i="3"/>
  <c r="AD498" i="3"/>
  <c r="AC500" i="3"/>
  <c r="AJ500" i="3" s="1"/>
  <c r="AF239" i="3"/>
  <c r="AC244" i="3"/>
  <c r="AJ244" i="3" s="1"/>
  <c r="AC326" i="3"/>
  <c r="AJ326" i="3" s="1"/>
  <c r="AF393" i="3"/>
  <c r="AD420" i="3"/>
  <c r="AC448" i="3"/>
  <c r="AJ448" i="3" s="1"/>
  <c r="AF488" i="3"/>
  <c r="AF506" i="3"/>
  <c r="AC518" i="3"/>
  <c r="AJ518" i="3" s="1"/>
  <c r="AC519" i="3"/>
  <c r="AF287" i="3"/>
  <c r="AF432" i="3"/>
  <c r="AC452" i="3"/>
  <c r="AJ452" i="3" s="1"/>
  <c r="AF463" i="3"/>
  <c r="AD226" i="3"/>
  <c r="AD231" i="3"/>
  <c r="AF240" i="3"/>
  <c r="AC288" i="3"/>
  <c r="AJ288" i="3" s="1"/>
  <c r="AD296" i="3"/>
  <c r="AF347" i="3"/>
  <c r="AF359" i="3"/>
  <c r="AD412" i="3"/>
  <c r="AD448" i="3"/>
  <c r="AF457" i="3"/>
  <c r="AD458" i="3"/>
  <c r="AF470" i="3"/>
  <c r="AF497" i="3"/>
  <c r="AC506" i="3"/>
  <c r="AC512" i="3"/>
  <c r="AJ512" i="3" s="1"/>
  <c r="AC521" i="3"/>
  <c r="AJ521" i="3" s="1"/>
  <c r="AF523" i="3"/>
  <c r="AF230" i="3"/>
  <c r="AD234" i="3"/>
  <c r="AC236" i="3"/>
  <c r="AJ236" i="3" s="1"/>
  <c r="AF237" i="3"/>
  <c r="AC231" i="3"/>
  <c r="AJ231" i="3" s="1"/>
  <c r="AD304" i="3"/>
  <c r="AF387" i="3"/>
  <c r="AC391" i="3"/>
  <c r="AJ391" i="3" s="1"/>
  <c r="AC412" i="3"/>
  <c r="AJ412" i="3" s="1"/>
  <c r="AF440" i="3"/>
  <c r="AD457" i="3"/>
  <c r="AD471" i="3"/>
  <c r="AC499" i="3"/>
  <c r="AJ499" i="3" s="1"/>
  <c r="AC514" i="3"/>
  <c r="AJ514" i="3" s="1"/>
  <c r="AC522" i="3"/>
  <c r="AJ522" i="3" s="1"/>
  <c r="AC238" i="3"/>
  <c r="AJ238" i="3" s="1"/>
  <c r="AD241" i="3"/>
  <c r="AC284" i="3"/>
  <c r="AJ284" i="3" s="1"/>
  <c r="AF391" i="3"/>
  <c r="AF404" i="3"/>
  <c r="AC424" i="3"/>
  <c r="AJ424" i="3" s="1"/>
  <c r="AC445" i="3"/>
  <c r="AC449" i="3"/>
  <c r="AC451" i="3"/>
  <c r="AJ451" i="3" s="1"/>
  <c r="AD463" i="3"/>
  <c r="AF471" i="3"/>
  <c r="AD477" i="3"/>
  <c r="AD489" i="3"/>
  <c r="AF492" i="3"/>
  <c r="AD504" i="3"/>
  <c r="AF509" i="3"/>
  <c r="AD514" i="3"/>
  <c r="AF520" i="3"/>
  <c r="AD467" i="3"/>
  <c r="AD499" i="3"/>
  <c r="AD225" i="3"/>
  <c r="AC239" i="3"/>
  <c r="AJ239" i="3" s="1"/>
  <c r="AC242" i="3"/>
  <c r="AJ242" i="3" s="1"/>
  <c r="AC265" i="3"/>
  <c r="AJ265" i="3" s="1"/>
  <c r="AD295" i="3"/>
  <c r="AD332" i="3"/>
  <c r="AD362" i="3"/>
  <c r="AD370" i="3"/>
  <c r="AC393" i="3"/>
  <c r="AC404" i="3"/>
  <c r="AJ404" i="3" s="1"/>
  <c r="AD408" i="3"/>
  <c r="AC416" i="3"/>
  <c r="AD424" i="3"/>
  <c r="AC433" i="3"/>
  <c r="AJ433" i="3" s="1"/>
  <c r="AC437" i="3"/>
  <c r="AJ437" i="3" s="1"/>
  <c r="AC441" i="3"/>
  <c r="AJ441" i="3" s="1"/>
  <c r="AD450" i="3"/>
  <c r="AC460" i="3"/>
  <c r="AJ460" i="3" s="1"/>
  <c r="AF467" i="3"/>
  <c r="AF472" i="3"/>
  <c r="AC482" i="3"/>
  <c r="AC486" i="3"/>
  <c r="AJ486" i="3" s="1"/>
  <c r="AD493" i="3"/>
  <c r="AF496" i="3"/>
  <c r="AC510" i="3"/>
  <c r="AC520" i="3"/>
  <c r="AD433" i="3"/>
  <c r="AD437" i="3"/>
  <c r="AD441" i="3"/>
  <c r="AD482" i="3"/>
  <c r="AF493" i="3"/>
  <c r="AD510" i="3"/>
  <c r="AH242" i="3"/>
  <c r="AI242" i="3" s="1"/>
  <c r="AH268" i="3"/>
  <c r="AI268" i="3" s="1"/>
  <c r="AH269" i="3"/>
  <c r="AI269" i="3" s="1"/>
  <c r="AH284" i="3"/>
  <c r="AI284" i="3" s="1"/>
  <c r="AH294" i="3"/>
  <c r="AI294" i="3" s="1"/>
  <c r="AH298" i="3"/>
  <c r="AI298" i="3" s="1"/>
  <c r="AH306" i="3"/>
  <c r="AI306" i="3" s="1"/>
  <c r="AH307" i="3"/>
  <c r="AI307" i="3" s="1"/>
  <c r="AH308" i="3"/>
  <c r="AI308" i="3" s="1"/>
  <c r="AH324" i="3"/>
  <c r="AI324" i="3" s="1"/>
  <c r="AH326" i="3"/>
  <c r="AI326" i="3" s="1"/>
  <c r="AH327" i="3"/>
  <c r="AI327" i="3" s="1"/>
  <c r="AH334" i="3"/>
  <c r="AI334" i="3" s="1"/>
  <c r="AH349" i="3"/>
  <c r="AI349" i="3" s="1"/>
  <c r="AH359" i="3"/>
  <c r="AI359" i="3" s="1"/>
  <c r="AH371" i="3"/>
  <c r="AI371" i="3" s="1"/>
  <c r="AH406" i="3"/>
  <c r="AI406" i="3" s="1"/>
  <c r="AH441" i="3"/>
  <c r="AI441" i="3" s="1"/>
  <c r="AH446" i="3"/>
  <c r="AI446" i="3" s="1"/>
  <c r="AH467" i="3"/>
  <c r="AI467" i="3" s="1"/>
  <c r="AH477" i="3"/>
  <c r="AI477" i="3" s="1"/>
  <c r="AH479" i="3"/>
  <c r="AI479" i="3" s="1"/>
  <c r="AH483" i="3"/>
  <c r="AI483" i="3" s="1"/>
  <c r="AH496" i="3"/>
  <c r="AI496" i="3" s="1"/>
  <c r="AH510" i="3"/>
  <c r="AI510" i="3" s="1"/>
  <c r="AH515" i="3"/>
  <c r="AI515" i="3" s="1"/>
  <c r="AH224" i="3"/>
  <c r="AI224" i="3" s="1"/>
  <c r="AH227" i="3"/>
  <c r="AI227" i="3" s="1"/>
  <c r="AH252" i="3"/>
  <c r="AI252" i="3" s="1"/>
  <c r="AH253" i="3"/>
  <c r="AI253" i="3" s="1"/>
  <c r="AH254" i="3"/>
  <c r="AI254" i="3" s="1"/>
  <c r="AH255" i="3"/>
  <c r="AI255" i="3" s="1"/>
  <c r="AH265" i="3"/>
  <c r="AI265" i="3" s="1"/>
  <c r="AH266" i="3"/>
  <c r="AI266" i="3" s="1"/>
  <c r="AH267" i="3"/>
  <c r="AI267" i="3" s="1"/>
  <c r="AH270" i="3"/>
  <c r="AI270" i="3" s="1"/>
  <c r="AH271" i="3"/>
  <c r="AI271" i="3" s="1"/>
  <c r="AH272" i="3"/>
  <c r="AI272" i="3" s="1"/>
  <c r="AH273" i="3"/>
  <c r="AI273" i="3" s="1"/>
  <c r="AH299" i="3"/>
  <c r="AI299" i="3" s="1"/>
  <c r="AH300" i="3"/>
  <c r="AI300" i="3" s="1"/>
  <c r="AH325" i="3"/>
  <c r="AI325" i="3" s="1"/>
  <c r="AH328" i="3"/>
  <c r="AI328" i="3" s="1"/>
  <c r="AH329" i="3"/>
  <c r="AI329" i="3" s="1"/>
  <c r="AH330" i="3"/>
  <c r="AI330" i="3" s="1"/>
  <c r="AH331" i="3"/>
  <c r="AI331" i="3" s="1"/>
  <c r="AH342" i="3"/>
  <c r="AI342" i="3" s="1"/>
  <c r="AH350" i="3"/>
  <c r="AI350" i="3" s="1"/>
  <c r="AH354" i="3"/>
  <c r="AI354" i="3" s="1"/>
  <c r="AH424" i="3"/>
  <c r="AI424" i="3" s="1"/>
  <c r="AH504" i="3"/>
  <c r="AI504" i="3" s="1"/>
  <c r="AH256" i="3"/>
  <c r="AI256" i="3" s="1"/>
  <c r="AH285" i="3"/>
  <c r="AI285" i="3" s="1"/>
  <c r="AH351" i="3"/>
  <c r="AI351" i="3" s="1"/>
  <c r="AH366" i="3"/>
  <c r="AI366" i="3" s="1"/>
  <c r="AH376" i="3"/>
  <c r="AI376" i="3" s="1"/>
  <c r="AH395" i="3"/>
  <c r="AI395" i="3" s="1"/>
  <c r="AH396" i="3"/>
  <c r="AI396" i="3" s="1"/>
  <c r="AH417" i="3"/>
  <c r="AI417" i="3" s="1"/>
  <c r="AH439" i="3"/>
  <c r="AI439" i="3" s="1"/>
  <c r="AH452" i="3"/>
  <c r="AI452" i="3" s="1"/>
  <c r="AH455" i="3"/>
  <c r="AI455" i="3" s="1"/>
  <c r="AH473" i="3"/>
  <c r="AI473" i="3" s="1"/>
  <c r="AH475" i="3"/>
  <c r="AI475" i="3" s="1"/>
  <c r="AH487" i="3"/>
  <c r="AI487" i="3" s="1"/>
  <c r="AH497" i="3"/>
  <c r="AI497" i="3" s="1"/>
  <c r="AH501" i="3"/>
  <c r="AI501" i="3" s="1"/>
  <c r="AH506" i="3"/>
  <c r="AI506" i="3" s="1"/>
  <c r="AH512" i="3"/>
  <c r="AI512" i="3" s="1"/>
  <c r="AH517" i="3"/>
  <c r="AI517" i="3" s="1"/>
  <c r="AH520" i="3"/>
  <c r="AI520" i="3" s="1"/>
  <c r="AH523" i="3"/>
  <c r="AI523" i="3" s="1"/>
  <c r="AH228" i="3"/>
  <c r="AI228" i="3" s="1"/>
  <c r="AH336" i="3"/>
  <c r="AI336" i="3" s="1"/>
  <c r="AH356" i="3"/>
  <c r="AI356" i="3" s="1"/>
  <c r="AH386" i="3"/>
  <c r="AI386" i="3" s="1"/>
  <c r="AH429" i="3"/>
  <c r="AI429" i="3" s="1"/>
  <c r="AH430" i="3"/>
  <c r="AI430" i="3" s="1"/>
  <c r="AH431" i="3"/>
  <c r="AI431" i="3" s="1"/>
  <c r="AH448" i="3"/>
  <c r="AI448" i="3" s="1"/>
  <c r="AH450" i="3"/>
  <c r="AI450" i="3" s="1"/>
  <c r="AH456" i="3"/>
  <c r="AI456" i="3" s="1"/>
  <c r="AH457" i="3"/>
  <c r="AI457" i="3" s="1"/>
  <c r="AH458" i="3"/>
  <c r="AI458" i="3" s="1"/>
  <c r="AH469" i="3"/>
  <c r="AI469" i="3" s="1"/>
  <c r="AH470" i="3"/>
  <c r="AI470" i="3" s="1"/>
  <c r="AH474" i="3"/>
  <c r="AI474" i="3" s="1"/>
  <c r="AH476" i="3"/>
  <c r="AI476" i="3" s="1"/>
  <c r="AH507" i="3"/>
  <c r="AI507" i="3" s="1"/>
  <c r="AH229" i="3"/>
  <c r="AI229" i="3" s="1"/>
  <c r="AH278" i="3"/>
  <c r="AI278" i="3" s="1"/>
  <c r="AH279" i="3"/>
  <c r="AI279" i="3" s="1"/>
  <c r="AH280" i="3"/>
  <c r="AI280" i="3" s="1"/>
  <c r="AH288" i="3"/>
  <c r="AI288" i="3" s="1"/>
  <c r="AH302" i="3"/>
  <c r="AI302" i="3" s="1"/>
  <c r="AH311" i="3"/>
  <c r="AI311" i="3" s="1"/>
  <c r="AH312" i="3"/>
  <c r="AI312" i="3" s="1"/>
  <c r="AH319" i="3"/>
  <c r="AI319" i="3" s="1"/>
  <c r="AH332" i="3"/>
  <c r="AI332" i="3" s="1"/>
  <c r="AH361" i="3"/>
  <c r="AI361" i="3" s="1"/>
  <c r="AH362" i="3"/>
  <c r="AI362" i="3" s="1"/>
  <c r="AH363" i="3"/>
  <c r="AI363" i="3" s="1"/>
  <c r="AH378" i="3"/>
  <c r="AI378" i="3" s="1"/>
  <c r="AH379" i="3"/>
  <c r="AI379" i="3" s="1"/>
  <c r="AH381" i="3"/>
  <c r="AI381" i="3" s="1"/>
  <c r="AH398" i="3"/>
  <c r="AI398" i="3" s="1"/>
  <c r="AH407" i="3"/>
  <c r="AI407" i="3" s="1"/>
  <c r="AH412" i="3"/>
  <c r="AI412" i="3" s="1"/>
  <c r="AH462" i="3"/>
  <c r="AI462" i="3" s="1"/>
  <c r="AH468" i="3"/>
  <c r="AI468" i="3" s="1"/>
  <c r="AH488" i="3"/>
  <c r="AI488" i="3" s="1"/>
  <c r="AH491" i="3"/>
  <c r="AI491" i="3" s="1"/>
  <c r="AH498" i="3"/>
  <c r="AI498" i="3" s="1"/>
  <c r="AH502" i="3"/>
  <c r="AI502" i="3" s="1"/>
  <c r="AH281" i="3"/>
  <c r="AI281" i="3" s="1"/>
  <c r="AH296" i="3"/>
  <c r="AI296" i="3" s="1"/>
  <c r="AH303" i="3"/>
  <c r="AI303" i="3" s="1"/>
  <c r="AH320" i="3"/>
  <c r="AI320" i="3" s="1"/>
  <c r="AH321" i="3"/>
  <c r="AI321" i="3" s="1"/>
  <c r="AH322" i="3"/>
  <c r="AI322" i="3" s="1"/>
  <c r="AH343" i="3"/>
  <c r="AI343" i="3" s="1"/>
  <c r="AH346" i="3"/>
  <c r="AI346" i="3" s="1"/>
  <c r="AH440" i="3"/>
  <c r="AI440" i="3" s="1"/>
  <c r="AH481" i="3"/>
  <c r="AI481" i="3" s="1"/>
  <c r="AH503" i="3"/>
  <c r="AI503" i="3" s="1"/>
  <c r="AH347" i="3"/>
  <c r="AI347" i="3" s="1"/>
  <c r="AH358" i="3"/>
  <c r="AI358" i="3" s="1"/>
  <c r="AH369" i="3"/>
  <c r="AI369" i="3" s="1"/>
  <c r="AH383" i="3"/>
  <c r="AI383" i="3" s="1"/>
  <c r="AH384" i="3"/>
  <c r="AI384" i="3" s="1"/>
  <c r="AH391" i="3"/>
  <c r="AI391" i="3" s="1"/>
  <c r="AH392" i="3"/>
  <c r="AI392" i="3" s="1"/>
  <c r="AH401" i="3"/>
  <c r="AI401" i="3" s="1"/>
  <c r="AH403" i="3"/>
  <c r="AI403" i="3" s="1"/>
  <c r="AH414" i="3"/>
  <c r="AI414" i="3" s="1"/>
  <c r="AH415" i="3"/>
  <c r="AI415" i="3" s="1"/>
  <c r="AH422" i="3"/>
  <c r="AI422" i="3" s="1"/>
  <c r="AH423" i="3"/>
  <c r="AI423" i="3" s="1"/>
  <c r="AH428" i="3"/>
  <c r="AI428" i="3" s="1"/>
  <c r="AM394" i="3"/>
  <c r="AM265" i="3"/>
  <c r="BM265" i="3"/>
  <c r="AM474" i="3"/>
  <c r="AM512" i="3"/>
  <c r="AM273" i="3"/>
  <c r="AH500" i="3"/>
  <c r="AI500" i="3" s="1"/>
  <c r="AM224" i="3"/>
  <c r="AM255" i="3"/>
  <c r="AM322" i="3"/>
  <c r="AM407" i="3"/>
  <c r="BM314" i="3"/>
  <c r="AM329" i="3"/>
  <c r="AM440" i="3"/>
  <c r="AQ256" i="3"/>
  <c r="DY256" i="3" s="1"/>
  <c r="BB256" i="3" s="1"/>
  <c r="BA256" i="3" s="1"/>
  <c r="AZ256" i="3" s="1"/>
  <c r="AM266" i="3"/>
  <c r="BM266" i="3"/>
  <c r="AQ371" i="3"/>
  <c r="DY371" i="3" s="1"/>
  <c r="BB371" i="3" s="1"/>
  <c r="BA371" i="3" s="1"/>
  <c r="AZ371" i="3" s="1"/>
  <c r="AM242" i="3"/>
  <c r="AM244" i="3"/>
  <c r="AQ248" i="3"/>
  <c r="DY248" i="3" s="1"/>
  <c r="BB248" i="3" s="1"/>
  <c r="BA248" i="3" s="1"/>
  <c r="AZ248" i="3" s="1"/>
  <c r="AM405" i="3"/>
  <c r="AQ372" i="3"/>
  <c r="DY372" i="3" s="1"/>
  <c r="BB372" i="3" s="1"/>
  <c r="BA372" i="3" s="1"/>
  <c r="AZ372" i="3" s="1"/>
  <c r="AM469" i="3"/>
  <c r="BM469" i="3"/>
  <c r="AM326" i="3"/>
  <c r="AQ224" i="3"/>
  <c r="DY224" i="3" s="1"/>
  <c r="BB224" i="3" s="1"/>
  <c r="BA224" i="3" s="1"/>
  <c r="AZ224" i="3" s="1"/>
  <c r="AM225" i="3"/>
  <c r="AQ232" i="3"/>
  <c r="DY232" i="3" s="1"/>
  <c r="BB232" i="3" s="1"/>
  <c r="BA232" i="3" s="1"/>
  <c r="AZ232" i="3" s="1"/>
  <c r="AQ306" i="3"/>
  <c r="DY306" i="3" s="1"/>
  <c r="BB306" i="3" s="1"/>
  <c r="BA306" i="3" s="1"/>
  <c r="AZ306" i="3" s="1"/>
  <c r="AQ322" i="3"/>
  <c r="DY322" i="3" s="1"/>
  <c r="BB322" i="3" s="1"/>
  <c r="BA322" i="3" s="1"/>
  <c r="AZ322" i="3" s="1"/>
  <c r="AQ353" i="3"/>
  <c r="DY353" i="3" s="1"/>
  <c r="BB353" i="3" s="1"/>
  <c r="BA353" i="3" s="1"/>
  <c r="AZ353" i="3" s="1"/>
  <c r="AQ433" i="3"/>
  <c r="DY433" i="3" s="1"/>
  <c r="BB433" i="3" s="1"/>
  <c r="BA433" i="3" s="1"/>
  <c r="AZ433" i="3" s="1"/>
  <c r="AQ320" i="3"/>
  <c r="DY320" i="3" s="1"/>
  <c r="BB320" i="3" s="1"/>
  <c r="BA320" i="3" s="1"/>
  <c r="AZ320" i="3" s="1"/>
  <c r="AQ330" i="3"/>
  <c r="DY330" i="3" s="1"/>
  <c r="BB330" i="3" s="1"/>
  <c r="BA330" i="3" s="1"/>
  <c r="AZ330" i="3" s="1"/>
  <c r="AQ233" i="3"/>
  <c r="DY233" i="3" s="1"/>
  <c r="BB233" i="3" s="1"/>
  <c r="BA233" i="3" s="1"/>
  <c r="AZ233" i="3" s="1"/>
  <c r="AQ382" i="3"/>
  <c r="DY382" i="3" s="1"/>
  <c r="BB382" i="3" s="1"/>
  <c r="BA382" i="3" s="1"/>
  <c r="AZ382" i="3" s="1"/>
  <c r="AQ414" i="3"/>
  <c r="DY414" i="3" s="1"/>
  <c r="BB414" i="3" s="1"/>
  <c r="BA414" i="3" s="1"/>
  <c r="AZ414" i="3" s="1"/>
  <c r="BM509" i="3"/>
  <c r="AM509" i="3"/>
  <c r="AQ516" i="3"/>
  <c r="DY516" i="3" s="1"/>
  <c r="BB516" i="3" s="1"/>
  <c r="BA516" i="3" s="1"/>
  <c r="AZ516" i="3" s="1"/>
  <c r="AM517" i="3"/>
  <c r="AM362" i="3"/>
  <c r="AM520" i="3"/>
  <c r="AQ257" i="3"/>
  <c r="DY257" i="3" s="1"/>
  <c r="BB257" i="3" s="1"/>
  <c r="BA257" i="3" s="1"/>
  <c r="AZ257" i="3" s="1"/>
  <c r="BM329" i="3"/>
  <c r="AQ332" i="3"/>
  <c r="DY332" i="3" s="1"/>
  <c r="BB332" i="3" s="1"/>
  <c r="BA332" i="3" s="1"/>
  <c r="AZ332" i="3" s="1"/>
  <c r="BM423" i="3"/>
  <c r="AM423" i="3"/>
  <c r="AQ496" i="3"/>
  <c r="DY496" i="3" s="1"/>
  <c r="BB496" i="3" s="1"/>
  <c r="BA496" i="3" s="1"/>
  <c r="AZ496" i="3" s="1"/>
  <c r="AM501" i="3"/>
  <c r="BM380" i="3"/>
  <c r="AM380" i="3"/>
  <c r="AM454" i="3"/>
  <c r="BM454" i="3"/>
  <c r="BM464" i="3"/>
  <c r="AM464" i="3"/>
  <c r="AQ521" i="3"/>
  <c r="DY521" i="3" s="1"/>
  <c r="BB521" i="3" s="1"/>
  <c r="BA521" i="3" s="1"/>
  <c r="AZ521" i="3" s="1"/>
  <c r="AQ483" i="3"/>
  <c r="DY483" i="3" s="1"/>
  <c r="BB483" i="3" s="1"/>
  <c r="BA483" i="3" s="1"/>
  <c r="AZ483" i="3" s="1"/>
  <c r="AQ513" i="3"/>
  <c r="DY513" i="3" s="1"/>
  <c r="BB513" i="3" s="1"/>
  <c r="BA513" i="3" s="1"/>
  <c r="AZ513" i="3" s="1"/>
  <c r="AM515" i="3"/>
  <c r="AQ512" i="3"/>
  <c r="DY512" i="3" s="1"/>
  <c r="BB512" i="3" s="1"/>
  <c r="BA512" i="3" s="1"/>
  <c r="AZ512" i="3" s="1"/>
  <c r="AM451" i="3"/>
  <c r="AQ470" i="3"/>
  <c r="DY470" i="3" s="1"/>
  <c r="BB470" i="3" s="1"/>
  <c r="BA470" i="3" s="1"/>
  <c r="AZ470" i="3" s="1"/>
  <c r="AQ488" i="3"/>
  <c r="DY488" i="3" s="1"/>
  <c r="BB488" i="3" s="1"/>
  <c r="BA488" i="3" s="1"/>
  <c r="AZ488" i="3" s="1"/>
  <c r="AM513" i="3"/>
  <c r="AQ520" i="3"/>
  <c r="DY520" i="3" s="1"/>
  <c r="BB520" i="3" s="1"/>
  <c r="BA520" i="3" s="1"/>
  <c r="AZ520" i="3" s="1"/>
  <c r="AQ505" i="3"/>
  <c r="DY505" i="3" s="1"/>
  <c r="BB505" i="3" s="1"/>
  <c r="BA505" i="3" s="1"/>
  <c r="AZ505" i="3" s="1"/>
  <c r="AQ408" i="3"/>
  <c r="DY408" i="3" s="1"/>
  <c r="BB408" i="3" s="1"/>
  <c r="BA408" i="3" s="1"/>
  <c r="AZ408" i="3" s="1"/>
  <c r="AM437" i="3"/>
  <c r="BM474" i="3"/>
  <c r="AM505" i="3"/>
  <c r="AQ518" i="3"/>
  <c r="DY518" i="3" s="1"/>
  <c r="BB518" i="3" s="1"/>
  <c r="BA518" i="3" s="1"/>
  <c r="AZ518" i="3" s="1"/>
  <c r="AM438" i="3"/>
  <c r="BM457" i="3"/>
  <c r="AM465" i="3"/>
  <c r="AM475" i="3"/>
  <c r="AQ464" i="3"/>
  <c r="DY464" i="3" s="1"/>
  <c r="BB464" i="3" s="1"/>
  <c r="BA464" i="3" s="1"/>
  <c r="AZ464" i="3" s="1"/>
  <c r="AQ481" i="3"/>
  <c r="DY481" i="3" s="1"/>
  <c r="BB481" i="3" s="1"/>
  <c r="BA481" i="3" s="1"/>
  <c r="AZ481" i="3" s="1"/>
  <c r="AQ441" i="3"/>
  <c r="DY441" i="3" s="1"/>
  <c r="BB441" i="3" s="1"/>
  <c r="BA441" i="3" s="1"/>
  <c r="AZ441" i="3" s="1"/>
  <c r="AQ266" i="3"/>
  <c r="DY266" i="3" s="1"/>
  <c r="BB266" i="3" s="1"/>
  <c r="BA266" i="3" s="1"/>
  <c r="AZ266" i="3" s="1"/>
  <c r="AQ346" i="3"/>
  <c r="DY346" i="3" s="1"/>
  <c r="BB346" i="3" s="1"/>
  <c r="BA346" i="3" s="1"/>
  <c r="AZ346" i="3" s="1"/>
  <c r="BM415" i="3"/>
  <c r="AQ308" i="3"/>
  <c r="DY308" i="3" s="1"/>
  <c r="BB308" i="3" s="1"/>
  <c r="BA308" i="3" s="1"/>
  <c r="AZ308" i="3" s="1"/>
  <c r="AQ504" i="3"/>
  <c r="DY504" i="3" s="1"/>
  <c r="BB504" i="3" s="1"/>
  <c r="BA504" i="3" s="1"/>
  <c r="AZ504" i="3" s="1"/>
  <c r="AQ312" i="3"/>
  <c r="DY312" i="3" s="1"/>
  <c r="BB312" i="3" s="1"/>
  <c r="BA312" i="3" s="1"/>
  <c r="AZ312" i="3" s="1"/>
  <c r="AQ280" i="3"/>
  <c r="DY280" i="3" s="1"/>
  <c r="BB280" i="3" s="1"/>
  <c r="BA280" i="3" s="1"/>
  <c r="AZ280" i="3" s="1"/>
  <c r="AQ252" i="3"/>
  <c r="DY252" i="3" s="1"/>
  <c r="BB252" i="3" s="1"/>
  <c r="BA252" i="3" s="1"/>
  <c r="AZ252" i="3" s="1"/>
  <c r="AQ267" i="3"/>
  <c r="DY267" i="3" s="1"/>
  <c r="BB267" i="3" s="1"/>
  <c r="BA267" i="3" s="1"/>
  <c r="AZ267" i="3" s="1"/>
  <c r="BM268" i="3"/>
  <c r="AQ276" i="3"/>
  <c r="DY276" i="3" s="1"/>
  <c r="BB276" i="3" s="1"/>
  <c r="BA276" i="3" s="1"/>
  <c r="AZ276" i="3" s="1"/>
  <c r="AQ283" i="3"/>
  <c r="DY283" i="3" s="1"/>
  <c r="BB283" i="3" s="1"/>
  <c r="BA283" i="3" s="1"/>
  <c r="AZ283" i="3" s="1"/>
  <c r="AQ286" i="3"/>
  <c r="DY286" i="3" s="1"/>
  <c r="BB286" i="3" s="1"/>
  <c r="BA286" i="3" s="1"/>
  <c r="AZ286" i="3" s="1"/>
  <c r="BM287" i="3"/>
  <c r="AQ294" i="3"/>
  <c r="DY294" i="3" s="1"/>
  <c r="BB294" i="3" s="1"/>
  <c r="BA294" i="3" s="1"/>
  <c r="AZ294" i="3" s="1"/>
  <c r="AQ299" i="3"/>
  <c r="DY299" i="3" s="1"/>
  <c r="BB299" i="3" s="1"/>
  <c r="BA299" i="3" s="1"/>
  <c r="AZ299" i="3" s="1"/>
  <c r="AQ300" i="3"/>
  <c r="DY300" i="3" s="1"/>
  <c r="BB300" i="3" s="1"/>
  <c r="BA300" i="3" s="1"/>
  <c r="AZ300" i="3" s="1"/>
  <c r="AQ310" i="3"/>
  <c r="DY310" i="3" s="1"/>
  <c r="BB310" i="3" s="1"/>
  <c r="BA310" i="3" s="1"/>
  <c r="AZ310" i="3" s="1"/>
  <c r="AQ311" i="3"/>
  <c r="DY311" i="3" s="1"/>
  <c r="BB311" i="3" s="1"/>
  <c r="BA311" i="3" s="1"/>
  <c r="AZ311" i="3" s="1"/>
  <c r="AQ319" i="3"/>
  <c r="DY319" i="3" s="1"/>
  <c r="BB319" i="3" s="1"/>
  <c r="BA319" i="3" s="1"/>
  <c r="AZ319" i="3" s="1"/>
  <c r="AQ323" i="3"/>
  <c r="DY323" i="3" s="1"/>
  <c r="BB323" i="3" s="1"/>
  <c r="BA323" i="3" s="1"/>
  <c r="AZ323" i="3" s="1"/>
  <c r="AQ333" i="3"/>
  <c r="DY333" i="3" s="1"/>
  <c r="BB333" i="3" s="1"/>
  <c r="BA333" i="3" s="1"/>
  <c r="AZ333" i="3" s="1"/>
  <c r="AQ335" i="3"/>
  <c r="DY335" i="3" s="1"/>
  <c r="BB335" i="3" s="1"/>
  <c r="BA335" i="3" s="1"/>
  <c r="AZ335" i="3" s="1"/>
  <c r="BM342" i="3"/>
  <c r="AQ341" i="3"/>
  <c r="DY341" i="3" s="1"/>
  <c r="BB341" i="3" s="1"/>
  <c r="BA341" i="3" s="1"/>
  <c r="AZ341" i="3" s="1"/>
  <c r="AQ347" i="3"/>
  <c r="DY347" i="3" s="1"/>
  <c r="BB347" i="3" s="1"/>
  <c r="BA347" i="3" s="1"/>
  <c r="AZ347" i="3" s="1"/>
  <c r="AQ348" i="3"/>
  <c r="DY348" i="3" s="1"/>
  <c r="BB348" i="3" s="1"/>
  <c r="BA348" i="3" s="1"/>
  <c r="AZ348" i="3" s="1"/>
  <c r="BM358" i="3"/>
  <c r="AQ357" i="3"/>
  <c r="DY357" i="3" s="1"/>
  <c r="BB357" i="3" s="1"/>
  <c r="BA357" i="3" s="1"/>
  <c r="AZ357" i="3" s="1"/>
  <c r="AQ379" i="3"/>
  <c r="DY379" i="3" s="1"/>
  <c r="BB379" i="3" s="1"/>
  <c r="BA379" i="3" s="1"/>
  <c r="AZ379" i="3" s="1"/>
  <c r="AQ380" i="3"/>
  <c r="DY380" i="3" s="1"/>
  <c r="BB380" i="3" s="1"/>
  <c r="BA380" i="3" s="1"/>
  <c r="AZ380" i="3" s="1"/>
  <c r="AQ388" i="3"/>
  <c r="DY388" i="3" s="1"/>
  <c r="BB388" i="3" s="1"/>
  <c r="BA388" i="3" s="1"/>
  <c r="AZ388" i="3" s="1"/>
  <c r="AQ396" i="3"/>
  <c r="DY396" i="3" s="1"/>
  <c r="BB396" i="3" s="1"/>
  <c r="BA396" i="3" s="1"/>
  <c r="AZ396" i="3" s="1"/>
  <c r="AQ397" i="3"/>
  <c r="DY397" i="3" s="1"/>
  <c r="BB397" i="3" s="1"/>
  <c r="BA397" i="3" s="1"/>
  <c r="AZ397" i="3" s="1"/>
  <c r="AQ407" i="3"/>
  <c r="DY407" i="3" s="1"/>
  <c r="BB407" i="3" s="1"/>
  <c r="BA407" i="3" s="1"/>
  <c r="AZ407" i="3" s="1"/>
  <c r="AM430" i="3"/>
  <c r="AQ429" i="3"/>
  <c r="DY429" i="3" s="1"/>
  <c r="BB429" i="3" s="1"/>
  <c r="BA429" i="3" s="1"/>
  <c r="AZ429" i="3" s="1"/>
  <c r="BM430" i="3"/>
  <c r="AQ431" i="3"/>
  <c r="DY431" i="3" s="1"/>
  <c r="BB431" i="3" s="1"/>
  <c r="BA431" i="3" s="1"/>
  <c r="AZ431" i="3" s="1"/>
  <c r="AQ444" i="3"/>
  <c r="DY444" i="3" s="1"/>
  <c r="BB444" i="3" s="1"/>
  <c r="BA444" i="3" s="1"/>
  <c r="AZ444" i="3" s="1"/>
  <c r="BM445" i="3"/>
  <c r="BM455" i="3"/>
  <c r="AM455" i="3"/>
  <c r="AQ454" i="3"/>
  <c r="DY454" i="3" s="1"/>
  <c r="BB454" i="3" s="1"/>
  <c r="BA454" i="3" s="1"/>
  <c r="AZ454" i="3" s="1"/>
  <c r="AQ495" i="3"/>
  <c r="DY495" i="3" s="1"/>
  <c r="BB495" i="3" s="1"/>
  <c r="BA495" i="3" s="1"/>
  <c r="AZ495" i="3" s="1"/>
  <c r="AQ497" i="3"/>
  <c r="DY497" i="3" s="1"/>
  <c r="BB497" i="3" s="1"/>
  <c r="BA497" i="3" s="1"/>
  <c r="AZ497" i="3" s="1"/>
  <c r="AQ465" i="3"/>
  <c r="DY465" i="3" s="1"/>
  <c r="BB465" i="3" s="1"/>
  <c r="BA465" i="3" s="1"/>
  <c r="AZ465" i="3" s="1"/>
  <c r="AQ401" i="3"/>
  <c r="DY401" i="3" s="1"/>
  <c r="BB401" i="3" s="1"/>
  <c r="BA401" i="3" s="1"/>
  <c r="AZ401" i="3" s="1"/>
  <c r="AQ369" i="3"/>
  <c r="DY369" i="3" s="1"/>
  <c r="BB369" i="3" s="1"/>
  <c r="BA369" i="3" s="1"/>
  <c r="AZ369" i="3" s="1"/>
  <c r="AQ337" i="3"/>
  <c r="DY337" i="3" s="1"/>
  <c r="BB337" i="3" s="1"/>
  <c r="BA337" i="3" s="1"/>
  <c r="AZ337" i="3" s="1"/>
  <c r="AQ305" i="3"/>
  <c r="DY305" i="3" s="1"/>
  <c r="BB305" i="3" s="1"/>
  <c r="BA305" i="3" s="1"/>
  <c r="AZ305" i="3" s="1"/>
  <c r="AQ273" i="3"/>
  <c r="DY273" i="3" s="1"/>
  <c r="BB273" i="3" s="1"/>
  <c r="BA273" i="3" s="1"/>
  <c r="AZ273" i="3" s="1"/>
  <c r="AQ241" i="3"/>
  <c r="DY241" i="3" s="1"/>
  <c r="BB241" i="3" s="1"/>
  <c r="BA241" i="3" s="1"/>
  <c r="AZ241" i="3" s="1"/>
  <c r="AQ237" i="3"/>
  <c r="DY237" i="3" s="1"/>
  <c r="BB237" i="3" s="1"/>
  <c r="BA237" i="3" s="1"/>
  <c r="AZ237" i="3" s="1"/>
  <c r="AQ375" i="3"/>
  <c r="DY375" i="3" s="1"/>
  <c r="BB375" i="3" s="1"/>
  <c r="BA375" i="3" s="1"/>
  <c r="AZ375" i="3" s="1"/>
  <c r="AQ473" i="3"/>
  <c r="DY473" i="3" s="1"/>
  <c r="BB473" i="3" s="1"/>
  <c r="BA473" i="3" s="1"/>
  <c r="AZ473" i="3" s="1"/>
  <c r="AQ345" i="3"/>
  <c r="DY345" i="3" s="1"/>
  <c r="BB345" i="3" s="1"/>
  <c r="BA345" i="3" s="1"/>
  <c r="AZ345" i="3" s="1"/>
  <c r="AQ362" i="3"/>
  <c r="DY362" i="3" s="1"/>
  <c r="BB362" i="3" s="1"/>
  <c r="BA362" i="3" s="1"/>
  <c r="AZ362" i="3" s="1"/>
  <c r="AQ472" i="3"/>
  <c r="DY472" i="3" s="1"/>
  <c r="BB472" i="3" s="1"/>
  <c r="BA472" i="3" s="1"/>
  <c r="AZ472" i="3" s="1"/>
  <c r="AQ245" i="3"/>
  <c r="DY245" i="3" s="1"/>
  <c r="BB245" i="3" s="1"/>
  <c r="BA245" i="3" s="1"/>
  <c r="AZ245" i="3" s="1"/>
  <c r="BM246" i="3"/>
  <c r="AQ243" i="3"/>
  <c r="DY243" i="3" s="1"/>
  <c r="BB243" i="3" s="1"/>
  <c r="BA243" i="3" s="1"/>
  <c r="AZ243" i="3" s="1"/>
  <c r="AQ247" i="3"/>
  <c r="DY247" i="3" s="1"/>
  <c r="BB247" i="3" s="1"/>
  <c r="BA247" i="3" s="1"/>
  <c r="AZ247" i="3" s="1"/>
  <c r="BM249" i="3"/>
  <c r="AQ258" i="3"/>
  <c r="DY258" i="3" s="1"/>
  <c r="BB258" i="3" s="1"/>
  <c r="BA258" i="3" s="1"/>
  <c r="AZ258" i="3" s="1"/>
  <c r="AQ262" i="3"/>
  <c r="DY262" i="3" s="1"/>
  <c r="BB262" i="3" s="1"/>
  <c r="BA262" i="3" s="1"/>
  <c r="AZ262" i="3" s="1"/>
  <c r="AQ270" i="3"/>
  <c r="DY270" i="3" s="1"/>
  <c r="BB270" i="3" s="1"/>
  <c r="BA270" i="3" s="1"/>
  <c r="AZ270" i="3" s="1"/>
  <c r="BM271" i="3"/>
  <c r="AQ284" i="3"/>
  <c r="DY284" i="3" s="1"/>
  <c r="BB284" i="3" s="1"/>
  <c r="BA284" i="3" s="1"/>
  <c r="AZ284" i="3" s="1"/>
  <c r="AQ290" i="3"/>
  <c r="DY290" i="3" s="1"/>
  <c r="BB290" i="3" s="1"/>
  <c r="BA290" i="3" s="1"/>
  <c r="AZ290" i="3" s="1"/>
  <c r="BM291" i="3"/>
  <c r="AQ303" i="3"/>
  <c r="DY303" i="3" s="1"/>
  <c r="BB303" i="3" s="1"/>
  <c r="BA303" i="3" s="1"/>
  <c r="AZ303" i="3" s="1"/>
  <c r="AQ325" i="3"/>
  <c r="DY325" i="3" s="1"/>
  <c r="BB325" i="3" s="1"/>
  <c r="BA325" i="3" s="1"/>
  <c r="AZ325" i="3" s="1"/>
  <c r="AQ326" i="3"/>
  <c r="DY326" i="3" s="1"/>
  <c r="BB326" i="3" s="1"/>
  <c r="BA326" i="3" s="1"/>
  <c r="AZ326" i="3" s="1"/>
  <c r="AQ373" i="3"/>
  <c r="DY373" i="3" s="1"/>
  <c r="BB373" i="3" s="1"/>
  <c r="BA373" i="3" s="1"/>
  <c r="AZ373" i="3" s="1"/>
  <c r="AQ381" i="3"/>
  <c r="DY381" i="3" s="1"/>
  <c r="BB381" i="3" s="1"/>
  <c r="BA381" i="3" s="1"/>
  <c r="AZ381" i="3" s="1"/>
  <c r="AQ383" i="3"/>
  <c r="DY383" i="3" s="1"/>
  <c r="BB383" i="3" s="1"/>
  <c r="BA383" i="3" s="1"/>
  <c r="AZ383" i="3" s="1"/>
  <c r="AQ390" i="3"/>
  <c r="DY390" i="3" s="1"/>
  <c r="BB390" i="3" s="1"/>
  <c r="BA390" i="3" s="1"/>
  <c r="AZ390" i="3" s="1"/>
  <c r="AM403" i="3"/>
  <c r="AQ405" i="3"/>
  <c r="DY405" i="3" s="1"/>
  <c r="BB405" i="3" s="1"/>
  <c r="BA405" i="3" s="1"/>
  <c r="AZ405" i="3" s="1"/>
  <c r="AQ413" i="3"/>
  <c r="DY413" i="3" s="1"/>
  <c r="BB413" i="3" s="1"/>
  <c r="BA413" i="3" s="1"/>
  <c r="AZ413" i="3" s="1"/>
  <c r="AQ418" i="3"/>
  <c r="DY418" i="3" s="1"/>
  <c r="BB418" i="3" s="1"/>
  <c r="BA418" i="3" s="1"/>
  <c r="AZ418" i="3" s="1"/>
  <c r="BM419" i="3"/>
  <c r="AQ422" i="3"/>
  <c r="DY422" i="3" s="1"/>
  <c r="BB422" i="3" s="1"/>
  <c r="BA422" i="3" s="1"/>
  <c r="AZ422" i="3" s="1"/>
  <c r="AM425" i="3"/>
  <c r="AQ442" i="3"/>
  <c r="DY442" i="3" s="1"/>
  <c r="BB442" i="3" s="1"/>
  <c r="BA442" i="3" s="1"/>
  <c r="AZ442" i="3" s="1"/>
  <c r="AQ459" i="3"/>
  <c r="DY459" i="3" s="1"/>
  <c r="BB459" i="3" s="1"/>
  <c r="BA459" i="3" s="1"/>
  <c r="AZ459" i="3" s="1"/>
  <c r="AQ486" i="3"/>
  <c r="DY486" i="3" s="1"/>
  <c r="BB486" i="3" s="1"/>
  <c r="BA486" i="3" s="1"/>
  <c r="AZ486" i="3" s="1"/>
  <c r="AQ432" i="3"/>
  <c r="DY432" i="3" s="1"/>
  <c r="BB432" i="3" s="1"/>
  <c r="BA432" i="3" s="1"/>
  <c r="AZ432" i="3" s="1"/>
  <c r="AQ400" i="3"/>
  <c r="DY400" i="3" s="1"/>
  <c r="BB400" i="3" s="1"/>
  <c r="BA400" i="3" s="1"/>
  <c r="AZ400" i="3" s="1"/>
  <c r="AQ368" i="3"/>
  <c r="DY368" i="3" s="1"/>
  <c r="BB368" i="3" s="1"/>
  <c r="BA368" i="3" s="1"/>
  <c r="AZ368" i="3" s="1"/>
  <c r="AQ336" i="3"/>
  <c r="DY336" i="3" s="1"/>
  <c r="BB336" i="3" s="1"/>
  <c r="BA336" i="3" s="1"/>
  <c r="AZ336" i="3" s="1"/>
  <c r="AQ304" i="3"/>
  <c r="DY304" i="3" s="1"/>
  <c r="BB304" i="3" s="1"/>
  <c r="BA304" i="3" s="1"/>
  <c r="AZ304" i="3" s="1"/>
  <c r="AQ272" i="3"/>
  <c r="DY272" i="3" s="1"/>
  <c r="BB272" i="3" s="1"/>
  <c r="BA272" i="3" s="1"/>
  <c r="AZ272" i="3" s="1"/>
  <c r="AQ240" i="3"/>
  <c r="DY240" i="3" s="1"/>
  <c r="BB240" i="3" s="1"/>
  <c r="BA240" i="3" s="1"/>
  <c r="AZ240" i="3" s="1"/>
  <c r="AQ269" i="3"/>
  <c r="DY269" i="3" s="1"/>
  <c r="BB269" i="3" s="1"/>
  <c r="BA269" i="3" s="1"/>
  <c r="AZ269" i="3" s="1"/>
  <c r="AQ377" i="3"/>
  <c r="DY377" i="3" s="1"/>
  <c r="BB377" i="3" s="1"/>
  <c r="BA377" i="3" s="1"/>
  <c r="AZ377" i="3" s="1"/>
  <c r="AQ313" i="3"/>
  <c r="DY313" i="3" s="1"/>
  <c r="BB313" i="3" s="1"/>
  <c r="BA313" i="3" s="1"/>
  <c r="AZ313" i="3" s="1"/>
  <c r="AQ275" i="3"/>
  <c r="DY275" i="3" s="1"/>
  <c r="BB275" i="3" s="1"/>
  <c r="BA275" i="3" s="1"/>
  <c r="AZ275" i="3" s="1"/>
  <c r="AQ302" i="3"/>
  <c r="DY302" i="3" s="1"/>
  <c r="BB302" i="3" s="1"/>
  <c r="BA302" i="3" s="1"/>
  <c r="AZ302" i="3" s="1"/>
  <c r="AQ358" i="3"/>
  <c r="DY358" i="3" s="1"/>
  <c r="BB358" i="3" s="1"/>
  <c r="BA358" i="3" s="1"/>
  <c r="AZ358" i="3" s="1"/>
  <c r="AQ404" i="3"/>
  <c r="DY404" i="3" s="1"/>
  <c r="BB404" i="3" s="1"/>
  <c r="BA404" i="3" s="1"/>
  <c r="AZ404" i="3" s="1"/>
  <c r="BM459" i="3"/>
  <c r="AQ458" i="3"/>
  <c r="DY458" i="3" s="1"/>
  <c r="BB458" i="3" s="1"/>
  <c r="BA458" i="3" s="1"/>
  <c r="AZ458" i="3" s="1"/>
  <c r="AQ228" i="3"/>
  <c r="DY228" i="3" s="1"/>
  <c r="BB228" i="3" s="1"/>
  <c r="BA228" i="3" s="1"/>
  <c r="AZ228" i="3" s="1"/>
  <c r="BM243" i="3"/>
  <c r="AQ242" i="3"/>
  <c r="DY242" i="3" s="1"/>
  <c r="BB242" i="3" s="1"/>
  <c r="BA242" i="3" s="1"/>
  <c r="AZ242" i="3" s="1"/>
  <c r="AQ226" i="3"/>
  <c r="DY226" i="3" s="1"/>
  <c r="BB226" i="3" s="1"/>
  <c r="BA226" i="3" s="1"/>
  <c r="AZ226" i="3" s="1"/>
  <c r="BM227" i="3"/>
  <c r="AQ223" i="3"/>
  <c r="BM224" i="3"/>
  <c r="AQ229" i="3"/>
  <c r="DY229" i="3" s="1"/>
  <c r="BB229" i="3" s="1"/>
  <c r="BA229" i="3" s="1"/>
  <c r="AZ229" i="3" s="1"/>
  <c r="AQ239" i="3"/>
  <c r="DY239" i="3" s="1"/>
  <c r="BB239" i="3" s="1"/>
  <c r="BA239" i="3" s="1"/>
  <c r="AZ239" i="3" s="1"/>
  <c r="AQ277" i="3"/>
  <c r="DY277" i="3" s="1"/>
  <c r="BB277" i="3" s="1"/>
  <c r="BA277" i="3" s="1"/>
  <c r="AZ277" i="3" s="1"/>
  <c r="AQ287" i="3"/>
  <c r="DY287" i="3" s="1"/>
  <c r="BB287" i="3" s="1"/>
  <c r="BA287" i="3" s="1"/>
  <c r="AZ287" i="3" s="1"/>
  <c r="AQ291" i="3"/>
  <c r="DY291" i="3" s="1"/>
  <c r="BB291" i="3" s="1"/>
  <c r="BA291" i="3" s="1"/>
  <c r="AZ291" i="3" s="1"/>
  <c r="AQ292" i="3"/>
  <c r="DY292" i="3" s="1"/>
  <c r="BB292" i="3" s="1"/>
  <c r="BA292" i="3" s="1"/>
  <c r="AZ292" i="3" s="1"/>
  <c r="AQ314" i="3"/>
  <c r="DY314" i="3" s="1"/>
  <c r="BB314" i="3" s="1"/>
  <c r="BA314" i="3" s="1"/>
  <c r="AZ314" i="3" s="1"/>
  <c r="AQ315" i="3"/>
  <c r="DY315" i="3" s="1"/>
  <c r="BB315" i="3" s="1"/>
  <c r="BA315" i="3" s="1"/>
  <c r="AZ315" i="3" s="1"/>
  <c r="AQ316" i="3"/>
  <c r="DY316" i="3" s="1"/>
  <c r="BB316" i="3" s="1"/>
  <c r="BA316" i="3" s="1"/>
  <c r="AZ316" i="3" s="1"/>
  <c r="AQ351" i="3"/>
  <c r="DY351" i="3" s="1"/>
  <c r="BB351" i="3" s="1"/>
  <c r="BA351" i="3" s="1"/>
  <c r="AZ351" i="3" s="1"/>
  <c r="AQ354" i="3"/>
  <c r="DY354" i="3" s="1"/>
  <c r="BB354" i="3" s="1"/>
  <c r="BA354" i="3" s="1"/>
  <c r="AZ354" i="3" s="1"/>
  <c r="AQ365" i="3"/>
  <c r="DY365" i="3" s="1"/>
  <c r="BB365" i="3" s="1"/>
  <c r="BA365" i="3" s="1"/>
  <c r="AZ365" i="3" s="1"/>
  <c r="AQ386" i="3"/>
  <c r="DY386" i="3" s="1"/>
  <c r="BB386" i="3" s="1"/>
  <c r="BA386" i="3" s="1"/>
  <c r="AZ386" i="3" s="1"/>
  <c r="AQ391" i="3"/>
  <c r="DY391" i="3" s="1"/>
  <c r="BB391" i="3" s="1"/>
  <c r="BA391" i="3" s="1"/>
  <c r="AZ391" i="3" s="1"/>
  <c r="BM392" i="3"/>
  <c r="AQ402" i="3"/>
  <c r="DY402" i="3" s="1"/>
  <c r="BB402" i="3" s="1"/>
  <c r="BA402" i="3" s="1"/>
  <c r="AZ402" i="3" s="1"/>
  <c r="AQ415" i="3"/>
  <c r="DY415" i="3" s="1"/>
  <c r="BB415" i="3" s="1"/>
  <c r="BA415" i="3" s="1"/>
  <c r="AZ415" i="3" s="1"/>
  <c r="BM425" i="3"/>
  <c r="AQ427" i="3"/>
  <c r="DY427" i="3" s="1"/>
  <c r="BB427" i="3" s="1"/>
  <c r="BA427" i="3" s="1"/>
  <c r="AZ427" i="3" s="1"/>
  <c r="AQ438" i="3"/>
  <c r="DY438" i="3" s="1"/>
  <c r="BB438" i="3" s="1"/>
  <c r="BA438" i="3" s="1"/>
  <c r="AZ438" i="3" s="1"/>
  <c r="AQ451" i="3"/>
  <c r="BM452" i="3"/>
  <c r="AQ455" i="3"/>
  <c r="DY455" i="3" s="1"/>
  <c r="BB455" i="3" s="1"/>
  <c r="BA455" i="3" s="1"/>
  <c r="AZ455" i="3" s="1"/>
  <c r="AQ484" i="3"/>
  <c r="DY484" i="3" s="1"/>
  <c r="BB484" i="3" s="1"/>
  <c r="BA484" i="3" s="1"/>
  <c r="AZ484" i="3" s="1"/>
  <c r="AQ487" i="3"/>
  <c r="DY487" i="3" s="1"/>
  <c r="BB487" i="3" s="1"/>
  <c r="BA487" i="3" s="1"/>
  <c r="AZ487" i="3" s="1"/>
  <c r="AQ498" i="3"/>
  <c r="DY498" i="3" s="1"/>
  <c r="BB498" i="3" s="1"/>
  <c r="BA498" i="3" s="1"/>
  <c r="AZ498" i="3" s="1"/>
  <c r="AQ506" i="3"/>
  <c r="DY506" i="3" s="1"/>
  <c r="BB506" i="3" s="1"/>
  <c r="BA506" i="3" s="1"/>
  <c r="AZ506" i="3" s="1"/>
  <c r="AQ489" i="3"/>
  <c r="DY489" i="3" s="1"/>
  <c r="BB489" i="3" s="1"/>
  <c r="BA489" i="3" s="1"/>
  <c r="AZ489" i="3" s="1"/>
  <c r="AQ457" i="3"/>
  <c r="DY457" i="3" s="1"/>
  <c r="BB457" i="3" s="1"/>
  <c r="BA457" i="3" s="1"/>
  <c r="AZ457" i="3" s="1"/>
  <c r="AQ425" i="3"/>
  <c r="DY425" i="3" s="1"/>
  <c r="BB425" i="3" s="1"/>
  <c r="BA425" i="3" s="1"/>
  <c r="AZ425" i="3" s="1"/>
  <c r="AQ393" i="3"/>
  <c r="DY393" i="3" s="1"/>
  <c r="BB393" i="3" s="1"/>
  <c r="BA393" i="3" s="1"/>
  <c r="AZ393" i="3" s="1"/>
  <c r="AQ361" i="3"/>
  <c r="DY361" i="3" s="1"/>
  <c r="BB361" i="3" s="1"/>
  <c r="BA361" i="3" s="1"/>
  <c r="AZ361" i="3" s="1"/>
  <c r="AQ329" i="3"/>
  <c r="DY329" i="3" s="1"/>
  <c r="BB329" i="3" s="1"/>
  <c r="BA329" i="3" s="1"/>
  <c r="AZ329" i="3" s="1"/>
  <c r="AQ297" i="3"/>
  <c r="DY297" i="3" s="1"/>
  <c r="BB297" i="3" s="1"/>
  <c r="BA297" i="3" s="1"/>
  <c r="AZ297" i="3" s="1"/>
  <c r="AQ265" i="3"/>
  <c r="DY265" i="3" s="1"/>
  <c r="BB265" i="3" s="1"/>
  <c r="BA265" i="3" s="1"/>
  <c r="AZ265" i="3" s="1"/>
  <c r="AQ271" i="3"/>
  <c r="DY271" i="3" s="1"/>
  <c r="BB271" i="3" s="1"/>
  <c r="BA271" i="3" s="1"/>
  <c r="AZ271" i="3" s="1"/>
  <c r="AQ343" i="3"/>
  <c r="DY343" i="3" s="1"/>
  <c r="BB343" i="3" s="1"/>
  <c r="BA343" i="3" s="1"/>
  <c r="AZ343" i="3" s="1"/>
  <c r="AQ421" i="3"/>
  <c r="DY421" i="3" s="1"/>
  <c r="BB421" i="3" s="1"/>
  <c r="BA421" i="3" s="1"/>
  <c r="AZ421" i="3" s="1"/>
  <c r="BM426" i="3"/>
  <c r="AQ363" i="3"/>
  <c r="DY363" i="3" s="1"/>
  <c r="BB363" i="3" s="1"/>
  <c r="BA363" i="3" s="1"/>
  <c r="AZ363" i="3" s="1"/>
  <c r="AQ412" i="3"/>
  <c r="DY412" i="3" s="1"/>
  <c r="BB412" i="3" s="1"/>
  <c r="BA412" i="3" s="1"/>
  <c r="AZ412" i="3" s="1"/>
  <c r="AQ462" i="3"/>
  <c r="DY462" i="3" s="1"/>
  <c r="BB462" i="3" s="1"/>
  <c r="BA462" i="3" s="1"/>
  <c r="AZ462" i="3" s="1"/>
  <c r="AQ344" i="3"/>
  <c r="DY344" i="3" s="1"/>
  <c r="BB344" i="3" s="1"/>
  <c r="BA344" i="3" s="1"/>
  <c r="AZ344" i="3" s="1"/>
  <c r="AQ250" i="3"/>
  <c r="DY250" i="3" s="1"/>
  <c r="BB250" i="3" s="1"/>
  <c r="BA250" i="3" s="1"/>
  <c r="AZ250" i="3" s="1"/>
  <c r="BM225" i="3"/>
  <c r="AQ253" i="3"/>
  <c r="DY253" i="3" s="1"/>
  <c r="BB253" i="3" s="1"/>
  <c r="BA253" i="3" s="1"/>
  <c r="AZ253" i="3" s="1"/>
  <c r="BM254" i="3"/>
  <c r="AQ255" i="3"/>
  <c r="DY255" i="3" s="1"/>
  <c r="BB255" i="3" s="1"/>
  <c r="BA255" i="3" s="1"/>
  <c r="AZ255" i="3" s="1"/>
  <c r="AQ259" i="3"/>
  <c r="DY259" i="3" s="1"/>
  <c r="BB259" i="3" s="1"/>
  <c r="BA259" i="3" s="1"/>
  <c r="AZ259" i="3" s="1"/>
  <c r="AQ263" i="3"/>
  <c r="DY263" i="3" s="1"/>
  <c r="BB263" i="3" s="1"/>
  <c r="BA263" i="3" s="1"/>
  <c r="AZ263" i="3" s="1"/>
  <c r="BM264" i="3"/>
  <c r="AQ285" i="3"/>
  <c r="DY285" i="3" s="1"/>
  <c r="BB285" i="3" s="1"/>
  <c r="BA285" i="3" s="1"/>
  <c r="AZ285" i="3" s="1"/>
  <c r="AQ301" i="3"/>
  <c r="DY301" i="3" s="1"/>
  <c r="BB301" i="3" s="1"/>
  <c r="BA301" i="3" s="1"/>
  <c r="AZ301" i="3" s="1"/>
  <c r="AQ309" i="3"/>
  <c r="DY309" i="3" s="1"/>
  <c r="BB309" i="3" s="1"/>
  <c r="BA309" i="3" s="1"/>
  <c r="AZ309" i="3" s="1"/>
  <c r="AQ327" i="3"/>
  <c r="DY327" i="3" s="1"/>
  <c r="BB327" i="3" s="1"/>
  <c r="BA327" i="3" s="1"/>
  <c r="AZ327" i="3" s="1"/>
  <c r="AQ331" i="3"/>
  <c r="DY331" i="3" s="1"/>
  <c r="BB331" i="3" s="1"/>
  <c r="BA331" i="3" s="1"/>
  <c r="AZ331" i="3" s="1"/>
  <c r="BM350" i="3"/>
  <c r="AQ349" i="3"/>
  <c r="DY349" i="3" s="1"/>
  <c r="BB349" i="3" s="1"/>
  <c r="BA349" i="3" s="1"/>
  <c r="AZ349" i="3" s="1"/>
  <c r="AQ355" i="3"/>
  <c r="DY355" i="3" s="1"/>
  <c r="BB355" i="3" s="1"/>
  <c r="BA355" i="3" s="1"/>
  <c r="AZ355" i="3" s="1"/>
  <c r="AQ359" i="3"/>
  <c r="DY359" i="3" s="1"/>
  <c r="BB359" i="3" s="1"/>
  <c r="BA359" i="3" s="1"/>
  <c r="AZ359" i="3" s="1"/>
  <c r="AQ364" i="3"/>
  <c r="DY364" i="3" s="1"/>
  <c r="BB364" i="3" s="1"/>
  <c r="BA364" i="3" s="1"/>
  <c r="AZ364" i="3" s="1"/>
  <c r="AQ366" i="3"/>
  <c r="DY366" i="3" s="1"/>
  <c r="BB366" i="3" s="1"/>
  <c r="BA366" i="3" s="1"/>
  <c r="AZ366" i="3" s="1"/>
  <c r="AQ387" i="3"/>
  <c r="DY387" i="3" s="1"/>
  <c r="BB387" i="3" s="1"/>
  <c r="BA387" i="3" s="1"/>
  <c r="AZ387" i="3" s="1"/>
  <c r="BM394" i="3"/>
  <c r="AQ398" i="3"/>
  <c r="DY398" i="3" s="1"/>
  <c r="BB398" i="3" s="1"/>
  <c r="BA398" i="3" s="1"/>
  <c r="AZ398" i="3" s="1"/>
  <c r="AQ426" i="3"/>
  <c r="DY426" i="3" s="1"/>
  <c r="BB426" i="3" s="1"/>
  <c r="BA426" i="3" s="1"/>
  <c r="AZ426" i="3" s="1"/>
  <c r="AQ430" i="3"/>
  <c r="DY430" i="3" s="1"/>
  <c r="BB430" i="3" s="1"/>
  <c r="BA430" i="3" s="1"/>
  <c r="AZ430" i="3" s="1"/>
  <c r="AQ469" i="3"/>
  <c r="DY469" i="3" s="1"/>
  <c r="BB469" i="3" s="1"/>
  <c r="BA469" i="3" s="1"/>
  <c r="AZ469" i="3" s="1"/>
  <c r="AQ500" i="3"/>
  <c r="DY500" i="3" s="1"/>
  <c r="BB500" i="3" s="1"/>
  <c r="BA500" i="3" s="1"/>
  <c r="AZ500" i="3" s="1"/>
  <c r="BM501" i="3"/>
  <c r="AQ456" i="3"/>
  <c r="DY456" i="3" s="1"/>
  <c r="BB456" i="3" s="1"/>
  <c r="BA456" i="3" s="1"/>
  <c r="AZ456" i="3" s="1"/>
  <c r="AQ424" i="3"/>
  <c r="DY424" i="3" s="1"/>
  <c r="BB424" i="3" s="1"/>
  <c r="BA424" i="3" s="1"/>
  <c r="AZ424" i="3" s="1"/>
  <c r="AQ392" i="3"/>
  <c r="DY392" i="3" s="1"/>
  <c r="BB392" i="3" s="1"/>
  <c r="BA392" i="3" s="1"/>
  <c r="AZ392" i="3" s="1"/>
  <c r="AQ360" i="3"/>
  <c r="DY360" i="3" s="1"/>
  <c r="BB360" i="3" s="1"/>
  <c r="BA360" i="3" s="1"/>
  <c r="AZ360" i="3" s="1"/>
  <c r="AQ328" i="3"/>
  <c r="DY328" i="3" s="1"/>
  <c r="BB328" i="3" s="1"/>
  <c r="BA328" i="3" s="1"/>
  <c r="AZ328" i="3" s="1"/>
  <c r="AQ296" i="3"/>
  <c r="DY296" i="3" s="1"/>
  <c r="BB296" i="3" s="1"/>
  <c r="BA296" i="3" s="1"/>
  <c r="AZ296" i="3" s="1"/>
  <c r="AQ264" i="3"/>
  <c r="DY264" i="3" s="1"/>
  <c r="BB264" i="3" s="1"/>
  <c r="BA264" i="3" s="1"/>
  <c r="AZ264" i="3" s="1"/>
  <c r="AQ251" i="3"/>
  <c r="DY251" i="3" s="1"/>
  <c r="BB251" i="3" s="1"/>
  <c r="BA251" i="3" s="1"/>
  <c r="AZ251" i="3" s="1"/>
  <c r="AQ307" i="3"/>
  <c r="DY307" i="3" s="1"/>
  <c r="BB307" i="3" s="1"/>
  <c r="BA307" i="3" s="1"/>
  <c r="AZ307" i="3" s="1"/>
  <c r="AQ340" i="3"/>
  <c r="DY340" i="3" s="1"/>
  <c r="BB340" i="3" s="1"/>
  <c r="BA340" i="3" s="1"/>
  <c r="AZ340" i="3" s="1"/>
  <c r="BM347" i="3"/>
  <c r="BM383" i="3"/>
  <c r="AQ507" i="3"/>
  <c r="DY507" i="3" s="1"/>
  <c r="BB507" i="3" s="1"/>
  <c r="BA507" i="3" s="1"/>
  <c r="AZ507" i="3" s="1"/>
  <c r="BM508" i="3"/>
  <c r="AQ281" i="3"/>
  <c r="DY281" i="3" s="1"/>
  <c r="BB281" i="3" s="1"/>
  <c r="BA281" i="3" s="1"/>
  <c r="AZ281" i="3" s="1"/>
  <c r="AQ261" i="3"/>
  <c r="DY261" i="3" s="1"/>
  <c r="BB261" i="3" s="1"/>
  <c r="BA261" i="3" s="1"/>
  <c r="AZ261" i="3" s="1"/>
  <c r="BM273" i="3"/>
  <c r="BM359" i="3"/>
  <c r="AQ411" i="3"/>
  <c r="DY411" i="3" s="1"/>
  <c r="BB411" i="3" s="1"/>
  <c r="BA411" i="3" s="1"/>
  <c r="AZ411" i="3" s="1"/>
  <c r="AQ376" i="3"/>
  <c r="DY376" i="3" s="1"/>
  <c r="BB376" i="3" s="1"/>
  <c r="BA376" i="3" s="1"/>
  <c r="AZ376" i="3" s="1"/>
  <c r="AQ254" i="3"/>
  <c r="DY254" i="3" s="1"/>
  <c r="BB254" i="3" s="1"/>
  <c r="BA254" i="3" s="1"/>
  <c r="AZ254" i="3" s="1"/>
  <c r="AM226" i="3"/>
  <c r="AQ230" i="3"/>
  <c r="DY230" i="3" s="1"/>
  <c r="BB230" i="3" s="1"/>
  <c r="BA230" i="3" s="1"/>
  <c r="AZ230" i="3" s="1"/>
  <c r="AQ231" i="3"/>
  <c r="DY231" i="3" s="1"/>
  <c r="BB231" i="3" s="1"/>
  <c r="BA231" i="3" s="1"/>
  <c r="AZ231" i="3" s="1"/>
  <c r="AQ234" i="3"/>
  <c r="DY234" i="3" s="1"/>
  <c r="BB234" i="3" s="1"/>
  <c r="BA234" i="3" s="1"/>
  <c r="AZ234" i="3" s="1"/>
  <c r="AQ235" i="3"/>
  <c r="DY235" i="3" s="1"/>
  <c r="BB235" i="3" s="1"/>
  <c r="BA235" i="3" s="1"/>
  <c r="AZ235" i="3" s="1"/>
  <c r="AQ236" i="3"/>
  <c r="DY236" i="3" s="1"/>
  <c r="BB236" i="3" s="1"/>
  <c r="BA236" i="3" s="1"/>
  <c r="AZ236" i="3" s="1"/>
  <c r="AQ244" i="3"/>
  <c r="DY244" i="3" s="1"/>
  <c r="BB244" i="3" s="1"/>
  <c r="BA244" i="3" s="1"/>
  <c r="AZ244" i="3" s="1"/>
  <c r="BM245" i="3"/>
  <c r="AM269" i="3"/>
  <c r="BM310" i="3"/>
  <c r="AM314" i="3"/>
  <c r="AQ317" i="3"/>
  <c r="DY317" i="3" s="1"/>
  <c r="BB317" i="3" s="1"/>
  <c r="BA317" i="3" s="1"/>
  <c r="AZ317" i="3" s="1"/>
  <c r="BM322" i="3"/>
  <c r="BM332" i="3"/>
  <c r="AQ342" i="3"/>
  <c r="DY342" i="3" s="1"/>
  <c r="BB342" i="3" s="1"/>
  <c r="BA342" i="3" s="1"/>
  <c r="AZ342" i="3" s="1"/>
  <c r="BM343" i="3"/>
  <c r="AQ370" i="3"/>
  <c r="DY370" i="3" s="1"/>
  <c r="BB370" i="3" s="1"/>
  <c r="BA370" i="3" s="1"/>
  <c r="AZ370" i="3" s="1"/>
  <c r="AQ374" i="3"/>
  <c r="DY374" i="3" s="1"/>
  <c r="BB374" i="3" s="1"/>
  <c r="BA374" i="3" s="1"/>
  <c r="AZ374" i="3" s="1"/>
  <c r="AQ389" i="3"/>
  <c r="DY389" i="3" s="1"/>
  <c r="BB389" i="3" s="1"/>
  <c r="BA389" i="3" s="1"/>
  <c r="AZ389" i="3" s="1"/>
  <c r="BM390" i="3"/>
  <c r="AQ394" i="3"/>
  <c r="DY394" i="3" s="1"/>
  <c r="BB394" i="3" s="1"/>
  <c r="BA394" i="3" s="1"/>
  <c r="AZ394" i="3" s="1"/>
  <c r="AQ399" i="3"/>
  <c r="DY399" i="3" s="1"/>
  <c r="BB399" i="3" s="1"/>
  <c r="BA399" i="3" s="1"/>
  <c r="AZ399" i="3" s="1"/>
  <c r="AQ423" i="3"/>
  <c r="DY423" i="3" s="1"/>
  <c r="BB423" i="3" s="1"/>
  <c r="BA423" i="3" s="1"/>
  <c r="AZ423" i="3" s="1"/>
  <c r="BM433" i="3"/>
  <c r="AQ443" i="3"/>
  <c r="DY443" i="3" s="1"/>
  <c r="BB443" i="3" s="1"/>
  <c r="BA443" i="3" s="1"/>
  <c r="AZ443" i="3" s="1"/>
  <c r="AQ461" i="3"/>
  <c r="DY461" i="3" s="1"/>
  <c r="BB461" i="3" s="1"/>
  <c r="BA461" i="3" s="1"/>
  <c r="AZ461" i="3" s="1"/>
  <c r="AQ475" i="3"/>
  <c r="DY475" i="3" s="1"/>
  <c r="BB475" i="3" s="1"/>
  <c r="BA475" i="3" s="1"/>
  <c r="AZ475" i="3" s="1"/>
  <c r="AQ491" i="3"/>
  <c r="DY491" i="3" s="1"/>
  <c r="BB491" i="3" s="1"/>
  <c r="BA491" i="3" s="1"/>
  <c r="AZ491" i="3" s="1"/>
  <c r="AQ449" i="3"/>
  <c r="DY449" i="3" s="1"/>
  <c r="BB449" i="3" s="1"/>
  <c r="BA449" i="3" s="1"/>
  <c r="AZ449" i="3" s="1"/>
  <c r="AQ417" i="3"/>
  <c r="DY417" i="3" s="1"/>
  <c r="BB417" i="3" s="1"/>
  <c r="BA417" i="3" s="1"/>
  <c r="AZ417" i="3" s="1"/>
  <c r="AQ385" i="3"/>
  <c r="DY385" i="3" s="1"/>
  <c r="BB385" i="3" s="1"/>
  <c r="BA385" i="3" s="1"/>
  <c r="AZ385" i="3" s="1"/>
  <c r="AQ321" i="3"/>
  <c r="DY321" i="3" s="1"/>
  <c r="BB321" i="3" s="1"/>
  <c r="BA321" i="3" s="1"/>
  <c r="AZ321" i="3" s="1"/>
  <c r="AQ289" i="3"/>
  <c r="DY289" i="3" s="1"/>
  <c r="BB289" i="3" s="1"/>
  <c r="BA289" i="3" s="1"/>
  <c r="AZ289" i="3" s="1"/>
  <c r="AQ225" i="3"/>
  <c r="DY225" i="3" s="1"/>
  <c r="BB225" i="3" s="1"/>
  <c r="BA225" i="3" s="1"/>
  <c r="AZ225" i="3" s="1"/>
  <c r="AQ279" i="3"/>
  <c r="DY279" i="3" s="1"/>
  <c r="BB279" i="3" s="1"/>
  <c r="BA279" i="3" s="1"/>
  <c r="AZ279" i="3" s="1"/>
  <c r="AQ350" i="3"/>
  <c r="DY350" i="3" s="1"/>
  <c r="BB350" i="3" s="1"/>
  <c r="BA350" i="3" s="1"/>
  <c r="AZ350" i="3" s="1"/>
  <c r="AQ494" i="3"/>
  <c r="DY494" i="3" s="1"/>
  <c r="BB494" i="3" s="1"/>
  <c r="BA494" i="3" s="1"/>
  <c r="AZ494" i="3" s="1"/>
  <c r="AQ409" i="3"/>
  <c r="DY409" i="3" s="1"/>
  <c r="BB409" i="3" s="1"/>
  <c r="BA409" i="3" s="1"/>
  <c r="AZ409" i="3" s="1"/>
  <c r="AQ249" i="3"/>
  <c r="DY249" i="3" s="1"/>
  <c r="BB249" i="3" s="1"/>
  <c r="BA249" i="3" s="1"/>
  <c r="AZ249" i="3" s="1"/>
  <c r="AQ298" i="3"/>
  <c r="DY298" i="3" s="1"/>
  <c r="BB298" i="3" s="1"/>
  <c r="BA298" i="3" s="1"/>
  <c r="AZ298" i="3" s="1"/>
  <c r="AQ428" i="3"/>
  <c r="DY428" i="3" s="1"/>
  <c r="BB428" i="3" s="1"/>
  <c r="BA428" i="3" s="1"/>
  <c r="AZ428" i="3" s="1"/>
  <c r="BM429" i="3"/>
  <c r="AQ492" i="3"/>
  <c r="DY492" i="3" s="1"/>
  <c r="BB492" i="3" s="1"/>
  <c r="BA492" i="3" s="1"/>
  <c r="AZ492" i="3" s="1"/>
  <c r="AQ440" i="3"/>
  <c r="DY440" i="3" s="1"/>
  <c r="BB440" i="3" s="1"/>
  <c r="BA440" i="3" s="1"/>
  <c r="AZ440" i="3" s="1"/>
  <c r="AQ238" i="3"/>
  <c r="DY238" i="3" s="1"/>
  <c r="BB238" i="3" s="1"/>
  <c r="BA238" i="3" s="1"/>
  <c r="AZ238" i="3" s="1"/>
  <c r="BM226" i="3"/>
  <c r="AQ227" i="3"/>
  <c r="DY227" i="3" s="1"/>
  <c r="BB227" i="3" s="1"/>
  <c r="BA227" i="3" s="1"/>
  <c r="AZ227" i="3" s="1"/>
  <c r="BM228" i="3"/>
  <c r="AQ246" i="3"/>
  <c r="DY246" i="3" s="1"/>
  <c r="BB246" i="3" s="1"/>
  <c r="BA246" i="3" s="1"/>
  <c r="AZ246" i="3" s="1"/>
  <c r="BM247" i="3"/>
  <c r="AQ260" i="3"/>
  <c r="DY260" i="3" s="1"/>
  <c r="BB260" i="3" s="1"/>
  <c r="BA260" i="3" s="1"/>
  <c r="AZ260" i="3" s="1"/>
  <c r="AQ268" i="3"/>
  <c r="DY268" i="3" s="1"/>
  <c r="BB268" i="3" s="1"/>
  <c r="BA268" i="3" s="1"/>
  <c r="AZ268" i="3" s="1"/>
  <c r="AM272" i="3"/>
  <c r="BM272" i="3"/>
  <c r="AQ274" i="3"/>
  <c r="DY274" i="3" s="1"/>
  <c r="BB274" i="3" s="1"/>
  <c r="BA274" i="3" s="1"/>
  <c r="AZ274" i="3" s="1"/>
  <c r="AQ278" i="3"/>
  <c r="DY278" i="3" s="1"/>
  <c r="BB278" i="3" s="1"/>
  <c r="BA278" i="3" s="1"/>
  <c r="AZ278" i="3" s="1"/>
  <c r="AQ282" i="3"/>
  <c r="DY282" i="3" s="1"/>
  <c r="BB282" i="3" s="1"/>
  <c r="BA282" i="3" s="1"/>
  <c r="AZ282" i="3" s="1"/>
  <c r="BM283" i="3"/>
  <c r="AQ293" i="3"/>
  <c r="DY293" i="3" s="1"/>
  <c r="BB293" i="3" s="1"/>
  <c r="BA293" i="3" s="1"/>
  <c r="AZ293" i="3" s="1"/>
  <c r="AQ295" i="3"/>
  <c r="DY295" i="3" s="1"/>
  <c r="BB295" i="3" s="1"/>
  <c r="BA295" i="3" s="1"/>
  <c r="AZ295" i="3" s="1"/>
  <c r="AQ318" i="3"/>
  <c r="DY318" i="3" s="1"/>
  <c r="BB318" i="3" s="1"/>
  <c r="BA318" i="3" s="1"/>
  <c r="AZ318" i="3" s="1"/>
  <c r="AQ324" i="3"/>
  <c r="DY324" i="3" s="1"/>
  <c r="BB324" i="3" s="1"/>
  <c r="BA324" i="3" s="1"/>
  <c r="AZ324" i="3" s="1"/>
  <c r="BM325" i="3"/>
  <c r="BM328" i="3"/>
  <c r="AM330" i="3"/>
  <c r="BM330" i="3"/>
  <c r="AQ334" i="3"/>
  <c r="DY334" i="3" s="1"/>
  <c r="BB334" i="3" s="1"/>
  <c r="BA334" i="3" s="1"/>
  <c r="AZ334" i="3" s="1"/>
  <c r="AQ338" i="3"/>
  <c r="DY338" i="3" s="1"/>
  <c r="BB338" i="3" s="1"/>
  <c r="BA338" i="3" s="1"/>
  <c r="AZ338" i="3" s="1"/>
  <c r="AQ339" i="3"/>
  <c r="DY339" i="3" s="1"/>
  <c r="BB339" i="3" s="1"/>
  <c r="BA339" i="3" s="1"/>
  <c r="AZ339" i="3" s="1"/>
  <c r="AM347" i="3"/>
  <c r="BM353" i="3"/>
  <c r="AQ356" i="3"/>
  <c r="DY356" i="3" s="1"/>
  <c r="BB356" i="3" s="1"/>
  <c r="BA356" i="3" s="1"/>
  <c r="AZ356" i="3" s="1"/>
  <c r="AQ367" i="3"/>
  <c r="DY367" i="3" s="1"/>
  <c r="BB367" i="3" s="1"/>
  <c r="BA367" i="3" s="1"/>
  <c r="AZ367" i="3" s="1"/>
  <c r="AM376" i="3"/>
  <c r="BM376" i="3"/>
  <c r="AQ378" i="3"/>
  <c r="DY378" i="3" s="1"/>
  <c r="BB378" i="3" s="1"/>
  <c r="BA378" i="3" s="1"/>
  <c r="AZ378" i="3" s="1"/>
  <c r="AM383" i="3"/>
  <c r="AQ395" i="3"/>
  <c r="DY395" i="3" s="1"/>
  <c r="BB395" i="3" s="1"/>
  <c r="BA395" i="3" s="1"/>
  <c r="AZ395" i="3" s="1"/>
  <c r="BM396" i="3"/>
  <c r="AQ403" i="3"/>
  <c r="DY403" i="3" s="1"/>
  <c r="BB403" i="3" s="1"/>
  <c r="BA403" i="3" s="1"/>
  <c r="AZ403" i="3" s="1"/>
  <c r="AQ406" i="3"/>
  <c r="DY406" i="3" s="1"/>
  <c r="BB406" i="3" s="1"/>
  <c r="BA406" i="3" s="1"/>
  <c r="AZ406" i="3" s="1"/>
  <c r="AQ410" i="3"/>
  <c r="DY410" i="3" s="1"/>
  <c r="BB410" i="3" s="1"/>
  <c r="BA410" i="3" s="1"/>
  <c r="AZ410" i="3" s="1"/>
  <c r="BM411" i="3"/>
  <c r="AM415" i="3"/>
  <c r="AQ419" i="3"/>
  <c r="DY419" i="3" s="1"/>
  <c r="BB419" i="3" s="1"/>
  <c r="BA419" i="3" s="1"/>
  <c r="AZ419" i="3" s="1"/>
  <c r="AQ420" i="3"/>
  <c r="DY420" i="3" s="1"/>
  <c r="BB420" i="3" s="1"/>
  <c r="BA420" i="3" s="1"/>
  <c r="AZ420" i="3" s="1"/>
  <c r="AM426" i="3"/>
  <c r="AQ446" i="3"/>
  <c r="DY446" i="3" s="1"/>
  <c r="BB446" i="3" s="1"/>
  <c r="BA446" i="3" s="1"/>
  <c r="AZ446" i="3" s="1"/>
  <c r="AM482" i="3"/>
  <c r="AM494" i="3"/>
  <c r="AQ493" i="3"/>
  <c r="DY493" i="3" s="1"/>
  <c r="BB493" i="3" s="1"/>
  <c r="BA493" i="3" s="1"/>
  <c r="AZ493" i="3" s="1"/>
  <c r="BM494" i="3"/>
  <c r="AM508" i="3"/>
  <c r="AQ480" i="3"/>
  <c r="DY480" i="3" s="1"/>
  <c r="BB480" i="3" s="1"/>
  <c r="BA480" i="3" s="1"/>
  <c r="AZ480" i="3" s="1"/>
  <c r="AQ448" i="3"/>
  <c r="DY448" i="3" s="1"/>
  <c r="BB448" i="3" s="1"/>
  <c r="BA448" i="3" s="1"/>
  <c r="AZ448" i="3" s="1"/>
  <c r="AQ416" i="3"/>
  <c r="DY416" i="3" s="1"/>
  <c r="BB416" i="3" s="1"/>
  <c r="BA416" i="3" s="1"/>
  <c r="AZ416" i="3" s="1"/>
  <c r="AQ384" i="3"/>
  <c r="DY384" i="3" s="1"/>
  <c r="BB384" i="3" s="1"/>
  <c r="BA384" i="3" s="1"/>
  <c r="AZ384" i="3" s="1"/>
  <c r="AQ352" i="3"/>
  <c r="DY352" i="3" s="1"/>
  <c r="BB352" i="3" s="1"/>
  <c r="BA352" i="3" s="1"/>
  <c r="AZ352" i="3" s="1"/>
  <c r="AQ288" i="3"/>
  <c r="DY288" i="3" s="1"/>
  <c r="BB288" i="3" s="1"/>
  <c r="BA288" i="3" s="1"/>
  <c r="AZ288" i="3" s="1"/>
  <c r="BM451" i="3"/>
  <c r="BM460" i="3"/>
  <c r="BM465" i="3"/>
  <c r="BM512" i="3"/>
  <c r="BM515" i="3"/>
  <c r="BM520" i="3"/>
  <c r="AQ519" i="3"/>
  <c r="DY519" i="3" s="1"/>
  <c r="BB519" i="3" s="1"/>
  <c r="BA519" i="3" s="1"/>
  <c r="AZ519" i="3" s="1"/>
  <c r="AQ511" i="3"/>
  <c r="DY511" i="3" s="1"/>
  <c r="BB511" i="3" s="1"/>
  <c r="BA511" i="3" s="1"/>
  <c r="AZ511" i="3" s="1"/>
  <c r="AQ503" i="3"/>
  <c r="DY503" i="3" s="1"/>
  <c r="BB503" i="3" s="1"/>
  <c r="BA503" i="3" s="1"/>
  <c r="AZ503" i="3" s="1"/>
  <c r="AQ479" i="3"/>
  <c r="DY479" i="3" s="1"/>
  <c r="BB479" i="3" s="1"/>
  <c r="BA479" i="3" s="1"/>
  <c r="AZ479" i="3" s="1"/>
  <c r="AQ471" i="3"/>
  <c r="DY471" i="3" s="1"/>
  <c r="BB471" i="3" s="1"/>
  <c r="BA471" i="3" s="1"/>
  <c r="AZ471" i="3" s="1"/>
  <c r="AQ463" i="3"/>
  <c r="DY463" i="3" s="1"/>
  <c r="BB463" i="3" s="1"/>
  <c r="BA463" i="3" s="1"/>
  <c r="AZ463" i="3" s="1"/>
  <c r="AQ447" i="3"/>
  <c r="DY447" i="3" s="1"/>
  <c r="BB447" i="3" s="1"/>
  <c r="BA447" i="3" s="1"/>
  <c r="AZ447" i="3" s="1"/>
  <c r="AQ439" i="3"/>
  <c r="DY439" i="3" s="1"/>
  <c r="BB439" i="3" s="1"/>
  <c r="BA439" i="3" s="1"/>
  <c r="AZ439" i="3" s="1"/>
  <c r="AM478" i="3"/>
  <c r="AM490" i="3"/>
  <c r="AM506" i="3"/>
  <c r="BM517" i="3"/>
  <c r="BM519" i="3"/>
  <c r="AM523" i="3"/>
  <c r="BM523" i="3"/>
  <c r="AQ510" i="3"/>
  <c r="DY510" i="3" s="1"/>
  <c r="BB510" i="3" s="1"/>
  <c r="BA510" i="3" s="1"/>
  <c r="AZ510" i="3" s="1"/>
  <c r="AQ502" i="3"/>
  <c r="DY502" i="3" s="1"/>
  <c r="BB502" i="3" s="1"/>
  <c r="BA502" i="3" s="1"/>
  <c r="AZ502" i="3" s="1"/>
  <c r="AQ478" i="3"/>
  <c r="DY478" i="3" s="1"/>
  <c r="BB478" i="3" s="1"/>
  <c r="BA478" i="3" s="1"/>
  <c r="AZ478" i="3" s="1"/>
  <c r="AM436" i="3"/>
  <c r="BM437" i="3"/>
  <c r="BM478" i="3"/>
  <c r="AM486" i="3"/>
  <c r="BM490" i="3"/>
  <c r="AQ517" i="3"/>
  <c r="DY517" i="3" s="1"/>
  <c r="BB517" i="3" s="1"/>
  <c r="BA517" i="3" s="1"/>
  <c r="AZ517" i="3" s="1"/>
  <c r="AQ509" i="3"/>
  <c r="DY509" i="3" s="1"/>
  <c r="BB509" i="3" s="1"/>
  <c r="BA509" i="3" s="1"/>
  <c r="AZ509" i="3" s="1"/>
  <c r="AQ501" i="3"/>
  <c r="DY501" i="3" s="1"/>
  <c r="BB501" i="3" s="1"/>
  <c r="BA501" i="3" s="1"/>
  <c r="AZ501" i="3" s="1"/>
  <c r="AQ485" i="3"/>
  <c r="DY485" i="3" s="1"/>
  <c r="BB485" i="3" s="1"/>
  <c r="BA485" i="3" s="1"/>
  <c r="AZ485" i="3" s="1"/>
  <c r="AQ477" i="3"/>
  <c r="DY477" i="3" s="1"/>
  <c r="BB477" i="3" s="1"/>
  <c r="BA477" i="3" s="1"/>
  <c r="AZ477" i="3" s="1"/>
  <c r="AQ453" i="3"/>
  <c r="DY453" i="3" s="1"/>
  <c r="BB453" i="3" s="1"/>
  <c r="BA453" i="3" s="1"/>
  <c r="AZ453" i="3" s="1"/>
  <c r="AQ445" i="3"/>
  <c r="DY445" i="3" s="1"/>
  <c r="BB445" i="3" s="1"/>
  <c r="BA445" i="3" s="1"/>
  <c r="AZ445" i="3" s="1"/>
  <c r="AQ437" i="3"/>
  <c r="DY437" i="3" s="1"/>
  <c r="BB437" i="3" s="1"/>
  <c r="BA437" i="3" s="1"/>
  <c r="AZ437" i="3" s="1"/>
  <c r="AM434" i="3"/>
  <c r="AM441" i="3"/>
  <c r="AM511" i="3"/>
  <c r="AM516" i="3"/>
  <c r="AQ508" i="3"/>
  <c r="DY508" i="3" s="1"/>
  <c r="BB508" i="3" s="1"/>
  <c r="BA508" i="3" s="1"/>
  <c r="AZ508" i="3" s="1"/>
  <c r="AQ476" i="3"/>
  <c r="DY476" i="3" s="1"/>
  <c r="BB476" i="3" s="1"/>
  <c r="BA476" i="3" s="1"/>
  <c r="AZ476" i="3" s="1"/>
  <c r="AQ468" i="3"/>
  <c r="DY468" i="3" s="1"/>
  <c r="BB468" i="3" s="1"/>
  <c r="BA468" i="3" s="1"/>
  <c r="AZ468" i="3" s="1"/>
  <c r="AQ460" i="3"/>
  <c r="DY460" i="3" s="1"/>
  <c r="BB460" i="3" s="1"/>
  <c r="BA460" i="3" s="1"/>
  <c r="AZ460" i="3" s="1"/>
  <c r="AQ452" i="3"/>
  <c r="DY452" i="3" s="1"/>
  <c r="BB452" i="3" s="1"/>
  <c r="BA452" i="3" s="1"/>
  <c r="AZ452" i="3" s="1"/>
  <c r="AQ436" i="3"/>
  <c r="DY436" i="3" s="1"/>
  <c r="BB436" i="3" s="1"/>
  <c r="BA436" i="3" s="1"/>
  <c r="AZ436" i="3" s="1"/>
  <c r="BM434" i="3"/>
  <c r="AM461" i="3"/>
  <c r="BM461" i="3"/>
  <c r="AM468" i="3"/>
  <c r="BM475" i="3"/>
  <c r="AM497" i="3"/>
  <c r="BM511" i="3"/>
  <c r="BM516" i="3"/>
  <c r="AM518" i="3"/>
  <c r="AM521" i="3"/>
  <c r="AQ515" i="3"/>
  <c r="DY515" i="3" s="1"/>
  <c r="BB515" i="3" s="1"/>
  <c r="BA515" i="3" s="1"/>
  <c r="AZ515" i="3" s="1"/>
  <c r="AQ499" i="3"/>
  <c r="DY499" i="3" s="1"/>
  <c r="BB499" i="3" s="1"/>
  <c r="BA499" i="3" s="1"/>
  <c r="AZ499" i="3" s="1"/>
  <c r="AQ467" i="3"/>
  <c r="DY467" i="3" s="1"/>
  <c r="BB467" i="3" s="1"/>
  <c r="BA467" i="3" s="1"/>
  <c r="AZ467" i="3" s="1"/>
  <c r="AQ435" i="3"/>
  <c r="DY435" i="3" s="1"/>
  <c r="BB435" i="3" s="1"/>
  <c r="BA435" i="3" s="1"/>
  <c r="AZ435" i="3" s="1"/>
  <c r="BM438" i="3"/>
  <c r="BM468" i="3"/>
  <c r="BM505" i="3"/>
  <c r="BM521" i="3"/>
  <c r="AQ522" i="3"/>
  <c r="DY522" i="3" s="1"/>
  <c r="BB522" i="3" s="1"/>
  <c r="BA522" i="3" s="1"/>
  <c r="AZ522" i="3" s="1"/>
  <c r="AQ514" i="3"/>
  <c r="DY514" i="3" s="1"/>
  <c r="BB514" i="3" s="1"/>
  <c r="BA514" i="3" s="1"/>
  <c r="AZ514" i="3" s="1"/>
  <c r="AQ490" i="3"/>
  <c r="DY490" i="3" s="1"/>
  <c r="BB490" i="3" s="1"/>
  <c r="BA490" i="3" s="1"/>
  <c r="AZ490" i="3" s="1"/>
  <c r="AQ482" i="3"/>
  <c r="DY482" i="3" s="1"/>
  <c r="BB482" i="3" s="1"/>
  <c r="BA482" i="3" s="1"/>
  <c r="AZ482" i="3" s="1"/>
  <c r="AQ474" i="3"/>
  <c r="DY474" i="3" s="1"/>
  <c r="BB474" i="3" s="1"/>
  <c r="BA474" i="3" s="1"/>
  <c r="AZ474" i="3" s="1"/>
  <c r="AQ466" i="3"/>
  <c r="DY466" i="3" s="1"/>
  <c r="BB466" i="3" s="1"/>
  <c r="BA466" i="3" s="1"/>
  <c r="AZ466" i="3" s="1"/>
  <c r="AQ450" i="3"/>
  <c r="DY450" i="3" s="1"/>
  <c r="BB450" i="3" s="1"/>
  <c r="BA450" i="3" s="1"/>
  <c r="AZ450" i="3" s="1"/>
  <c r="AQ434" i="3"/>
  <c r="DY434" i="3" s="1"/>
  <c r="BB434" i="3" s="1"/>
  <c r="BA434" i="3" s="1"/>
  <c r="AZ434" i="3" s="1"/>
  <c r="DX267" i="3"/>
  <c r="BL267" i="3" s="1"/>
  <c r="DX301" i="3"/>
  <c r="BL301" i="3" s="1"/>
  <c r="DX314" i="3"/>
  <c r="BL314" i="3" s="1"/>
  <c r="DX332" i="3"/>
  <c r="BL332" i="3" s="1"/>
  <c r="DX356" i="3"/>
  <c r="BL356" i="3" s="1"/>
  <c r="DX441" i="3"/>
  <c r="BL441" i="3" s="1"/>
  <c r="DX224" i="3"/>
  <c r="BL224" i="3" s="1"/>
  <c r="DX243" i="3"/>
  <c r="BL243" i="3" s="1"/>
  <c r="DX253" i="3"/>
  <c r="BL253" i="3" s="1"/>
  <c r="DX305" i="3"/>
  <c r="BL305" i="3" s="1"/>
  <c r="DX249" i="3"/>
  <c r="BL249" i="3" s="1"/>
  <c r="DX349" i="3"/>
  <c r="BL349" i="3" s="1"/>
  <c r="DX478" i="3"/>
  <c r="BL478" i="3" s="1"/>
  <c r="DX489" i="3"/>
  <c r="BL489" i="3" s="1"/>
  <c r="DX499" i="3"/>
  <c r="BL499" i="3" s="1"/>
  <c r="DX503" i="3"/>
  <c r="BL503" i="3" s="1"/>
  <c r="DX514" i="3"/>
  <c r="BL514" i="3" s="1"/>
  <c r="DX523" i="3"/>
  <c r="BL523" i="3" s="1"/>
  <c r="DX358" i="3"/>
  <c r="BL358" i="3" s="1"/>
  <c r="DX465" i="3"/>
  <c r="BL465" i="3" s="1"/>
  <c r="DX494" i="3"/>
  <c r="BL494" i="3" s="1"/>
  <c r="DX517" i="3"/>
  <c r="BL517" i="3" s="1"/>
  <c r="DX519" i="3"/>
  <c r="BL519" i="3" s="1"/>
  <c r="DX246" i="3"/>
  <c r="BL246" i="3" s="1"/>
  <c r="DX293" i="3"/>
  <c r="BL293" i="3" s="1"/>
  <c r="DX329" i="3"/>
  <c r="BL329" i="3" s="1"/>
  <c r="DX363" i="3"/>
  <c r="BL363" i="3" s="1"/>
  <c r="DX412" i="3"/>
  <c r="BL412" i="3" s="1"/>
  <c r="DX508" i="3"/>
  <c r="BL508" i="3" s="1"/>
  <c r="DX510" i="3"/>
  <c r="BL510" i="3" s="1"/>
  <c r="DX516" i="3"/>
  <c r="BL516" i="3" s="1"/>
  <c r="DX279" i="3"/>
  <c r="BL279" i="3" s="1"/>
  <c r="DX381" i="3"/>
  <c r="BL381" i="3" s="1"/>
  <c r="DX390" i="3"/>
  <c r="BL390" i="3" s="1"/>
  <c r="DX407" i="3"/>
  <c r="BL407" i="3" s="1"/>
  <c r="DX445" i="3"/>
  <c r="BL445" i="3" s="1"/>
  <c r="DX284" i="3"/>
  <c r="BL284" i="3" s="1"/>
  <c r="DX283" i="3"/>
  <c r="BL283" i="3" s="1"/>
  <c r="DX247" i="3"/>
  <c r="BL247" i="3" s="1"/>
  <c r="DX357" i="3"/>
  <c r="BL357" i="3" s="1"/>
  <c r="DX377" i="3"/>
  <c r="BL377" i="3" s="1"/>
  <c r="DX415" i="3"/>
  <c r="BL415" i="3" s="1"/>
  <c r="DX416" i="3"/>
  <c r="BL416" i="3" s="1"/>
  <c r="DX418" i="3"/>
  <c r="BL418" i="3" s="1"/>
  <c r="DX429" i="3"/>
  <c r="BL429" i="3" s="1"/>
  <c r="DX430" i="3"/>
  <c r="BL430" i="3" s="1"/>
  <c r="DX433" i="3"/>
  <c r="BL433" i="3" s="1"/>
  <c r="DX434" i="3"/>
  <c r="BL434" i="3" s="1"/>
  <c r="DX446" i="3"/>
  <c r="BL446" i="3" s="1"/>
  <c r="DX506" i="3"/>
  <c r="BL506" i="3" s="1"/>
  <c r="DX507" i="3"/>
  <c r="BL507" i="3" s="1"/>
  <c r="DX509" i="3"/>
  <c r="BL509" i="3" s="1"/>
  <c r="DX513" i="3"/>
  <c r="BL513" i="3" s="1"/>
  <c r="DX239" i="3"/>
  <c r="BL239" i="3" s="1"/>
  <c r="DX327" i="3"/>
  <c r="BL327" i="3" s="1"/>
  <c r="DX230" i="3"/>
  <c r="BL230" i="3" s="1"/>
  <c r="DX236" i="3"/>
  <c r="BL236" i="3" s="1"/>
  <c r="DX231" i="3"/>
  <c r="BL231" i="3" s="1"/>
  <c r="DX232" i="3"/>
  <c r="BL232" i="3" s="1"/>
  <c r="DX234" i="3"/>
  <c r="BL234" i="3" s="1"/>
  <c r="DX235" i="3"/>
  <c r="BL235" i="3" s="1"/>
  <c r="DX241" i="3"/>
  <c r="BL241" i="3" s="1"/>
  <c r="DX250" i="3"/>
  <c r="BL250" i="3" s="1"/>
  <c r="DX281" i="3"/>
  <c r="BL281" i="3" s="1"/>
  <c r="DX373" i="3"/>
  <c r="BL373" i="3" s="1"/>
  <c r="DX395" i="3"/>
  <c r="BL395" i="3" s="1"/>
  <c r="DX396" i="3"/>
  <c r="BL396" i="3" s="1"/>
  <c r="DX451" i="3"/>
  <c r="BL451" i="3" s="1"/>
  <c r="DX471" i="3"/>
  <c r="BL471" i="3" s="1"/>
  <c r="DX512" i="3"/>
  <c r="BL512" i="3" s="1"/>
  <c r="DX520" i="3"/>
  <c r="BL520" i="3" s="1"/>
  <c r="DX240" i="3"/>
  <c r="BL240" i="3" s="1"/>
  <c r="DX251" i="3"/>
  <c r="BL251" i="3" s="1"/>
  <c r="DX245" i="3"/>
  <c r="BL245" i="3" s="1"/>
  <c r="DX288" i="3"/>
  <c r="BL288" i="3" s="1"/>
  <c r="DX292" i="3"/>
  <c r="BL292" i="3" s="1"/>
  <c r="DX254" i="3"/>
  <c r="BL254" i="3" s="1"/>
  <c r="DX258" i="3"/>
  <c r="BL258" i="3" s="1"/>
  <c r="DX276" i="3"/>
  <c r="BL276" i="3" s="1"/>
  <c r="DX309" i="3"/>
  <c r="BL309" i="3" s="1"/>
  <c r="DX336" i="3"/>
  <c r="BL336" i="3" s="1"/>
  <c r="DX400" i="3"/>
  <c r="BL400" i="3" s="1"/>
  <c r="DX413" i="3"/>
  <c r="BL413" i="3" s="1"/>
  <c r="DX437" i="3"/>
  <c r="BL437" i="3" s="1"/>
  <c r="DX486" i="3"/>
  <c r="BL486" i="3" s="1"/>
  <c r="DX501" i="3"/>
  <c r="BL501" i="3" s="1"/>
  <c r="DX502" i="3"/>
  <c r="BL502" i="3" s="1"/>
  <c r="AD435" i="3"/>
  <c r="AC435" i="3"/>
  <c r="AJ435" i="3" s="1"/>
  <c r="DX442" i="3"/>
  <c r="BL442" i="3" s="1"/>
  <c r="DX464" i="3"/>
  <c r="BL464" i="3" s="1"/>
  <c r="AF322" i="3"/>
  <c r="AC322" i="3"/>
  <c r="AJ322" i="3" s="1"/>
  <c r="AD395" i="3"/>
  <c r="AF395" i="3"/>
  <c r="AC395" i="3"/>
  <c r="AJ395" i="3" s="1"/>
  <c r="AD415" i="3"/>
  <c r="AF415" i="3"/>
  <c r="DX425" i="3"/>
  <c r="BL425" i="3" s="1"/>
  <c r="DX426" i="3"/>
  <c r="BL426" i="3" s="1"/>
  <c r="DX431" i="3"/>
  <c r="BL431" i="3" s="1"/>
  <c r="DX432" i="3"/>
  <c r="BL432" i="3" s="1"/>
  <c r="AD227" i="3"/>
  <c r="AD228" i="3"/>
  <c r="AD249" i="3"/>
  <c r="AF265" i="3"/>
  <c r="AD283" i="3"/>
  <c r="AD287" i="3"/>
  <c r="AF295" i="3"/>
  <c r="AC301" i="3"/>
  <c r="AJ301" i="3" s="1"/>
  <c r="AF301" i="3"/>
  <c r="AD301" i="3"/>
  <c r="AD346" i="3"/>
  <c r="AF348" i="3"/>
  <c r="AD348" i="3"/>
  <c r="AC348" i="3"/>
  <c r="AJ348" i="3" s="1"/>
  <c r="AF356" i="3"/>
  <c r="AD356" i="3"/>
  <c r="AC356" i="3"/>
  <c r="AJ356" i="3" s="1"/>
  <c r="AF363" i="3"/>
  <c r="AD363" i="3"/>
  <c r="AD377" i="3"/>
  <c r="AF377" i="3"/>
  <c r="AC377" i="3"/>
  <c r="AJ377" i="3" s="1"/>
  <c r="AM424" i="3"/>
  <c r="AF430" i="3"/>
  <c r="AD430" i="3"/>
  <c r="AC430" i="3"/>
  <c r="AJ430" i="3" s="1"/>
  <c r="BM431" i="3"/>
  <c r="AM431" i="3"/>
  <c r="DX438" i="3"/>
  <c r="BL438" i="3" s="1"/>
  <c r="BM443" i="3"/>
  <c r="AM443" i="3"/>
  <c r="BM456" i="3"/>
  <c r="AC237" i="3"/>
  <c r="AJ237" i="3" s="1"/>
  <c r="AC227" i="3"/>
  <c r="AJ227" i="3" s="1"/>
  <c r="AC228" i="3"/>
  <c r="AJ228" i="3" s="1"/>
  <c r="AF229" i="3"/>
  <c r="DX229" i="3"/>
  <c r="BL229" i="3" s="1"/>
  <c r="AC235" i="3"/>
  <c r="AJ235" i="3" s="1"/>
  <c r="AD236" i="3"/>
  <c r="AD237" i="3"/>
  <c r="DX238" i="3"/>
  <c r="BL238" i="3" s="1"/>
  <c r="AF243" i="3"/>
  <c r="DX248" i="3"/>
  <c r="BL248" i="3" s="1"/>
  <c r="AD268" i="3"/>
  <c r="AF269" i="3"/>
  <c r="AF271" i="3"/>
  <c r="AC277" i="3"/>
  <c r="AJ277" i="3" s="1"/>
  <c r="AD280" i="3"/>
  <c r="AD307" i="3"/>
  <c r="AF307" i="3"/>
  <c r="AC363" i="3"/>
  <c r="AJ363" i="3" s="1"/>
  <c r="AC370" i="3"/>
  <c r="AJ370" i="3" s="1"/>
  <c r="AC408" i="3"/>
  <c r="AJ408" i="3" s="1"/>
  <c r="DX424" i="3"/>
  <c r="BL424" i="3" s="1"/>
  <c r="AF426" i="3"/>
  <c r="AD426" i="3"/>
  <c r="AC426" i="3"/>
  <c r="AJ426" i="3" s="1"/>
  <c r="DX427" i="3"/>
  <c r="BL427" i="3" s="1"/>
  <c r="DX428" i="3"/>
  <c r="BL428" i="3" s="1"/>
  <c r="AD431" i="3"/>
  <c r="AC431" i="3"/>
  <c r="AJ431" i="3" s="1"/>
  <c r="AF435" i="3"/>
  <c r="BM436" i="3"/>
  <c r="DY451" i="3"/>
  <c r="BB451" i="3" s="1"/>
  <c r="BA451" i="3" s="1"/>
  <c r="AZ451" i="3" s="1"/>
  <c r="AF459" i="3"/>
  <c r="AD459" i="3"/>
  <c r="AF224" i="3"/>
  <c r="AC234" i="3"/>
  <c r="AD235" i="3"/>
  <c r="AF236" i="3"/>
  <c r="DX237" i="3"/>
  <c r="BL237" i="3" s="1"/>
  <c r="AC249" i="3"/>
  <c r="DX259" i="3"/>
  <c r="BL259" i="3" s="1"/>
  <c r="AD265" i="3"/>
  <c r="AF290" i="3"/>
  <c r="AF292" i="3"/>
  <c r="DX312" i="3"/>
  <c r="BL312" i="3" s="1"/>
  <c r="AF316" i="3"/>
  <c r="AD316" i="3"/>
  <c r="AD325" i="3"/>
  <c r="AF325" i="3"/>
  <c r="DX330" i="3"/>
  <c r="BL330" i="3" s="1"/>
  <c r="AC335" i="3"/>
  <c r="AJ335" i="3" s="1"/>
  <c r="AF335" i="3"/>
  <c r="AD335" i="3"/>
  <c r="AC372" i="3"/>
  <c r="AJ372" i="3" s="1"/>
  <c r="AD372" i="3"/>
  <c r="AD381" i="3"/>
  <c r="AF381" i="3"/>
  <c r="AC381" i="3"/>
  <c r="AJ381" i="3" s="1"/>
  <c r="AF392" i="3"/>
  <c r="AD419" i="3"/>
  <c r="AF419" i="3"/>
  <c r="BM427" i="3"/>
  <c r="AM427" i="3"/>
  <c r="BM432" i="3"/>
  <c r="BM448" i="3"/>
  <c r="DX280" i="3"/>
  <c r="BL280" i="3" s="1"/>
  <c r="AF226" i="3"/>
  <c r="AC233" i="3"/>
  <c r="AJ233" i="3" s="1"/>
  <c r="AC305" i="3"/>
  <c r="AJ305" i="3" s="1"/>
  <c r="AF305" i="3"/>
  <c r="AD305" i="3"/>
  <c r="AF344" i="3"/>
  <c r="AD344" i="3"/>
  <c r="AC344" i="3"/>
  <c r="AJ344" i="3" s="1"/>
  <c r="AF352" i="3"/>
  <c r="AD352" i="3"/>
  <c r="AC352" i="3"/>
  <c r="AJ352" i="3" s="1"/>
  <c r="AD373" i="3"/>
  <c r="AF373" i="3"/>
  <c r="AF397" i="3"/>
  <c r="AD397" i="3"/>
  <c r="AC397" i="3"/>
  <c r="AJ397" i="3" s="1"/>
  <c r="AF438" i="3"/>
  <c r="AD438" i="3"/>
  <c r="AC438" i="3"/>
  <c r="AJ438" i="3" s="1"/>
  <c r="BM439" i="3"/>
  <c r="AM439" i="3"/>
  <c r="DX439" i="3"/>
  <c r="BL439" i="3" s="1"/>
  <c r="AD443" i="3"/>
  <c r="AC443" i="3"/>
  <c r="AJ443" i="3" s="1"/>
  <c r="AF443" i="3"/>
  <c r="AM444" i="3"/>
  <c r="BM444" i="3"/>
  <c r="AC229" i="3"/>
  <c r="AJ229" i="3" s="1"/>
  <c r="DX319" i="3"/>
  <c r="BL319" i="3" s="1"/>
  <c r="AC232" i="3"/>
  <c r="AJ232" i="3" s="1"/>
  <c r="AD232" i="3"/>
  <c r="AD233" i="3"/>
  <c r="AF249" i="3"/>
  <c r="DX252" i="3"/>
  <c r="BL252" i="3" s="1"/>
  <c r="AF273" i="3"/>
  <c r="DX289" i="3"/>
  <c r="BL289" i="3" s="1"/>
  <c r="DX291" i="3"/>
  <c r="BL291" i="3" s="1"/>
  <c r="AC297" i="3"/>
  <c r="AJ297" i="3" s="1"/>
  <c r="AF297" i="3"/>
  <c r="AD297" i="3"/>
  <c r="AD311" i="3"/>
  <c r="AF311" i="3"/>
  <c r="AD329" i="3"/>
  <c r="AF329" i="3"/>
  <c r="AD350" i="3"/>
  <c r="AF350" i="3"/>
  <c r="AC410" i="3"/>
  <c r="AJ410" i="3" s="1"/>
  <c r="AF410" i="3"/>
  <c r="AD410" i="3"/>
  <c r="BM424" i="3"/>
  <c r="AD427" i="3"/>
  <c r="AC427" i="3"/>
  <c r="AJ427" i="3" s="1"/>
  <c r="AF434" i="3"/>
  <c r="AD434" i="3"/>
  <c r="AC434" i="3"/>
  <c r="AJ434" i="3" s="1"/>
  <c r="BM435" i="3"/>
  <c r="AM435" i="3"/>
  <c r="DX435" i="3"/>
  <c r="BL435" i="3" s="1"/>
  <c r="DX448" i="3"/>
  <c r="BL448" i="3" s="1"/>
  <c r="BM466" i="3"/>
  <c r="AM466" i="3"/>
  <c r="AF340" i="3"/>
  <c r="AD340" i="3"/>
  <c r="AC340" i="3"/>
  <c r="AJ340" i="3" s="1"/>
  <c r="AF400" i="3"/>
  <c r="AD400" i="3"/>
  <c r="AC400" i="3"/>
  <c r="AJ400" i="3" s="1"/>
  <c r="AD273" i="3"/>
  <c r="AD224" i="3"/>
  <c r="DX226" i="3"/>
  <c r="BL226" i="3" s="1"/>
  <c r="DX227" i="3"/>
  <c r="BL227" i="3" s="1"/>
  <c r="DX233" i="3"/>
  <c r="BL233" i="3" s="1"/>
  <c r="AF241" i="3"/>
  <c r="AD247" i="3"/>
  <c r="DX256" i="3"/>
  <c r="BL256" i="3" s="1"/>
  <c r="AD264" i="3"/>
  <c r="DX266" i="3"/>
  <c r="BL266" i="3" s="1"/>
  <c r="AC276" i="3"/>
  <c r="AJ276" i="3" s="1"/>
  <c r="AF280" i="3"/>
  <c r="AD291" i="3"/>
  <c r="AC292" i="3"/>
  <c r="AJ292" i="3" s="1"/>
  <c r="AF312" i="3"/>
  <c r="AD312" i="3"/>
  <c r="AD328" i="3"/>
  <c r="AF333" i="3"/>
  <c r="AD333" i="3"/>
  <c r="AD365" i="3"/>
  <c r="BM428" i="3"/>
  <c r="AM432" i="3"/>
  <c r="DX436" i="3"/>
  <c r="BL436" i="3" s="1"/>
  <c r="AD439" i="3"/>
  <c r="AC439" i="3"/>
  <c r="AJ439" i="3" s="1"/>
  <c r="BM447" i="3"/>
  <c r="AM447" i="3"/>
  <c r="DX447" i="3"/>
  <c r="BL447" i="3" s="1"/>
  <c r="DX453" i="3"/>
  <c r="BL453" i="3" s="1"/>
  <c r="DX459" i="3"/>
  <c r="BL459" i="3" s="1"/>
  <c r="DX326" i="3"/>
  <c r="BL326" i="3" s="1"/>
  <c r="AF442" i="3"/>
  <c r="AD442" i="3"/>
  <c r="AD447" i="3"/>
  <c r="AC447" i="3"/>
  <c r="AJ447" i="3" s="1"/>
  <c r="DX452" i="3"/>
  <c r="BL452" i="3" s="1"/>
  <c r="DX458" i="3"/>
  <c r="BL458" i="3" s="1"/>
  <c r="DX469" i="3"/>
  <c r="BL469" i="3" s="1"/>
  <c r="DX389" i="3"/>
  <c r="BL389" i="3" s="1"/>
  <c r="DX404" i="3"/>
  <c r="BL404" i="3" s="1"/>
  <c r="AF417" i="3"/>
  <c r="AF422" i="3"/>
  <c r="AD423" i="3"/>
  <c r="AV429" i="3"/>
  <c r="V429" i="3" s="1"/>
  <c r="DX440" i="3"/>
  <c r="BL440" i="3" s="1"/>
  <c r="AF446" i="3"/>
  <c r="AD446" i="3"/>
  <c r="AC446" i="3"/>
  <c r="AJ446" i="3" s="1"/>
  <c r="DX456" i="3"/>
  <c r="BL456" i="3" s="1"/>
  <c r="DX457" i="3"/>
  <c r="BL457" i="3" s="1"/>
  <c r="AD317" i="3"/>
  <c r="DX323" i="3"/>
  <c r="BL323" i="3" s="1"/>
  <c r="AF334" i="3"/>
  <c r="DX342" i="3"/>
  <c r="BL342" i="3" s="1"/>
  <c r="DX345" i="3"/>
  <c r="BL345" i="3" s="1"/>
  <c r="AF360" i="3"/>
  <c r="DX368" i="3"/>
  <c r="BL368" i="3" s="1"/>
  <c r="AC371" i="3"/>
  <c r="AJ371" i="3" s="1"/>
  <c r="DX374" i="3"/>
  <c r="BL374" i="3" s="1"/>
  <c r="AD383" i="3"/>
  <c r="AD385" i="3"/>
  <c r="DX385" i="3"/>
  <c r="BL385" i="3" s="1"/>
  <c r="AD394" i="3"/>
  <c r="AM450" i="3"/>
  <c r="BM450" i="3"/>
  <c r="AF455" i="3"/>
  <c r="AD455" i="3"/>
  <c r="AC455" i="3"/>
  <c r="AJ455" i="3" s="1"/>
  <c r="AD313" i="3"/>
  <c r="AD324" i="3"/>
  <c r="DX346" i="3"/>
  <c r="BL346" i="3" s="1"/>
  <c r="AD369" i="3"/>
  <c r="AF375" i="3"/>
  <c r="AF379" i="3"/>
  <c r="DX382" i="3"/>
  <c r="BL382" i="3" s="1"/>
  <c r="DX397" i="3"/>
  <c r="BL397" i="3" s="1"/>
  <c r="AF414" i="3"/>
  <c r="AF418" i="3"/>
  <c r="AC440" i="3"/>
  <c r="AJ440" i="3" s="1"/>
  <c r="AC442" i="3"/>
  <c r="AJ442" i="3" s="1"/>
  <c r="AF447" i="3"/>
  <c r="DX449" i="3"/>
  <c r="BL449" i="3" s="1"/>
  <c r="AM452" i="3"/>
  <c r="BM458" i="3"/>
  <c r="AM458" i="3"/>
  <c r="AD308" i="3"/>
  <c r="AD309" i="3"/>
  <c r="AD315" i="3"/>
  <c r="AF318" i="3"/>
  <c r="AD323" i="3"/>
  <c r="AF326" i="3"/>
  <c r="AF330" i="3"/>
  <c r="AF343" i="3"/>
  <c r="DX350" i="3"/>
  <c r="BL350" i="3" s="1"/>
  <c r="AC355" i="3"/>
  <c r="AJ355" i="3" s="1"/>
  <c r="AF357" i="3"/>
  <c r="DX359" i="3"/>
  <c r="BL359" i="3" s="1"/>
  <c r="AC362" i="3"/>
  <c r="AJ362" i="3" s="1"/>
  <c r="AC365" i="3"/>
  <c r="AJ365" i="3" s="1"/>
  <c r="AD368" i="3"/>
  <c r="DX384" i="3"/>
  <c r="BL384" i="3" s="1"/>
  <c r="AF401" i="3"/>
  <c r="DX421" i="3"/>
  <c r="BL421" i="3" s="1"/>
  <c r="BM440" i="3"/>
  <c r="DX443" i="3"/>
  <c r="BL443" i="3" s="1"/>
  <c r="DX444" i="3"/>
  <c r="BL444" i="3" s="1"/>
  <c r="DX455" i="3"/>
  <c r="BL455" i="3" s="1"/>
  <c r="DX467" i="3"/>
  <c r="BL467" i="3" s="1"/>
  <c r="BM449" i="3"/>
  <c r="AM449" i="3"/>
  <c r="DX462" i="3"/>
  <c r="BL462" i="3" s="1"/>
  <c r="BM496" i="3"/>
  <c r="AM496" i="3"/>
  <c r="AV445" i="3"/>
  <c r="V445" i="3" s="1"/>
  <c r="AH460" i="3"/>
  <c r="AI460" i="3" s="1"/>
  <c r="DX463" i="3"/>
  <c r="BL463" i="3" s="1"/>
  <c r="AH464" i="3"/>
  <c r="AI464" i="3" s="1"/>
  <c r="AM442" i="3"/>
  <c r="BM442" i="3"/>
  <c r="AM446" i="3"/>
  <c r="BM446" i="3"/>
  <c r="DX450" i="3"/>
  <c r="BL450" i="3" s="1"/>
  <c r="AD452" i="3"/>
  <c r="DX461" i="3"/>
  <c r="BL461" i="3" s="1"/>
  <c r="AD466" i="3"/>
  <c r="AF466" i="3"/>
  <c r="AC466" i="3"/>
  <c r="AJ466" i="3" s="1"/>
  <c r="AM459" i="3"/>
  <c r="DX460" i="3"/>
  <c r="BL460" i="3" s="1"/>
  <c r="BM453" i="3"/>
  <c r="AM453" i="3"/>
  <c r="DX454" i="3"/>
  <c r="BL454" i="3" s="1"/>
  <c r="AD456" i="3"/>
  <c r="BM463" i="3"/>
  <c r="AM463" i="3"/>
  <c r="BM470" i="3"/>
  <c r="AM470" i="3"/>
  <c r="AC458" i="3"/>
  <c r="AJ458" i="3" s="1"/>
  <c r="AF462" i="3"/>
  <c r="AF465" i="3"/>
  <c r="AD465" i="3"/>
  <c r="DX470" i="3"/>
  <c r="BL470" i="3" s="1"/>
  <c r="AC459" i="3"/>
  <c r="AJ459" i="3" s="1"/>
  <c r="AF461" i="3"/>
  <c r="AD461" i="3"/>
  <c r="AF469" i="3"/>
  <c r="AD469" i="3"/>
  <c r="BM462" i="3"/>
  <c r="AM462" i="3"/>
  <c r="DX468" i="3"/>
  <c r="BL468" i="3" s="1"/>
  <c r="AC462" i="3"/>
  <c r="DX466" i="3"/>
  <c r="BL466" i="3" s="1"/>
  <c r="BM467" i="3"/>
  <c r="AM467" i="3"/>
  <c r="AC469" i="3"/>
  <c r="AJ469" i="3" s="1"/>
  <c r="DX472" i="3"/>
  <c r="BL472" i="3" s="1"/>
  <c r="AF475" i="3"/>
  <c r="AD475" i="3"/>
  <c r="AC475" i="3"/>
  <c r="AJ475" i="3" s="1"/>
  <c r="AM471" i="3"/>
  <c r="BM471" i="3"/>
  <c r="AD472" i="3"/>
  <c r="AM472" i="3"/>
  <c r="AF479" i="3"/>
  <c r="AD479" i="3"/>
  <c r="AC479" i="3"/>
  <c r="AJ479" i="3" s="1"/>
  <c r="BM480" i="3"/>
  <c r="AM480" i="3"/>
  <c r="DX482" i="3"/>
  <c r="BL482" i="3" s="1"/>
  <c r="DX477" i="3"/>
  <c r="BL477" i="3" s="1"/>
  <c r="DX480" i="3"/>
  <c r="BL480" i="3" s="1"/>
  <c r="DX481" i="3"/>
  <c r="BL481" i="3" s="1"/>
  <c r="DX483" i="3"/>
  <c r="BL483" i="3" s="1"/>
  <c r="AC470" i="3"/>
  <c r="BM472" i="3"/>
  <c r="DX474" i="3"/>
  <c r="BL474" i="3" s="1"/>
  <c r="DX475" i="3"/>
  <c r="BL475" i="3" s="1"/>
  <c r="BM476" i="3"/>
  <c r="AM476" i="3"/>
  <c r="DX476" i="3"/>
  <c r="BL476" i="3" s="1"/>
  <c r="AF483" i="3"/>
  <c r="AD483" i="3"/>
  <c r="AC483" i="3"/>
  <c r="AJ483" i="3" s="1"/>
  <c r="AM485" i="3"/>
  <c r="AH490" i="3"/>
  <c r="AI490" i="3" s="1"/>
  <c r="DX490" i="3"/>
  <c r="BL490" i="3" s="1"/>
  <c r="AF495" i="3"/>
  <c r="AD495" i="3"/>
  <c r="AC495" i="3"/>
  <c r="AJ495" i="3" s="1"/>
  <c r="DX473" i="3"/>
  <c r="BL473" i="3" s="1"/>
  <c r="BM485" i="3"/>
  <c r="DX488" i="3"/>
  <c r="BL488" i="3" s="1"/>
  <c r="AD476" i="3"/>
  <c r="DX479" i="3"/>
  <c r="BL479" i="3" s="1"/>
  <c r="AM473" i="3"/>
  <c r="BM473" i="3"/>
  <c r="AC474" i="3"/>
  <c r="AJ474" i="3" s="1"/>
  <c r="AM477" i="3"/>
  <c r="BM477" i="3"/>
  <c r="AC478" i="3"/>
  <c r="AJ478" i="3" s="1"/>
  <c r="AM481" i="3"/>
  <c r="BM481" i="3"/>
  <c r="AD474" i="3"/>
  <c r="AD478" i="3"/>
  <c r="AF491" i="3"/>
  <c r="AD491" i="3"/>
  <c r="AC491" i="3"/>
  <c r="AJ491" i="3" s="1"/>
  <c r="DX491" i="3"/>
  <c r="BL491" i="3" s="1"/>
  <c r="DX484" i="3"/>
  <c r="BL484" i="3" s="1"/>
  <c r="BM492" i="3"/>
  <c r="AM492" i="3"/>
  <c r="DX496" i="3"/>
  <c r="BL496" i="3" s="1"/>
  <c r="DX487" i="3"/>
  <c r="BL487" i="3" s="1"/>
  <c r="AM479" i="3"/>
  <c r="BM479" i="3"/>
  <c r="AC480" i="3"/>
  <c r="AM483" i="3"/>
  <c r="BM483" i="3"/>
  <c r="AC484" i="3"/>
  <c r="AJ484" i="3" s="1"/>
  <c r="DX485" i="3"/>
  <c r="BL485" i="3" s="1"/>
  <c r="BM488" i="3"/>
  <c r="AM488" i="3"/>
  <c r="AD484" i="3"/>
  <c r="BM484" i="3"/>
  <c r="AM484" i="3"/>
  <c r="AF487" i="3"/>
  <c r="AD487" i="3"/>
  <c r="DX492" i="3"/>
  <c r="BL492" i="3" s="1"/>
  <c r="DX493" i="3"/>
  <c r="BL493" i="3" s="1"/>
  <c r="DX495" i="3"/>
  <c r="BL495" i="3" s="1"/>
  <c r="AM489" i="3"/>
  <c r="BM489" i="3"/>
  <c r="AM493" i="3"/>
  <c r="BM493" i="3"/>
  <c r="DX500" i="3"/>
  <c r="BL500" i="3" s="1"/>
  <c r="AM498" i="3"/>
  <c r="DX505" i="3"/>
  <c r="BL505" i="3" s="1"/>
  <c r="BM498" i="3"/>
  <c r="AF507" i="3"/>
  <c r="AD507" i="3"/>
  <c r="AC507" i="3"/>
  <c r="AJ507" i="3" s="1"/>
  <c r="AM487" i="3"/>
  <c r="BM487" i="3"/>
  <c r="AC488" i="3"/>
  <c r="AJ488" i="3" s="1"/>
  <c r="AM491" i="3"/>
  <c r="BM491" i="3"/>
  <c r="AC492" i="3"/>
  <c r="AJ492" i="3" s="1"/>
  <c r="AM495" i="3"/>
  <c r="BM495" i="3"/>
  <c r="AC496" i="3"/>
  <c r="BM497" i="3"/>
  <c r="DX497" i="3"/>
  <c r="BL497" i="3" s="1"/>
  <c r="BM499" i="3"/>
  <c r="AM499" i="3"/>
  <c r="AF500" i="3"/>
  <c r="AD501" i="3"/>
  <c r="AC501" i="3"/>
  <c r="AJ501" i="3" s="1"/>
  <c r="AF501" i="3"/>
  <c r="AF503" i="3"/>
  <c r="AD503" i="3"/>
  <c r="AC503" i="3"/>
  <c r="AJ503" i="3" s="1"/>
  <c r="DX498" i="3"/>
  <c r="BL498" i="3" s="1"/>
  <c r="DX504" i="3"/>
  <c r="BL504" i="3" s="1"/>
  <c r="AF505" i="3"/>
  <c r="DX518" i="3"/>
  <c r="BL518" i="3" s="1"/>
  <c r="DX522" i="3"/>
  <c r="BL522" i="3" s="1"/>
  <c r="AM502" i="3"/>
  <c r="BM502" i="3"/>
  <c r="BM506" i="3"/>
  <c r="AD509" i="3"/>
  <c r="AM503" i="3"/>
  <c r="BM503" i="3"/>
  <c r="AC504" i="3"/>
  <c r="AM507" i="3"/>
  <c r="BM507" i="3"/>
  <c r="AC508" i="3"/>
  <c r="AC511" i="3"/>
  <c r="AJ511" i="3" s="1"/>
  <c r="AF511" i="3"/>
  <c r="AD513" i="3"/>
  <c r="AD515" i="3"/>
  <c r="DX515" i="3"/>
  <c r="BL515" i="3" s="1"/>
  <c r="AC509" i="3"/>
  <c r="AJ509" i="3" s="1"/>
  <c r="AF513" i="3"/>
  <c r="AC513" i="3"/>
  <c r="AJ513" i="3" s="1"/>
  <c r="AC515" i="3"/>
  <c r="AJ515" i="3" s="1"/>
  <c r="AF515" i="3"/>
  <c r="AM500" i="3"/>
  <c r="BM500" i="3"/>
  <c r="AM504" i="3"/>
  <c r="BM504" i="3"/>
  <c r="AC505" i="3"/>
  <c r="AJ505" i="3" s="1"/>
  <c r="AF517" i="3"/>
  <c r="AC517" i="3"/>
  <c r="DX521" i="3"/>
  <c r="BL521" i="3" s="1"/>
  <c r="DX511" i="3"/>
  <c r="BL511" i="3" s="1"/>
  <c r="AD512" i="3"/>
  <c r="AD516" i="3"/>
  <c r="AF519" i="3"/>
  <c r="AD521" i="3"/>
  <c r="AD518" i="3"/>
  <c r="AD522" i="3"/>
  <c r="AM510" i="3"/>
  <c r="BM510" i="3"/>
  <c r="AM514" i="3"/>
  <c r="BM514" i="3"/>
  <c r="BM518" i="3"/>
  <c r="AM522" i="3"/>
  <c r="BM522" i="3"/>
  <c r="AC523" i="3"/>
  <c r="AJ523" i="3" s="1"/>
  <c r="DX225" i="3"/>
  <c r="BL225" i="3" s="1"/>
  <c r="AH236" i="3"/>
  <c r="AI236" i="3" s="1"/>
  <c r="AH237" i="3"/>
  <c r="AI237" i="3" s="1"/>
  <c r="AH234" i="3"/>
  <c r="AI234" i="3" s="1"/>
  <c r="AH233" i="3"/>
  <c r="AI233" i="3" s="1"/>
  <c r="AH232" i="3"/>
  <c r="AI232" i="3" s="1"/>
  <c r="DX228" i="3"/>
  <c r="BL228" i="3" s="1"/>
  <c r="AH235" i="3"/>
  <c r="AI235" i="3" s="1"/>
  <c r="AH239" i="3"/>
  <c r="AI239" i="3" s="1"/>
  <c r="AH238" i="3"/>
  <c r="AI238" i="3" s="1"/>
  <c r="AH240" i="3"/>
  <c r="AI240" i="3" s="1"/>
  <c r="AH241" i="3"/>
  <c r="AI241" i="3" s="1"/>
  <c r="AC224" i="3"/>
  <c r="AD244" i="3"/>
  <c r="AF247" i="3"/>
  <c r="AD250" i="3"/>
  <c r="AC250" i="3"/>
  <c r="AJ250" i="3" s="1"/>
  <c r="AM250" i="3"/>
  <c r="AD256" i="3"/>
  <c r="AC256" i="3"/>
  <c r="AJ256" i="3" s="1"/>
  <c r="BM257" i="3"/>
  <c r="AM257" i="3"/>
  <c r="DX257" i="3"/>
  <c r="BL257" i="3" s="1"/>
  <c r="AF259" i="3"/>
  <c r="AD259" i="3"/>
  <c r="AC259" i="3"/>
  <c r="AJ259" i="3" s="1"/>
  <c r="DX260" i="3"/>
  <c r="BL260" i="3" s="1"/>
  <c r="DX262" i="3"/>
  <c r="BL262" i="3" s="1"/>
  <c r="DX264" i="3"/>
  <c r="BL264" i="3" s="1"/>
  <c r="AF267" i="3"/>
  <c r="AC267" i="3"/>
  <c r="AJ267" i="3" s="1"/>
  <c r="DX268" i="3"/>
  <c r="BL268" i="3" s="1"/>
  <c r="BM250" i="3"/>
  <c r="DX242" i="3"/>
  <c r="BL242" i="3" s="1"/>
  <c r="AC243" i="3"/>
  <c r="AJ243" i="3" s="1"/>
  <c r="AM243" i="3"/>
  <c r="AD246" i="3"/>
  <c r="AD253" i="3"/>
  <c r="AC253" i="3"/>
  <c r="AJ253" i="3" s="1"/>
  <c r="AD257" i="3"/>
  <c r="AC257" i="3"/>
  <c r="AJ257" i="3" s="1"/>
  <c r="BM258" i="3"/>
  <c r="AM258" i="3"/>
  <c r="AF263" i="3"/>
  <c r="AD263" i="3"/>
  <c r="AC263" i="3"/>
  <c r="AJ263" i="3" s="1"/>
  <c r="DX277" i="3"/>
  <c r="BL277" i="3" s="1"/>
  <c r="AM229" i="3"/>
  <c r="BM229" i="3"/>
  <c r="AM230" i="3"/>
  <c r="BM230" i="3"/>
  <c r="AM231" i="3"/>
  <c r="BM231" i="3"/>
  <c r="AM232" i="3"/>
  <c r="BM232" i="3"/>
  <c r="AM233" i="3"/>
  <c r="BM233" i="3"/>
  <c r="AM234" i="3"/>
  <c r="BM234" i="3"/>
  <c r="AM235" i="3"/>
  <c r="BM235" i="3"/>
  <c r="AM236" i="3"/>
  <c r="BM236" i="3"/>
  <c r="AM237" i="3"/>
  <c r="BM237" i="3"/>
  <c r="AM238" i="3"/>
  <c r="BM238" i="3"/>
  <c r="AM239" i="3"/>
  <c r="BM239" i="3"/>
  <c r="AM240" i="3"/>
  <c r="BM240" i="3"/>
  <c r="AM241" i="3"/>
  <c r="BM241" i="3"/>
  <c r="DX244" i="3"/>
  <c r="BL244" i="3" s="1"/>
  <c r="AC245" i="3"/>
  <c r="AJ245" i="3" s="1"/>
  <c r="AM245" i="3"/>
  <c r="AD248" i="3"/>
  <c r="BM248" i="3"/>
  <c r="AF250" i="3"/>
  <c r="AD252" i="3"/>
  <c r="AC252" i="3"/>
  <c r="AJ252" i="3" s="1"/>
  <c r="AM252" i="3"/>
  <c r="AD254" i="3"/>
  <c r="AC254" i="3"/>
  <c r="AJ254" i="3" s="1"/>
  <c r="AF256" i="3"/>
  <c r="AF262" i="3"/>
  <c r="AD262" i="3"/>
  <c r="AC262" i="3"/>
  <c r="AJ262" i="3" s="1"/>
  <c r="AF270" i="3"/>
  <c r="AD270" i="3"/>
  <c r="AC270" i="3"/>
  <c r="AJ270" i="3" s="1"/>
  <c r="DX270" i="3"/>
  <c r="BL270" i="3" s="1"/>
  <c r="AF244" i="3"/>
  <c r="AC246" i="3"/>
  <c r="AJ246" i="3" s="1"/>
  <c r="BM252" i="3"/>
  <c r="DX255" i="3"/>
  <c r="BL255" i="3" s="1"/>
  <c r="BM256" i="3"/>
  <c r="AF257" i="3"/>
  <c r="AF261" i="3"/>
  <c r="AD261" i="3"/>
  <c r="AC261" i="3"/>
  <c r="AJ261" i="3" s="1"/>
  <c r="DX272" i="3"/>
  <c r="BL272" i="3" s="1"/>
  <c r="AD242" i="3"/>
  <c r="BM242" i="3"/>
  <c r="AF245" i="3"/>
  <c r="AC247" i="3"/>
  <c r="AM247" i="3"/>
  <c r="AD251" i="3"/>
  <c r="AC251" i="3"/>
  <c r="AJ251" i="3" s="1"/>
  <c r="AM251" i="3"/>
  <c r="AF253" i="3"/>
  <c r="AD255" i="3"/>
  <c r="AC255" i="3"/>
  <c r="AJ255" i="3" s="1"/>
  <c r="AD258" i="3"/>
  <c r="AC258" i="3"/>
  <c r="AJ258" i="3" s="1"/>
  <c r="AF260" i="3"/>
  <c r="AD260" i="3"/>
  <c r="AC260" i="3"/>
  <c r="AJ260" i="3" s="1"/>
  <c r="DX269" i="3"/>
  <c r="BL269" i="3" s="1"/>
  <c r="AD243" i="3"/>
  <c r="AF246" i="3"/>
  <c r="AC248" i="3"/>
  <c r="AJ248" i="3" s="1"/>
  <c r="AM248" i="3"/>
  <c r="BM251" i="3"/>
  <c r="BM253" i="3"/>
  <c r="AM256" i="3"/>
  <c r="DX261" i="3"/>
  <c r="BL261" i="3" s="1"/>
  <c r="DX263" i="3"/>
  <c r="BL263" i="3" s="1"/>
  <c r="DX265" i="3"/>
  <c r="BL265" i="3" s="1"/>
  <c r="AD267" i="3"/>
  <c r="AD266" i="3"/>
  <c r="AM275" i="3"/>
  <c r="AF276" i="3"/>
  <c r="BM277" i="3"/>
  <c r="AM277" i="3"/>
  <c r="AF278" i="3"/>
  <c r="AC278" i="3"/>
  <c r="AJ278" i="3" s="1"/>
  <c r="BM279" i="3"/>
  <c r="AF281" i="3"/>
  <c r="AD281" i="3"/>
  <c r="AC281" i="3"/>
  <c r="AJ281" i="3" s="1"/>
  <c r="AD275" i="3"/>
  <c r="AC275" i="3"/>
  <c r="AJ275" i="3" s="1"/>
  <c r="DX282" i="3"/>
  <c r="BL282" i="3" s="1"/>
  <c r="DX274" i="3"/>
  <c r="BL274" i="3" s="1"/>
  <c r="DX275" i="3"/>
  <c r="BL275" i="3" s="1"/>
  <c r="AM279" i="3"/>
  <c r="DX287" i="3"/>
  <c r="BL287" i="3" s="1"/>
  <c r="AF289" i="3"/>
  <c r="AD289" i="3"/>
  <c r="AC289" i="3"/>
  <c r="AJ289" i="3" s="1"/>
  <c r="AC264" i="3"/>
  <c r="AJ264" i="3" s="1"/>
  <c r="AM267" i="3"/>
  <c r="BM267" i="3"/>
  <c r="AC268" i="3"/>
  <c r="AJ268" i="3" s="1"/>
  <c r="BM270" i="3"/>
  <c r="AM270" i="3"/>
  <c r="AC272" i="3"/>
  <c r="AJ272" i="3" s="1"/>
  <c r="AD277" i="3"/>
  <c r="AD279" i="3"/>
  <c r="AC279" i="3"/>
  <c r="AJ279" i="3" s="1"/>
  <c r="DX290" i="3"/>
  <c r="BL290" i="3" s="1"/>
  <c r="AH295" i="3"/>
  <c r="AI295" i="3" s="1"/>
  <c r="AM259" i="3"/>
  <c r="BM259" i="3"/>
  <c r="AM260" i="3"/>
  <c r="BM260" i="3"/>
  <c r="AM261" i="3"/>
  <c r="BM261" i="3"/>
  <c r="AM262" i="3"/>
  <c r="BM262" i="3"/>
  <c r="AM263" i="3"/>
  <c r="BM263" i="3"/>
  <c r="AC269" i="3"/>
  <c r="AC271" i="3"/>
  <c r="BM276" i="3"/>
  <c r="AM276" i="3"/>
  <c r="AF277" i="3"/>
  <c r="DX278" i="3"/>
  <c r="BL278" i="3" s="1"/>
  <c r="DX271" i="3"/>
  <c r="BL271" i="3" s="1"/>
  <c r="DX273" i="3"/>
  <c r="BL273" i="3" s="1"/>
  <c r="AF275" i="3"/>
  <c r="AF285" i="3"/>
  <c r="AD285" i="3"/>
  <c r="AC285" i="3"/>
  <c r="AJ285" i="3" s="1"/>
  <c r="AF274" i="3"/>
  <c r="AC274" i="3"/>
  <c r="AJ274" i="3" s="1"/>
  <c r="BM275" i="3"/>
  <c r="DX285" i="3"/>
  <c r="BL285" i="3" s="1"/>
  <c r="DX286" i="3"/>
  <c r="BL286" i="3" s="1"/>
  <c r="BM295" i="3"/>
  <c r="AF302" i="3"/>
  <c r="AC302" i="3"/>
  <c r="AJ302" i="3" s="1"/>
  <c r="AF310" i="3"/>
  <c r="AD310" i="3"/>
  <c r="AC310" i="3"/>
  <c r="AJ310" i="3" s="1"/>
  <c r="DX311" i="3"/>
  <c r="BL311" i="3" s="1"/>
  <c r="AD288" i="3"/>
  <c r="AD292" i="3"/>
  <c r="BM296" i="3"/>
  <c r="AM296" i="3"/>
  <c r="DX303" i="3"/>
  <c r="BL303" i="3" s="1"/>
  <c r="BM307" i="3"/>
  <c r="AM307" i="3"/>
  <c r="AM280" i="3"/>
  <c r="BM280" i="3"/>
  <c r="AM284" i="3"/>
  <c r="BM284" i="3"/>
  <c r="AM288" i="3"/>
  <c r="BM288" i="3"/>
  <c r="AM292" i="3"/>
  <c r="BM292" i="3"/>
  <c r="AC293" i="3"/>
  <c r="AJ293" i="3" s="1"/>
  <c r="AF300" i="3"/>
  <c r="AC300" i="3"/>
  <c r="AJ300" i="3" s="1"/>
  <c r="BM301" i="3"/>
  <c r="AM301" i="3"/>
  <c r="BM315" i="3"/>
  <c r="AM315" i="3"/>
  <c r="DX324" i="3"/>
  <c r="BL324" i="3" s="1"/>
  <c r="AD293" i="3"/>
  <c r="DX296" i="3"/>
  <c r="BL296" i="3" s="1"/>
  <c r="BM297" i="3"/>
  <c r="AM297" i="3"/>
  <c r="BM299" i="3"/>
  <c r="AM299" i="3"/>
  <c r="DX299" i="3"/>
  <c r="BL299" i="3" s="1"/>
  <c r="AD302" i="3"/>
  <c r="DX302" i="3"/>
  <c r="BL302" i="3" s="1"/>
  <c r="DX310" i="3"/>
  <c r="BL310" i="3" s="1"/>
  <c r="AM281" i="3"/>
  <c r="BM281" i="3"/>
  <c r="AC282" i="3"/>
  <c r="AJ282" i="3" s="1"/>
  <c r="AM285" i="3"/>
  <c r="BM285" i="3"/>
  <c r="AC286" i="3"/>
  <c r="AJ286" i="3" s="1"/>
  <c r="AM289" i="3"/>
  <c r="BM289" i="3"/>
  <c r="AC290" i="3"/>
  <c r="AJ290" i="3" s="1"/>
  <c r="AM293" i="3"/>
  <c r="BM293" i="3"/>
  <c r="AC294" i="3"/>
  <c r="AJ294" i="3" s="1"/>
  <c r="DX307" i="3"/>
  <c r="BL307" i="3" s="1"/>
  <c r="DX308" i="3"/>
  <c r="BL308" i="3" s="1"/>
  <c r="AD282" i="3"/>
  <c r="AD286" i="3"/>
  <c r="AD290" i="3"/>
  <c r="AD294" i="3"/>
  <c r="BM294" i="3"/>
  <c r="AM294" i="3"/>
  <c r="DX294" i="3"/>
  <c r="BL294" i="3" s="1"/>
  <c r="DX295" i="3"/>
  <c r="BL295" i="3" s="1"/>
  <c r="DX297" i="3"/>
  <c r="BL297" i="3" s="1"/>
  <c r="AF298" i="3"/>
  <c r="AC298" i="3"/>
  <c r="DX298" i="3"/>
  <c r="BL298" i="3" s="1"/>
  <c r="AD299" i="3"/>
  <c r="AC299" i="3"/>
  <c r="AJ299" i="3" s="1"/>
  <c r="AD300" i="3"/>
  <c r="BM311" i="3"/>
  <c r="AM311" i="3"/>
  <c r="AF314" i="3"/>
  <c r="AD314" i="3"/>
  <c r="AC314" i="3"/>
  <c r="AJ314" i="3" s="1"/>
  <c r="DX315" i="3"/>
  <c r="BL315" i="3" s="1"/>
  <c r="AM274" i="3"/>
  <c r="BM274" i="3"/>
  <c r="AM278" i="3"/>
  <c r="BM278" i="3"/>
  <c r="AM282" i="3"/>
  <c r="BM282" i="3"/>
  <c r="AC283" i="3"/>
  <c r="AJ283" i="3" s="1"/>
  <c r="AM286" i="3"/>
  <c r="BM286" i="3"/>
  <c r="AC287" i="3"/>
  <c r="AJ287" i="3" s="1"/>
  <c r="AM290" i="3"/>
  <c r="BM290" i="3"/>
  <c r="AC291" i="3"/>
  <c r="AJ291" i="3" s="1"/>
  <c r="BM303" i="3"/>
  <c r="AM303" i="3"/>
  <c r="AF306" i="3"/>
  <c r="AD306" i="3"/>
  <c r="AC306" i="3"/>
  <c r="AJ306" i="3" s="1"/>
  <c r="DX306" i="3"/>
  <c r="BL306" i="3" s="1"/>
  <c r="DX316" i="3"/>
  <c r="BL316" i="3" s="1"/>
  <c r="AF319" i="3"/>
  <c r="AD319" i="3"/>
  <c r="AC319" i="3"/>
  <c r="AJ319" i="3" s="1"/>
  <c r="BM321" i="3"/>
  <c r="AM321" i="3"/>
  <c r="AM295" i="3"/>
  <c r="DX313" i="3"/>
  <c r="BL313" i="3" s="1"/>
  <c r="DX322" i="3"/>
  <c r="BL322" i="3" s="1"/>
  <c r="DX300" i="3"/>
  <c r="BL300" i="3" s="1"/>
  <c r="AC304" i="3"/>
  <c r="DX304" i="3"/>
  <c r="BL304" i="3" s="1"/>
  <c r="AC308" i="3"/>
  <c r="AJ308" i="3" s="1"/>
  <c r="AC312" i="3"/>
  <c r="AJ312" i="3" s="1"/>
  <c r="AC316" i="3"/>
  <c r="AJ316" i="3" s="1"/>
  <c r="DX320" i="3"/>
  <c r="BL320" i="3" s="1"/>
  <c r="AD321" i="3"/>
  <c r="AC321" i="3"/>
  <c r="AJ321" i="3" s="1"/>
  <c r="AF337" i="3"/>
  <c r="AC337" i="3"/>
  <c r="AJ337" i="3" s="1"/>
  <c r="AD337" i="3"/>
  <c r="AC339" i="3"/>
  <c r="AJ339" i="3" s="1"/>
  <c r="AF339" i="3"/>
  <c r="AD339" i="3"/>
  <c r="AM300" i="3"/>
  <c r="BM300" i="3"/>
  <c r="AM304" i="3"/>
  <c r="BM304" i="3"/>
  <c r="AM308" i="3"/>
  <c r="BM308" i="3"/>
  <c r="AC309" i="3"/>
  <c r="AJ309" i="3" s="1"/>
  <c r="AM312" i="3"/>
  <c r="BM312" i="3"/>
  <c r="AC313" i="3"/>
  <c r="AJ313" i="3" s="1"/>
  <c r="AM316" i="3"/>
  <c r="BM316" i="3"/>
  <c r="AC317" i="3"/>
  <c r="AJ317" i="3" s="1"/>
  <c r="DX318" i="3"/>
  <c r="BL318" i="3" s="1"/>
  <c r="BM319" i="3"/>
  <c r="AM319" i="3"/>
  <c r="AD322" i="3"/>
  <c r="BM323" i="3"/>
  <c r="AM323" i="3"/>
  <c r="DX325" i="3"/>
  <c r="BL325" i="3" s="1"/>
  <c r="AF328" i="3"/>
  <c r="DX333" i="3"/>
  <c r="BL333" i="3" s="1"/>
  <c r="AF336" i="3"/>
  <c r="AD336" i="3"/>
  <c r="AC336" i="3"/>
  <c r="AJ336" i="3" s="1"/>
  <c r="DX338" i="3"/>
  <c r="BL338" i="3" s="1"/>
  <c r="AC318" i="3"/>
  <c r="AJ318" i="3" s="1"/>
  <c r="DX328" i="3"/>
  <c r="BL328" i="3" s="1"/>
  <c r="AM305" i="3"/>
  <c r="BM305" i="3"/>
  <c r="AM309" i="3"/>
  <c r="BM309" i="3"/>
  <c r="AM313" i="3"/>
  <c r="BM313" i="3"/>
  <c r="AM317" i="3"/>
  <c r="BM317" i="3"/>
  <c r="AD318" i="3"/>
  <c r="AM318" i="3"/>
  <c r="AF321" i="3"/>
  <c r="AD338" i="3"/>
  <c r="AC338" i="3"/>
  <c r="AJ338" i="3" s="1"/>
  <c r="AF338" i="3"/>
  <c r="BM339" i="3"/>
  <c r="AM339" i="3"/>
  <c r="DX317" i="3"/>
  <c r="BL317" i="3" s="1"/>
  <c r="DX321" i="3"/>
  <c r="BL321" i="3" s="1"/>
  <c r="AF327" i="3"/>
  <c r="AD327" i="3"/>
  <c r="AM298" i="3"/>
  <c r="BM298" i="3"/>
  <c r="AM302" i="3"/>
  <c r="BM302" i="3"/>
  <c r="AC303" i="3"/>
  <c r="AJ303" i="3" s="1"/>
  <c r="AM306" i="3"/>
  <c r="BM306" i="3"/>
  <c r="AC307" i="3"/>
  <c r="AJ307" i="3" s="1"/>
  <c r="AC311" i="3"/>
  <c r="AJ311" i="3" s="1"/>
  <c r="AC315" i="3"/>
  <c r="AJ315" i="3" s="1"/>
  <c r="AF320" i="3"/>
  <c r="AC320" i="3"/>
  <c r="AJ320" i="3" s="1"/>
  <c r="BM336" i="3"/>
  <c r="AM336" i="3"/>
  <c r="AH355" i="3"/>
  <c r="AI355" i="3" s="1"/>
  <c r="BM318" i="3"/>
  <c r="AF323" i="3"/>
  <c r="AC327" i="3"/>
  <c r="AJ327" i="3" s="1"/>
  <c r="AF331" i="3"/>
  <c r="AD331" i="3"/>
  <c r="DX348" i="3"/>
  <c r="BL348" i="3" s="1"/>
  <c r="AD326" i="3"/>
  <c r="AD330" i="3"/>
  <c r="BM333" i="3"/>
  <c r="AM333" i="3"/>
  <c r="BM334" i="3"/>
  <c r="AM334" i="3"/>
  <c r="BM335" i="3"/>
  <c r="DX339" i="3"/>
  <c r="BL339" i="3" s="1"/>
  <c r="AF341" i="3"/>
  <c r="DX354" i="3"/>
  <c r="BL354" i="3" s="1"/>
  <c r="AC324" i="3"/>
  <c r="AJ324" i="3" s="1"/>
  <c r="AM327" i="3"/>
  <c r="BM327" i="3"/>
  <c r="AC328" i="3"/>
  <c r="AJ328" i="3" s="1"/>
  <c r="AM331" i="3"/>
  <c r="BM331" i="3"/>
  <c r="DX334" i="3"/>
  <c r="BL334" i="3" s="1"/>
  <c r="DX341" i="3"/>
  <c r="BL341" i="3" s="1"/>
  <c r="DX344" i="3"/>
  <c r="BL344" i="3" s="1"/>
  <c r="DX347" i="3"/>
  <c r="BL347" i="3" s="1"/>
  <c r="AF349" i="3"/>
  <c r="DX331" i="3"/>
  <c r="BL331" i="3" s="1"/>
  <c r="DX352" i="3"/>
  <c r="BL352" i="3" s="1"/>
  <c r="AM320" i="3"/>
  <c r="BM320" i="3"/>
  <c r="AM324" i="3"/>
  <c r="BM324" i="3"/>
  <c r="AC325" i="3"/>
  <c r="AJ325" i="3" s="1"/>
  <c r="AC329" i="3"/>
  <c r="AJ329" i="3" s="1"/>
  <c r="DX335" i="3"/>
  <c r="BL335" i="3" s="1"/>
  <c r="DX343" i="3"/>
  <c r="BL343" i="3" s="1"/>
  <c r="DX355" i="3"/>
  <c r="BL355" i="3" s="1"/>
  <c r="AC334" i="3"/>
  <c r="AJ334" i="3" s="1"/>
  <c r="DX337" i="3"/>
  <c r="BL337" i="3" s="1"/>
  <c r="BM338" i="3"/>
  <c r="AM338" i="3"/>
  <c r="DX340" i="3"/>
  <c r="BL340" i="3" s="1"/>
  <c r="AF342" i="3"/>
  <c r="AD343" i="3"/>
  <c r="AF346" i="3"/>
  <c r="AD347" i="3"/>
  <c r="BM352" i="3"/>
  <c r="AM352" i="3"/>
  <c r="DX353" i="3"/>
  <c r="BL353" i="3" s="1"/>
  <c r="AD358" i="3"/>
  <c r="AC358" i="3"/>
  <c r="AJ358" i="3" s="1"/>
  <c r="AF358" i="3"/>
  <c r="AF361" i="3"/>
  <c r="DX351" i="3"/>
  <c r="BL351" i="3" s="1"/>
  <c r="DX366" i="3"/>
  <c r="BL366" i="3" s="1"/>
  <c r="AM340" i="3"/>
  <c r="BM340" i="3"/>
  <c r="AC341" i="3"/>
  <c r="AJ341" i="3" s="1"/>
  <c r="AM344" i="3"/>
  <c r="BM344" i="3"/>
  <c r="AC345" i="3"/>
  <c r="AJ345" i="3" s="1"/>
  <c r="AM348" i="3"/>
  <c r="BM348" i="3"/>
  <c r="AC349" i="3"/>
  <c r="AJ349" i="3" s="1"/>
  <c r="AC351" i="3"/>
  <c r="AJ351" i="3" s="1"/>
  <c r="AC353" i="3"/>
  <c r="AJ353" i="3" s="1"/>
  <c r="BM354" i="3"/>
  <c r="AM354" i="3"/>
  <c r="AM355" i="3"/>
  <c r="DX365" i="3"/>
  <c r="BL365" i="3" s="1"/>
  <c r="AM372" i="3"/>
  <c r="BM372" i="3"/>
  <c r="AD341" i="3"/>
  <c r="AD345" i="3"/>
  <c r="AD349" i="3"/>
  <c r="BM355" i="3"/>
  <c r="AM337" i="3"/>
  <c r="BM337" i="3"/>
  <c r="AM341" i="3"/>
  <c r="BM341" i="3"/>
  <c r="AC342" i="3"/>
  <c r="AJ342" i="3" s="1"/>
  <c r="AM345" i="3"/>
  <c r="BM345" i="3"/>
  <c r="AC346" i="3"/>
  <c r="AJ346" i="3" s="1"/>
  <c r="AM349" i="3"/>
  <c r="BM349" i="3"/>
  <c r="AC350" i="3"/>
  <c r="AJ350" i="3" s="1"/>
  <c r="AM353" i="3"/>
  <c r="AD354" i="3"/>
  <c r="AD355" i="3"/>
  <c r="AD351" i="3"/>
  <c r="AM351" i="3"/>
  <c r="AD353" i="3"/>
  <c r="AF354" i="3"/>
  <c r="DX360" i="3"/>
  <c r="BL360" i="3" s="1"/>
  <c r="AM342" i="3"/>
  <c r="AM346" i="3"/>
  <c r="AM350" i="3"/>
  <c r="AF355" i="3"/>
  <c r="DX362" i="3"/>
  <c r="BL362" i="3" s="1"/>
  <c r="BM363" i="3"/>
  <c r="AM363" i="3"/>
  <c r="AF367" i="3"/>
  <c r="AC367" i="3"/>
  <c r="AJ367" i="3" s="1"/>
  <c r="AM371" i="3"/>
  <c r="BM371" i="3"/>
  <c r="DX372" i="3"/>
  <c r="BL372" i="3" s="1"/>
  <c r="DX376" i="3"/>
  <c r="BL376" i="3" s="1"/>
  <c r="BM387" i="3"/>
  <c r="AM387" i="3"/>
  <c r="AM356" i="3"/>
  <c r="BM356" i="3"/>
  <c r="AC357" i="3"/>
  <c r="AJ357" i="3" s="1"/>
  <c r="AM360" i="3"/>
  <c r="BM360" i="3"/>
  <c r="AC361" i="3"/>
  <c r="AJ361" i="3" s="1"/>
  <c r="AD367" i="3"/>
  <c r="AD357" i="3"/>
  <c r="AD361" i="3"/>
  <c r="DX361" i="3"/>
  <c r="BL361" i="3" s="1"/>
  <c r="BM362" i="3"/>
  <c r="DX367" i="3"/>
  <c r="BL367" i="3" s="1"/>
  <c r="AM357" i="3"/>
  <c r="BM357" i="3"/>
  <c r="AM361" i="3"/>
  <c r="BM361" i="3"/>
  <c r="AD364" i="3"/>
  <c r="AC364" i="3"/>
  <c r="AJ364" i="3" s="1"/>
  <c r="BM364" i="3"/>
  <c r="AM364" i="3"/>
  <c r="DX364" i="3"/>
  <c r="BL364" i="3" s="1"/>
  <c r="BM365" i="3"/>
  <c r="AM365" i="3"/>
  <c r="BM366" i="3"/>
  <c r="DX369" i="3"/>
  <c r="BL369" i="3" s="1"/>
  <c r="AM358" i="3"/>
  <c r="BM368" i="3"/>
  <c r="AM368" i="3"/>
  <c r="AM369" i="3"/>
  <c r="BM369" i="3"/>
  <c r="AF371" i="3"/>
  <c r="AF388" i="3"/>
  <c r="AD388" i="3"/>
  <c r="AF369" i="3"/>
  <c r="DX371" i="3"/>
  <c r="BL371" i="3" s="1"/>
  <c r="AF372" i="3"/>
  <c r="AF378" i="3"/>
  <c r="DX383" i="3"/>
  <c r="BL383" i="3" s="1"/>
  <c r="DX387" i="3"/>
  <c r="BL387" i="3" s="1"/>
  <c r="BM370" i="3"/>
  <c r="AM370" i="3"/>
  <c r="AF374" i="3"/>
  <c r="AC374" i="3"/>
  <c r="AJ374" i="3" s="1"/>
  <c r="DX379" i="3"/>
  <c r="BL379" i="3" s="1"/>
  <c r="AM388" i="3"/>
  <c r="AH397" i="3"/>
  <c r="AI397" i="3" s="1"/>
  <c r="BM377" i="3"/>
  <c r="AM377" i="3"/>
  <c r="BM384" i="3"/>
  <c r="AM384" i="3"/>
  <c r="AM367" i="3"/>
  <c r="BM367" i="3"/>
  <c r="AC368" i="3"/>
  <c r="AJ368" i="3" s="1"/>
  <c r="AF376" i="3"/>
  <c r="AD376" i="3"/>
  <c r="AC376" i="3"/>
  <c r="AJ376" i="3" s="1"/>
  <c r="DX378" i="3"/>
  <c r="BL378" i="3" s="1"/>
  <c r="BM388" i="3"/>
  <c r="DX370" i="3"/>
  <c r="BL370" i="3" s="1"/>
  <c r="AC373" i="3"/>
  <c r="AJ373" i="3" s="1"/>
  <c r="BM373" i="3"/>
  <c r="AM373" i="3"/>
  <c r="AD374" i="3"/>
  <c r="AC386" i="3"/>
  <c r="AJ386" i="3" s="1"/>
  <c r="AF386" i="3"/>
  <c r="AD386" i="3"/>
  <c r="AD371" i="3"/>
  <c r="BM375" i="3"/>
  <c r="AM375" i="3"/>
  <c r="DX375" i="3"/>
  <c r="BL375" i="3" s="1"/>
  <c r="AF382" i="3"/>
  <c r="AD405" i="3"/>
  <c r="AC405" i="3"/>
  <c r="AJ405" i="3" s="1"/>
  <c r="AM379" i="3"/>
  <c r="BM379" i="3"/>
  <c r="AC380" i="3"/>
  <c r="AJ380" i="3" s="1"/>
  <c r="DX380" i="3"/>
  <c r="BL380" i="3" s="1"/>
  <c r="AC384" i="3"/>
  <c r="AJ384" i="3" s="1"/>
  <c r="BM386" i="3"/>
  <c r="DX393" i="3"/>
  <c r="BL393" i="3" s="1"/>
  <c r="AC396" i="3"/>
  <c r="AJ396" i="3" s="1"/>
  <c r="DX422" i="3"/>
  <c r="BL422" i="3" s="1"/>
  <c r="AD380" i="3"/>
  <c r="AD384" i="3"/>
  <c r="AC388" i="3"/>
  <c r="AJ388" i="3" s="1"/>
  <c r="AF396" i="3"/>
  <c r="AD396" i="3"/>
  <c r="BM391" i="3"/>
  <c r="AM391" i="3"/>
  <c r="AD392" i="3"/>
  <c r="DX394" i="3"/>
  <c r="BL394" i="3" s="1"/>
  <c r="DX406" i="3"/>
  <c r="BL406" i="3" s="1"/>
  <c r="AC378" i="3"/>
  <c r="AJ378" i="3" s="1"/>
  <c r="AM381" i="3"/>
  <c r="BM381" i="3"/>
  <c r="AC382" i="3"/>
  <c r="AM386" i="3"/>
  <c r="AC387" i="3"/>
  <c r="AH393" i="3"/>
  <c r="AI393" i="3" s="1"/>
  <c r="DX391" i="3"/>
  <c r="BL391" i="3" s="1"/>
  <c r="DX392" i="3"/>
  <c r="BL392" i="3" s="1"/>
  <c r="AM374" i="3"/>
  <c r="BM374" i="3"/>
  <c r="AC375" i="3"/>
  <c r="AJ375" i="3" s="1"/>
  <c r="AM378" i="3"/>
  <c r="BM378" i="3"/>
  <c r="AC379" i="3"/>
  <c r="AM382" i="3"/>
  <c r="BM382" i="3"/>
  <c r="AC383" i="3"/>
  <c r="AJ383" i="3" s="1"/>
  <c r="AC385" i="3"/>
  <c r="AJ385" i="3" s="1"/>
  <c r="AD390" i="3"/>
  <c r="AC390" i="3"/>
  <c r="AJ390" i="3" s="1"/>
  <c r="AF390" i="3"/>
  <c r="AH409" i="3"/>
  <c r="AI409" i="3" s="1"/>
  <c r="BM385" i="3"/>
  <c r="AM385" i="3"/>
  <c r="DX386" i="3"/>
  <c r="BL386" i="3" s="1"/>
  <c r="DX388" i="3"/>
  <c r="BL388" i="3" s="1"/>
  <c r="AD399" i="3"/>
  <c r="AC399" i="3"/>
  <c r="AJ399" i="3" s="1"/>
  <c r="AF399" i="3"/>
  <c r="AF394" i="3"/>
  <c r="DX398" i="3"/>
  <c r="BL398" i="3" s="1"/>
  <c r="AM395" i="3"/>
  <c r="BM395" i="3"/>
  <c r="BM399" i="3"/>
  <c r="DX402" i="3"/>
  <c r="BL402" i="3" s="1"/>
  <c r="AC398" i="3"/>
  <c r="AJ398" i="3" s="1"/>
  <c r="AD401" i="3"/>
  <c r="AC401" i="3"/>
  <c r="AJ401" i="3" s="1"/>
  <c r="DX405" i="3"/>
  <c r="BL405" i="3" s="1"/>
  <c r="BM397" i="3"/>
  <c r="AM397" i="3"/>
  <c r="DX399" i="3"/>
  <c r="BL399" i="3" s="1"/>
  <c r="BM400" i="3"/>
  <c r="AM400" i="3"/>
  <c r="DX403" i="3"/>
  <c r="BL403" i="3" s="1"/>
  <c r="DX408" i="3"/>
  <c r="BL408" i="3" s="1"/>
  <c r="AM389" i="3"/>
  <c r="BM389" i="3"/>
  <c r="AM393" i="3"/>
  <c r="BM393" i="3"/>
  <c r="AC394" i="3"/>
  <c r="AJ394" i="3" s="1"/>
  <c r="AD398" i="3"/>
  <c r="AM399" i="3"/>
  <c r="BM410" i="3"/>
  <c r="AM410" i="3"/>
  <c r="AF398" i="3"/>
  <c r="DX401" i="3"/>
  <c r="BL401" i="3" s="1"/>
  <c r="AF405" i="3"/>
  <c r="AF403" i="3"/>
  <c r="AF407" i="3"/>
  <c r="DX414" i="3"/>
  <c r="BL414" i="3" s="1"/>
  <c r="DX420" i="3"/>
  <c r="BL420" i="3" s="1"/>
  <c r="AM404" i="3"/>
  <c r="BM404" i="3"/>
  <c r="BM408" i="3"/>
  <c r="DX419" i="3"/>
  <c r="BL419" i="3" s="1"/>
  <c r="AF421" i="3"/>
  <c r="DX423" i="3"/>
  <c r="BL423" i="3" s="1"/>
  <c r="AM401" i="3"/>
  <c r="BM401" i="3"/>
  <c r="AC402" i="3"/>
  <c r="AJ402" i="3" s="1"/>
  <c r="BM405" i="3"/>
  <c r="AC406" i="3"/>
  <c r="AJ406" i="3" s="1"/>
  <c r="AD402" i="3"/>
  <c r="AD406" i="3"/>
  <c r="BM409" i="3"/>
  <c r="AM409" i="3"/>
  <c r="DX409" i="3"/>
  <c r="BL409" i="3" s="1"/>
  <c r="AH410" i="3"/>
  <c r="AI410" i="3" s="1"/>
  <c r="AM411" i="3"/>
  <c r="AC413" i="3"/>
  <c r="AJ413" i="3" s="1"/>
  <c r="AM398" i="3"/>
  <c r="BM398" i="3"/>
  <c r="AM402" i="3"/>
  <c r="BM402" i="3"/>
  <c r="AC403" i="3"/>
  <c r="AJ403" i="3" s="1"/>
  <c r="AM406" i="3"/>
  <c r="BM406" i="3"/>
  <c r="AC407" i="3"/>
  <c r="AJ407" i="3" s="1"/>
  <c r="DX410" i="3"/>
  <c r="BL410" i="3" s="1"/>
  <c r="AD411" i="3"/>
  <c r="AC411" i="3"/>
  <c r="AJ411" i="3" s="1"/>
  <c r="AF413" i="3"/>
  <c r="AD413" i="3"/>
  <c r="AD417" i="3"/>
  <c r="AD409" i="3"/>
  <c r="DX411" i="3"/>
  <c r="BL411" i="3" s="1"/>
  <c r="DX417" i="3"/>
  <c r="BL417" i="3" s="1"/>
  <c r="AM412" i="3"/>
  <c r="BM412" i="3"/>
  <c r="AM416" i="3"/>
  <c r="BM416" i="3"/>
  <c r="AC417" i="3"/>
  <c r="AJ417" i="3" s="1"/>
  <c r="AM420" i="3"/>
  <c r="BM420" i="3"/>
  <c r="AC421" i="3"/>
  <c r="AJ421" i="3" s="1"/>
  <c r="AD421" i="3"/>
  <c r="AM413" i="3"/>
  <c r="BM413" i="3"/>
  <c r="AC414" i="3"/>
  <c r="AJ414" i="3" s="1"/>
  <c r="AM417" i="3"/>
  <c r="BM417" i="3"/>
  <c r="AC418" i="3"/>
  <c r="AJ418" i="3" s="1"/>
  <c r="AM421" i="3"/>
  <c r="BM421" i="3"/>
  <c r="AC422" i="3"/>
  <c r="AJ422" i="3" s="1"/>
  <c r="AD414" i="3"/>
  <c r="AD418" i="3"/>
  <c r="AD422" i="3"/>
  <c r="AM414" i="3"/>
  <c r="BM414" i="3"/>
  <c r="AC415" i="3"/>
  <c r="AJ415" i="3" s="1"/>
  <c r="AM418" i="3"/>
  <c r="BM418" i="3"/>
  <c r="AC419" i="3"/>
  <c r="AJ419" i="3" s="1"/>
  <c r="AM422" i="3"/>
  <c r="BM422" i="3"/>
  <c r="AC423" i="3"/>
  <c r="AJ423" i="3" s="1"/>
  <c r="DW223" i="3"/>
  <c r="DV223" i="3"/>
  <c r="DU223" i="3"/>
  <c r="DT223" i="3"/>
  <c r="DS223" i="3"/>
  <c r="DR223" i="3"/>
  <c r="DQ223" i="3"/>
  <c r="DP223" i="3"/>
  <c r="DO223" i="3"/>
  <c r="DN223" i="3"/>
  <c r="DM223" i="3"/>
  <c r="DL223" i="3"/>
  <c r="DK223" i="3"/>
  <c r="DJ223" i="3"/>
  <c r="DI223" i="3"/>
  <c r="DF223" i="3"/>
  <c r="DE223" i="3"/>
  <c r="DD223" i="3"/>
  <c r="DC223" i="3"/>
  <c r="DB223" i="3"/>
  <c r="DA223" i="3"/>
  <c r="CO223" i="3"/>
  <c r="CN223" i="3"/>
  <c r="CL223" i="3"/>
  <c r="CM223" i="3" s="1"/>
  <c r="AE223" i="3" s="1"/>
  <c r="AH223" i="3" s="1"/>
  <c r="CK223" i="3"/>
  <c r="CJ223" i="3"/>
  <c r="CI223" i="3"/>
  <c r="CH223" i="3"/>
  <c r="BE223" i="3"/>
  <c r="AX223" i="3"/>
  <c r="AU223" i="3"/>
  <c r="AT223" i="3" s="1"/>
  <c r="AS223" i="3"/>
  <c r="AR223" i="3" s="1"/>
  <c r="AP223" i="3"/>
  <c r="AO223" i="3"/>
  <c r="AN223" i="3"/>
  <c r="AQ222" i="3" s="1"/>
  <c r="Y223" i="3"/>
  <c r="X223" i="3"/>
  <c r="DW222" i="3"/>
  <c r="DV222" i="3"/>
  <c r="DU222" i="3"/>
  <c r="DT222" i="3"/>
  <c r="DS222" i="3"/>
  <c r="DR222" i="3"/>
  <c r="DQ222" i="3"/>
  <c r="DP222" i="3"/>
  <c r="DO222" i="3"/>
  <c r="DN222" i="3"/>
  <c r="DM222" i="3"/>
  <c r="DL222" i="3"/>
  <c r="DK222" i="3"/>
  <c r="DJ222" i="3"/>
  <c r="DI222" i="3"/>
  <c r="DF222" i="3"/>
  <c r="DE222" i="3"/>
  <c r="DD222" i="3"/>
  <c r="DC222" i="3"/>
  <c r="DB222" i="3"/>
  <c r="DA222" i="3"/>
  <c r="CO222" i="3"/>
  <c r="CN222" i="3"/>
  <c r="CL222" i="3"/>
  <c r="CM222" i="3" s="1"/>
  <c r="AE222" i="3" s="1"/>
  <c r="CK222" i="3"/>
  <c r="CJ222" i="3"/>
  <c r="CI222" i="3"/>
  <c r="CH222" i="3"/>
  <c r="BE222" i="3"/>
  <c r="AX222" i="3"/>
  <c r="AU222" i="3"/>
  <c r="AT222" i="3" s="1"/>
  <c r="AS222" i="3"/>
  <c r="AR222" i="3" s="1"/>
  <c r="AP222" i="3"/>
  <c r="AO222" i="3"/>
  <c r="AN222" i="3"/>
  <c r="Y222" i="3"/>
  <c r="X222" i="3"/>
  <c r="DW221" i="3"/>
  <c r="DV221" i="3"/>
  <c r="DU221" i="3"/>
  <c r="DT221" i="3"/>
  <c r="DS221" i="3"/>
  <c r="DR221" i="3"/>
  <c r="DQ221" i="3"/>
  <c r="DP221" i="3"/>
  <c r="DO221" i="3"/>
  <c r="DN221" i="3"/>
  <c r="DM221" i="3"/>
  <c r="DL221" i="3"/>
  <c r="DK221" i="3"/>
  <c r="DJ221" i="3"/>
  <c r="DI221" i="3"/>
  <c r="DF221" i="3"/>
  <c r="DE221" i="3"/>
  <c r="DD221" i="3"/>
  <c r="DC221" i="3"/>
  <c r="DB221" i="3"/>
  <c r="DA221" i="3"/>
  <c r="CO221" i="3"/>
  <c r="CN221" i="3"/>
  <c r="CL221" i="3"/>
  <c r="CM221" i="3" s="1"/>
  <c r="AE221" i="3" s="1"/>
  <c r="CK221" i="3"/>
  <c r="CJ221" i="3"/>
  <c r="CI221" i="3"/>
  <c r="CH221" i="3"/>
  <c r="BE221" i="3"/>
  <c r="AX221" i="3"/>
  <c r="AU221" i="3"/>
  <c r="AT221" i="3" s="1"/>
  <c r="AS221" i="3"/>
  <c r="AR221" i="3" s="1"/>
  <c r="AP221" i="3"/>
  <c r="AO221" i="3"/>
  <c r="AN221" i="3"/>
  <c r="Y221" i="3"/>
  <c r="X221" i="3"/>
  <c r="DW220" i="3"/>
  <c r="DV220" i="3"/>
  <c r="DU220" i="3"/>
  <c r="DT220" i="3"/>
  <c r="DS220" i="3"/>
  <c r="DR220" i="3"/>
  <c r="DQ220" i="3"/>
  <c r="DP220" i="3"/>
  <c r="DO220" i="3"/>
  <c r="DN220" i="3"/>
  <c r="DM220" i="3"/>
  <c r="DL220" i="3"/>
  <c r="DK220" i="3"/>
  <c r="DJ220" i="3"/>
  <c r="DI220" i="3"/>
  <c r="DF220" i="3"/>
  <c r="DE220" i="3"/>
  <c r="DD220" i="3"/>
  <c r="DC220" i="3"/>
  <c r="DB220" i="3"/>
  <c r="DA220" i="3"/>
  <c r="CO220" i="3"/>
  <c r="CN220" i="3"/>
  <c r="CL220" i="3"/>
  <c r="CM220" i="3" s="1"/>
  <c r="AE220" i="3" s="1"/>
  <c r="CK220" i="3"/>
  <c r="CJ220" i="3"/>
  <c r="CI220" i="3"/>
  <c r="CH220" i="3"/>
  <c r="BE220" i="3"/>
  <c r="AX220" i="3"/>
  <c r="AU220" i="3"/>
  <c r="AT220" i="3" s="1"/>
  <c r="AS220" i="3"/>
  <c r="AR220" i="3" s="1"/>
  <c r="AP220" i="3"/>
  <c r="AO220" i="3"/>
  <c r="AN220" i="3"/>
  <c r="Y220" i="3"/>
  <c r="X220" i="3"/>
  <c r="DW219" i="3"/>
  <c r="DV219" i="3"/>
  <c r="DU219" i="3"/>
  <c r="DT219" i="3"/>
  <c r="DS219" i="3"/>
  <c r="DR219" i="3"/>
  <c r="DQ219" i="3"/>
  <c r="DP219" i="3"/>
  <c r="DO219" i="3"/>
  <c r="DN219" i="3"/>
  <c r="DM219" i="3"/>
  <c r="DL219" i="3"/>
  <c r="DK219" i="3"/>
  <c r="DJ219" i="3"/>
  <c r="DI219" i="3"/>
  <c r="DF219" i="3"/>
  <c r="DE219" i="3"/>
  <c r="DD219" i="3"/>
  <c r="DC219" i="3"/>
  <c r="DB219" i="3"/>
  <c r="DA219" i="3"/>
  <c r="CO219" i="3"/>
  <c r="CN219" i="3"/>
  <c r="CL219" i="3"/>
  <c r="CM219" i="3" s="1"/>
  <c r="AE219" i="3" s="1"/>
  <c r="CK219" i="3"/>
  <c r="CJ219" i="3"/>
  <c r="CI219" i="3"/>
  <c r="CH219" i="3"/>
  <c r="BE219" i="3"/>
  <c r="AX219" i="3"/>
  <c r="AU219" i="3"/>
  <c r="AT219" i="3" s="1"/>
  <c r="AS219" i="3"/>
  <c r="AR219" i="3" s="1"/>
  <c r="AP219" i="3"/>
  <c r="AO219" i="3"/>
  <c r="AN219" i="3"/>
  <c r="Y219" i="3"/>
  <c r="X219" i="3"/>
  <c r="DW218" i="3"/>
  <c r="DV218" i="3"/>
  <c r="DU218" i="3"/>
  <c r="DT218" i="3"/>
  <c r="DS218" i="3"/>
  <c r="DR218" i="3"/>
  <c r="DQ218" i="3"/>
  <c r="DP218" i="3"/>
  <c r="DO218" i="3"/>
  <c r="DN218" i="3"/>
  <c r="DM218" i="3"/>
  <c r="DL218" i="3"/>
  <c r="DK218" i="3"/>
  <c r="DJ218" i="3"/>
  <c r="DI218" i="3"/>
  <c r="DF218" i="3"/>
  <c r="DE218" i="3"/>
  <c r="DD218" i="3"/>
  <c r="DC218" i="3"/>
  <c r="DB218" i="3"/>
  <c r="DA218" i="3"/>
  <c r="CO218" i="3"/>
  <c r="CN218" i="3"/>
  <c r="CL218" i="3"/>
  <c r="CM218" i="3" s="1"/>
  <c r="AE218" i="3" s="1"/>
  <c r="AH218" i="3" s="1"/>
  <c r="CK218" i="3"/>
  <c r="CJ218" i="3"/>
  <c r="CI218" i="3"/>
  <c r="CH218" i="3"/>
  <c r="BE218" i="3"/>
  <c r="AX218" i="3"/>
  <c r="AU218" i="3"/>
  <c r="AT218" i="3" s="1"/>
  <c r="AS218" i="3"/>
  <c r="AR218" i="3" s="1"/>
  <c r="AP218" i="3"/>
  <c r="AO218" i="3"/>
  <c r="AN218" i="3"/>
  <c r="Y218" i="3"/>
  <c r="X218" i="3"/>
  <c r="DW217" i="3"/>
  <c r="DV217" i="3"/>
  <c r="DU217" i="3"/>
  <c r="DT217" i="3"/>
  <c r="DS217" i="3"/>
  <c r="DR217" i="3"/>
  <c r="DQ217" i="3"/>
  <c r="DP217" i="3"/>
  <c r="DO217" i="3"/>
  <c r="DN217" i="3"/>
  <c r="DM217" i="3"/>
  <c r="DL217" i="3"/>
  <c r="DK217" i="3"/>
  <c r="DJ217" i="3"/>
  <c r="DI217" i="3"/>
  <c r="DF217" i="3"/>
  <c r="DE217" i="3"/>
  <c r="DD217" i="3"/>
  <c r="DC217" i="3"/>
  <c r="DB217" i="3"/>
  <c r="DA217" i="3"/>
  <c r="CO217" i="3"/>
  <c r="CN217" i="3"/>
  <c r="CL217" i="3"/>
  <c r="CM217" i="3" s="1"/>
  <c r="AE217" i="3" s="1"/>
  <c r="CK217" i="3"/>
  <c r="CJ217" i="3"/>
  <c r="CI217" i="3"/>
  <c r="CH217" i="3"/>
  <c r="BE217" i="3"/>
  <c r="AX217" i="3"/>
  <c r="AU217" i="3"/>
  <c r="AT217" i="3" s="1"/>
  <c r="AS217" i="3"/>
  <c r="AR217" i="3" s="1"/>
  <c r="AP217" i="3"/>
  <c r="AO217" i="3"/>
  <c r="AN217" i="3"/>
  <c r="Y217" i="3"/>
  <c r="X217" i="3"/>
  <c r="DW216" i="3"/>
  <c r="DV216" i="3"/>
  <c r="DU216" i="3"/>
  <c r="DT216" i="3"/>
  <c r="DS216" i="3"/>
  <c r="DR216" i="3"/>
  <c r="DQ216" i="3"/>
  <c r="DP216" i="3"/>
  <c r="DO216" i="3"/>
  <c r="DN216" i="3"/>
  <c r="DM216" i="3"/>
  <c r="DL216" i="3"/>
  <c r="DK216" i="3"/>
  <c r="DJ216" i="3"/>
  <c r="DI216" i="3"/>
  <c r="DF216" i="3"/>
  <c r="DE216" i="3"/>
  <c r="DD216" i="3"/>
  <c r="DC216" i="3"/>
  <c r="DB216" i="3"/>
  <c r="DA216" i="3"/>
  <c r="CO216" i="3"/>
  <c r="CN216" i="3"/>
  <c r="CL216" i="3"/>
  <c r="CM216" i="3" s="1"/>
  <c r="AE216" i="3" s="1"/>
  <c r="AH216" i="3" s="1"/>
  <c r="CK216" i="3"/>
  <c r="CJ216" i="3"/>
  <c r="CI216" i="3"/>
  <c r="CH216" i="3"/>
  <c r="BE216" i="3"/>
  <c r="AX216" i="3"/>
  <c r="AU216" i="3"/>
  <c r="AT216" i="3" s="1"/>
  <c r="AS216" i="3"/>
  <c r="AR216" i="3" s="1"/>
  <c r="AP216" i="3"/>
  <c r="AO216" i="3"/>
  <c r="AN216" i="3"/>
  <c r="Y216" i="3"/>
  <c r="X216" i="3"/>
  <c r="DW215" i="3"/>
  <c r="DV215" i="3"/>
  <c r="DU215" i="3"/>
  <c r="DT215" i="3"/>
  <c r="DS215" i="3"/>
  <c r="DR215" i="3"/>
  <c r="DQ215" i="3"/>
  <c r="DP215" i="3"/>
  <c r="DO215" i="3"/>
  <c r="DN215" i="3"/>
  <c r="DM215" i="3"/>
  <c r="DL215" i="3"/>
  <c r="DK215" i="3"/>
  <c r="DJ215" i="3"/>
  <c r="DI215" i="3"/>
  <c r="DF215" i="3"/>
  <c r="DE215" i="3"/>
  <c r="DD215" i="3"/>
  <c r="DC215" i="3"/>
  <c r="DB215" i="3"/>
  <c r="DA215" i="3"/>
  <c r="CO215" i="3"/>
  <c r="CN215" i="3"/>
  <c r="CL215" i="3"/>
  <c r="CM215" i="3" s="1"/>
  <c r="AE215" i="3" s="1"/>
  <c r="AH215" i="3" s="1"/>
  <c r="CK215" i="3"/>
  <c r="CJ215" i="3"/>
  <c r="CI215" i="3"/>
  <c r="CH215" i="3"/>
  <c r="BE215" i="3"/>
  <c r="AX215" i="3"/>
  <c r="AU215" i="3"/>
  <c r="AT215" i="3" s="1"/>
  <c r="AS215" i="3"/>
  <c r="AR215" i="3" s="1"/>
  <c r="AP215" i="3"/>
  <c r="AO215" i="3"/>
  <c r="AN215" i="3"/>
  <c r="Y215" i="3"/>
  <c r="X215" i="3"/>
  <c r="DW214" i="3"/>
  <c r="DV214" i="3"/>
  <c r="DU214" i="3"/>
  <c r="DT214" i="3"/>
  <c r="DS214" i="3"/>
  <c r="DR214" i="3"/>
  <c r="DQ214" i="3"/>
  <c r="DP214" i="3"/>
  <c r="DO214" i="3"/>
  <c r="DN214" i="3"/>
  <c r="DM214" i="3"/>
  <c r="DL214" i="3"/>
  <c r="DK214" i="3"/>
  <c r="DJ214" i="3"/>
  <c r="DI214" i="3"/>
  <c r="DF214" i="3"/>
  <c r="DE214" i="3"/>
  <c r="DD214" i="3"/>
  <c r="DC214" i="3"/>
  <c r="DB214" i="3"/>
  <c r="DA214" i="3"/>
  <c r="CO214" i="3"/>
  <c r="CN214" i="3"/>
  <c r="CL214" i="3"/>
  <c r="CM214" i="3" s="1"/>
  <c r="AE214" i="3" s="1"/>
  <c r="AH214" i="3" s="1"/>
  <c r="CK214" i="3"/>
  <c r="CJ214" i="3"/>
  <c r="CI214" i="3"/>
  <c r="CH214" i="3"/>
  <c r="BE214" i="3"/>
  <c r="AX214" i="3"/>
  <c r="AU214" i="3"/>
  <c r="AT214" i="3" s="1"/>
  <c r="AS214" i="3"/>
  <c r="AR214" i="3" s="1"/>
  <c r="AP214" i="3"/>
  <c r="AO214" i="3"/>
  <c r="AN214" i="3"/>
  <c r="Y214" i="3"/>
  <c r="X214" i="3"/>
  <c r="DW213" i="3"/>
  <c r="DV213" i="3"/>
  <c r="DU213" i="3"/>
  <c r="DT213" i="3"/>
  <c r="DS213" i="3"/>
  <c r="DR213" i="3"/>
  <c r="DQ213" i="3"/>
  <c r="DP213" i="3"/>
  <c r="DO213" i="3"/>
  <c r="DN213" i="3"/>
  <c r="DM213" i="3"/>
  <c r="DL213" i="3"/>
  <c r="DK213" i="3"/>
  <c r="DJ213" i="3"/>
  <c r="DI213" i="3"/>
  <c r="DF213" i="3"/>
  <c r="DE213" i="3"/>
  <c r="DD213" i="3"/>
  <c r="DC213" i="3"/>
  <c r="DB213" i="3"/>
  <c r="DA213" i="3"/>
  <c r="CO213" i="3"/>
  <c r="CN213" i="3"/>
  <c r="CL213" i="3"/>
  <c r="CM213" i="3" s="1"/>
  <c r="AE213" i="3" s="1"/>
  <c r="CK213" i="3"/>
  <c r="CJ213" i="3"/>
  <c r="CI213" i="3"/>
  <c r="CH213" i="3"/>
  <c r="BE213" i="3"/>
  <c r="AX213" i="3"/>
  <c r="AU213" i="3"/>
  <c r="AT213" i="3" s="1"/>
  <c r="AS213" i="3"/>
  <c r="AR213" i="3" s="1"/>
  <c r="AP213" i="3"/>
  <c r="AO213" i="3"/>
  <c r="AN213" i="3"/>
  <c r="Y213" i="3"/>
  <c r="X213" i="3"/>
  <c r="DW212" i="3"/>
  <c r="DV212" i="3"/>
  <c r="DU212" i="3"/>
  <c r="DT212" i="3"/>
  <c r="DS212" i="3"/>
  <c r="DR212" i="3"/>
  <c r="DQ212" i="3"/>
  <c r="DP212" i="3"/>
  <c r="DO212" i="3"/>
  <c r="DN212" i="3"/>
  <c r="DM212" i="3"/>
  <c r="DL212" i="3"/>
  <c r="DK212" i="3"/>
  <c r="DJ212" i="3"/>
  <c r="DI212" i="3"/>
  <c r="DF212" i="3"/>
  <c r="DE212" i="3"/>
  <c r="DD212" i="3"/>
  <c r="DC212" i="3"/>
  <c r="DB212" i="3"/>
  <c r="DA212" i="3"/>
  <c r="CO212" i="3"/>
  <c r="CN212" i="3"/>
  <c r="CL212" i="3"/>
  <c r="CM212" i="3" s="1"/>
  <c r="AE212" i="3" s="1"/>
  <c r="CK212" i="3"/>
  <c r="CJ212" i="3"/>
  <c r="CI212" i="3"/>
  <c r="CH212" i="3"/>
  <c r="BE212" i="3"/>
  <c r="AX212" i="3"/>
  <c r="AU212" i="3"/>
  <c r="AT212" i="3" s="1"/>
  <c r="AS212" i="3"/>
  <c r="AR212" i="3" s="1"/>
  <c r="AP212" i="3"/>
  <c r="AO212" i="3"/>
  <c r="AN212" i="3"/>
  <c r="Y212" i="3"/>
  <c r="X212" i="3"/>
  <c r="DW211" i="3"/>
  <c r="DV211" i="3"/>
  <c r="DU211" i="3"/>
  <c r="DT211" i="3"/>
  <c r="DS211" i="3"/>
  <c r="DR211" i="3"/>
  <c r="DQ211" i="3"/>
  <c r="DP211" i="3"/>
  <c r="DO211" i="3"/>
  <c r="DN211" i="3"/>
  <c r="DM211" i="3"/>
  <c r="DL211" i="3"/>
  <c r="DK211" i="3"/>
  <c r="DJ211" i="3"/>
  <c r="DI211" i="3"/>
  <c r="DF211" i="3"/>
  <c r="DE211" i="3"/>
  <c r="DD211" i="3"/>
  <c r="DC211" i="3"/>
  <c r="DB211" i="3"/>
  <c r="DA211" i="3"/>
  <c r="CO211" i="3"/>
  <c r="CN211" i="3"/>
  <c r="CL211" i="3"/>
  <c r="CM211" i="3" s="1"/>
  <c r="AE211" i="3" s="1"/>
  <c r="CK211" i="3"/>
  <c r="CJ211" i="3"/>
  <c r="CI211" i="3"/>
  <c r="CH211" i="3"/>
  <c r="BE211" i="3"/>
  <c r="AX211" i="3"/>
  <c r="AU211" i="3"/>
  <c r="AT211" i="3" s="1"/>
  <c r="AS211" i="3"/>
  <c r="AR211" i="3" s="1"/>
  <c r="AP211" i="3"/>
  <c r="AO211" i="3"/>
  <c r="AN211" i="3"/>
  <c r="Y211" i="3"/>
  <c r="X211" i="3"/>
  <c r="DW210" i="3"/>
  <c r="DV210" i="3"/>
  <c r="DU210" i="3"/>
  <c r="DT210" i="3"/>
  <c r="DS210" i="3"/>
  <c r="DR210" i="3"/>
  <c r="DQ210" i="3"/>
  <c r="DP210" i="3"/>
  <c r="DO210" i="3"/>
  <c r="DN210" i="3"/>
  <c r="DM210" i="3"/>
  <c r="DL210" i="3"/>
  <c r="DK210" i="3"/>
  <c r="DJ210" i="3"/>
  <c r="DI210" i="3"/>
  <c r="DF210" i="3"/>
  <c r="DE210" i="3"/>
  <c r="DD210" i="3"/>
  <c r="DC210" i="3"/>
  <c r="DB210" i="3"/>
  <c r="DA210" i="3"/>
  <c r="CO210" i="3"/>
  <c r="CN210" i="3"/>
  <c r="CL210" i="3"/>
  <c r="CM210" i="3" s="1"/>
  <c r="AE210" i="3" s="1"/>
  <c r="AH210" i="3" s="1"/>
  <c r="CK210" i="3"/>
  <c r="CJ210" i="3"/>
  <c r="CI210" i="3"/>
  <c r="CH210" i="3"/>
  <c r="BE210" i="3"/>
  <c r="AX210" i="3"/>
  <c r="AU210" i="3"/>
  <c r="AT210" i="3" s="1"/>
  <c r="AS210" i="3"/>
  <c r="AR210" i="3" s="1"/>
  <c r="AP210" i="3"/>
  <c r="AO210" i="3"/>
  <c r="AN210" i="3"/>
  <c r="Y210" i="3"/>
  <c r="X210" i="3"/>
  <c r="DW209" i="3"/>
  <c r="DV209" i="3"/>
  <c r="DU209" i="3"/>
  <c r="DT209" i="3"/>
  <c r="DS209" i="3"/>
  <c r="DR209" i="3"/>
  <c r="DQ209" i="3"/>
  <c r="DP209" i="3"/>
  <c r="DO209" i="3"/>
  <c r="DN209" i="3"/>
  <c r="DM209" i="3"/>
  <c r="DL209" i="3"/>
  <c r="DK209" i="3"/>
  <c r="DJ209" i="3"/>
  <c r="DI209" i="3"/>
  <c r="DF209" i="3"/>
  <c r="DE209" i="3"/>
  <c r="DD209" i="3"/>
  <c r="DC209" i="3"/>
  <c r="DB209" i="3"/>
  <c r="DA209" i="3"/>
  <c r="CO209" i="3"/>
  <c r="CN209" i="3"/>
  <c r="CL209" i="3"/>
  <c r="CM209" i="3" s="1"/>
  <c r="AE209" i="3" s="1"/>
  <c r="CK209" i="3"/>
  <c r="CJ209" i="3"/>
  <c r="CI209" i="3"/>
  <c r="CH209" i="3"/>
  <c r="BE209" i="3"/>
  <c r="AX209" i="3"/>
  <c r="AU209" i="3"/>
  <c r="AT209" i="3" s="1"/>
  <c r="AS209" i="3"/>
  <c r="AR209" i="3" s="1"/>
  <c r="AP209" i="3"/>
  <c r="AO209" i="3"/>
  <c r="AN209" i="3"/>
  <c r="Y209" i="3"/>
  <c r="X209" i="3"/>
  <c r="DW208" i="3"/>
  <c r="DV208" i="3"/>
  <c r="DU208" i="3"/>
  <c r="DT208" i="3"/>
  <c r="DS208" i="3"/>
  <c r="DR208" i="3"/>
  <c r="DQ208" i="3"/>
  <c r="DP208" i="3"/>
  <c r="DO208" i="3"/>
  <c r="DN208" i="3"/>
  <c r="DM208" i="3"/>
  <c r="DL208" i="3"/>
  <c r="DK208" i="3"/>
  <c r="DJ208" i="3"/>
  <c r="DI208" i="3"/>
  <c r="DF208" i="3"/>
  <c r="DE208" i="3"/>
  <c r="DD208" i="3"/>
  <c r="DC208" i="3"/>
  <c r="DB208" i="3"/>
  <c r="DA208" i="3"/>
  <c r="CO208" i="3"/>
  <c r="CN208" i="3"/>
  <c r="CL208" i="3"/>
  <c r="CM208" i="3" s="1"/>
  <c r="AE208" i="3" s="1"/>
  <c r="CK208" i="3"/>
  <c r="CJ208" i="3"/>
  <c r="CI208" i="3"/>
  <c r="CH208" i="3"/>
  <c r="BE208" i="3"/>
  <c r="AX208" i="3"/>
  <c r="AU208" i="3"/>
  <c r="AT208" i="3" s="1"/>
  <c r="AS208" i="3"/>
  <c r="AR208" i="3" s="1"/>
  <c r="AP208" i="3"/>
  <c r="AO208" i="3"/>
  <c r="AN208" i="3"/>
  <c r="Y208" i="3"/>
  <c r="X208" i="3"/>
  <c r="DW207" i="3"/>
  <c r="DV207" i="3"/>
  <c r="DU207" i="3"/>
  <c r="DT207" i="3"/>
  <c r="DS207" i="3"/>
  <c r="DR207" i="3"/>
  <c r="DQ207" i="3"/>
  <c r="DP207" i="3"/>
  <c r="DO207" i="3"/>
  <c r="DN207" i="3"/>
  <c r="DM207" i="3"/>
  <c r="DL207" i="3"/>
  <c r="DK207" i="3"/>
  <c r="DJ207" i="3"/>
  <c r="DI207" i="3"/>
  <c r="DF207" i="3"/>
  <c r="DE207" i="3"/>
  <c r="DD207" i="3"/>
  <c r="DC207" i="3"/>
  <c r="DB207" i="3"/>
  <c r="DA207" i="3"/>
  <c r="CO207" i="3"/>
  <c r="CN207" i="3"/>
  <c r="CL207" i="3"/>
  <c r="CM207" i="3" s="1"/>
  <c r="AE207" i="3" s="1"/>
  <c r="AH207" i="3" s="1"/>
  <c r="CK207" i="3"/>
  <c r="CJ207" i="3"/>
  <c r="CI207" i="3"/>
  <c r="CH207" i="3"/>
  <c r="BE207" i="3"/>
  <c r="AX207" i="3"/>
  <c r="AU207" i="3"/>
  <c r="AT207" i="3" s="1"/>
  <c r="AS207" i="3"/>
  <c r="AR207" i="3" s="1"/>
  <c r="AP207" i="3"/>
  <c r="AO207" i="3"/>
  <c r="AN207" i="3"/>
  <c r="Y207" i="3"/>
  <c r="X207" i="3"/>
  <c r="DW206" i="3"/>
  <c r="DV206" i="3"/>
  <c r="DU206" i="3"/>
  <c r="DT206" i="3"/>
  <c r="DS206" i="3"/>
  <c r="DR206" i="3"/>
  <c r="DQ206" i="3"/>
  <c r="DP206" i="3"/>
  <c r="DO206" i="3"/>
  <c r="DN206" i="3"/>
  <c r="DM206" i="3"/>
  <c r="DL206" i="3"/>
  <c r="DK206" i="3"/>
  <c r="DJ206" i="3"/>
  <c r="DI206" i="3"/>
  <c r="DF206" i="3"/>
  <c r="DE206" i="3"/>
  <c r="DD206" i="3"/>
  <c r="DC206" i="3"/>
  <c r="DB206" i="3"/>
  <c r="DA206" i="3"/>
  <c r="CO206" i="3"/>
  <c r="CN206" i="3"/>
  <c r="CL206" i="3"/>
  <c r="CM206" i="3" s="1"/>
  <c r="AE206" i="3" s="1"/>
  <c r="AH206" i="3" s="1"/>
  <c r="AI206" i="3" s="1"/>
  <c r="CK206" i="3"/>
  <c r="CJ206" i="3"/>
  <c r="CI206" i="3"/>
  <c r="CH206" i="3"/>
  <c r="BE206" i="3"/>
  <c r="AX206" i="3"/>
  <c r="AU206" i="3"/>
  <c r="AT206" i="3" s="1"/>
  <c r="AS206" i="3"/>
  <c r="AR206" i="3" s="1"/>
  <c r="AP206" i="3"/>
  <c r="AO206" i="3"/>
  <c r="AN206" i="3"/>
  <c r="Y206" i="3"/>
  <c r="X206" i="3"/>
  <c r="DW205" i="3"/>
  <c r="DV205" i="3"/>
  <c r="DU205" i="3"/>
  <c r="DT205" i="3"/>
  <c r="DS205" i="3"/>
  <c r="DR205" i="3"/>
  <c r="DQ205" i="3"/>
  <c r="DP205" i="3"/>
  <c r="DO205" i="3"/>
  <c r="DN205" i="3"/>
  <c r="DM205" i="3"/>
  <c r="DL205" i="3"/>
  <c r="DK205" i="3"/>
  <c r="DJ205" i="3"/>
  <c r="DI205" i="3"/>
  <c r="DF205" i="3"/>
  <c r="DE205" i="3"/>
  <c r="DD205" i="3"/>
  <c r="DC205" i="3"/>
  <c r="DB205" i="3"/>
  <c r="DA205" i="3"/>
  <c r="CO205" i="3"/>
  <c r="CN205" i="3"/>
  <c r="CL205" i="3"/>
  <c r="CM205" i="3" s="1"/>
  <c r="AE205" i="3" s="1"/>
  <c r="CK205" i="3"/>
  <c r="CJ205" i="3"/>
  <c r="CI205" i="3"/>
  <c r="CH205" i="3"/>
  <c r="BE205" i="3"/>
  <c r="AX205" i="3"/>
  <c r="AU205" i="3"/>
  <c r="AT205" i="3" s="1"/>
  <c r="AS205" i="3"/>
  <c r="AR205" i="3" s="1"/>
  <c r="AP205" i="3"/>
  <c r="AO205" i="3"/>
  <c r="AN205" i="3"/>
  <c r="Y205" i="3"/>
  <c r="X205" i="3"/>
  <c r="DW204" i="3"/>
  <c r="DV204" i="3"/>
  <c r="DU204" i="3"/>
  <c r="DT204" i="3"/>
  <c r="DS204" i="3"/>
  <c r="DR204" i="3"/>
  <c r="DQ204" i="3"/>
  <c r="DP204" i="3"/>
  <c r="DO204" i="3"/>
  <c r="DN204" i="3"/>
  <c r="DM204" i="3"/>
  <c r="DL204" i="3"/>
  <c r="DK204" i="3"/>
  <c r="DJ204" i="3"/>
  <c r="DI204" i="3"/>
  <c r="DF204" i="3"/>
  <c r="DE204" i="3"/>
  <c r="DD204" i="3"/>
  <c r="DC204" i="3"/>
  <c r="DB204" i="3"/>
  <c r="DA204" i="3"/>
  <c r="CO204" i="3"/>
  <c r="CN204" i="3"/>
  <c r="CL204" i="3"/>
  <c r="CM204" i="3" s="1"/>
  <c r="AE204" i="3" s="1"/>
  <c r="CK204" i="3"/>
  <c r="CJ204" i="3"/>
  <c r="CI204" i="3"/>
  <c r="CH204" i="3"/>
  <c r="BE204" i="3"/>
  <c r="AX204" i="3"/>
  <c r="AU204" i="3"/>
  <c r="AT204" i="3" s="1"/>
  <c r="AS204" i="3"/>
  <c r="AR204" i="3" s="1"/>
  <c r="AP204" i="3"/>
  <c r="AO204" i="3"/>
  <c r="AN204" i="3"/>
  <c r="Y204" i="3"/>
  <c r="X204" i="3"/>
  <c r="DW203" i="3"/>
  <c r="DV203" i="3"/>
  <c r="DU203" i="3"/>
  <c r="DT203" i="3"/>
  <c r="DS203" i="3"/>
  <c r="DR203" i="3"/>
  <c r="DQ203" i="3"/>
  <c r="DP203" i="3"/>
  <c r="DO203" i="3"/>
  <c r="DN203" i="3"/>
  <c r="DM203" i="3"/>
  <c r="DL203" i="3"/>
  <c r="DK203" i="3"/>
  <c r="DJ203" i="3"/>
  <c r="DI203" i="3"/>
  <c r="DF203" i="3"/>
  <c r="DE203" i="3"/>
  <c r="DD203" i="3"/>
  <c r="DC203" i="3"/>
  <c r="DB203" i="3"/>
  <c r="DA203" i="3"/>
  <c r="CO203" i="3"/>
  <c r="CN203" i="3"/>
  <c r="CL203" i="3"/>
  <c r="CM203" i="3" s="1"/>
  <c r="AE203" i="3" s="1"/>
  <c r="CK203" i="3"/>
  <c r="CJ203" i="3"/>
  <c r="CI203" i="3"/>
  <c r="CH203" i="3"/>
  <c r="BE203" i="3"/>
  <c r="AX203" i="3"/>
  <c r="AU203" i="3"/>
  <c r="AT203" i="3" s="1"/>
  <c r="AS203" i="3"/>
  <c r="AR203" i="3" s="1"/>
  <c r="AP203" i="3"/>
  <c r="AO203" i="3"/>
  <c r="AN203" i="3"/>
  <c r="Y203" i="3"/>
  <c r="X203" i="3"/>
  <c r="DW202" i="3"/>
  <c r="DV202" i="3"/>
  <c r="DU202" i="3"/>
  <c r="DT202" i="3"/>
  <c r="DS202" i="3"/>
  <c r="DR202" i="3"/>
  <c r="DQ202" i="3"/>
  <c r="DP202" i="3"/>
  <c r="DO202" i="3"/>
  <c r="DN202" i="3"/>
  <c r="DM202" i="3"/>
  <c r="DL202" i="3"/>
  <c r="DK202" i="3"/>
  <c r="DJ202" i="3"/>
  <c r="DI202" i="3"/>
  <c r="DF202" i="3"/>
  <c r="DE202" i="3"/>
  <c r="DD202" i="3"/>
  <c r="DC202" i="3"/>
  <c r="DB202" i="3"/>
  <c r="DA202" i="3"/>
  <c r="CO202" i="3"/>
  <c r="CN202" i="3"/>
  <c r="CL202" i="3"/>
  <c r="CM202" i="3" s="1"/>
  <c r="AE202" i="3" s="1"/>
  <c r="AH202" i="3" s="1"/>
  <c r="AI202" i="3" s="1"/>
  <c r="CK202" i="3"/>
  <c r="CJ202" i="3"/>
  <c r="CI202" i="3"/>
  <c r="CH202" i="3"/>
  <c r="BE202" i="3"/>
  <c r="AX202" i="3"/>
  <c r="AU202" i="3"/>
  <c r="AT202" i="3" s="1"/>
  <c r="AS202" i="3"/>
  <c r="AR202" i="3" s="1"/>
  <c r="AP202" i="3"/>
  <c r="AO202" i="3"/>
  <c r="AN202" i="3"/>
  <c r="Y202" i="3"/>
  <c r="X202" i="3"/>
  <c r="DW201" i="3"/>
  <c r="DV201" i="3"/>
  <c r="DU201" i="3"/>
  <c r="DT201" i="3"/>
  <c r="DS201" i="3"/>
  <c r="DR201" i="3"/>
  <c r="DQ201" i="3"/>
  <c r="DP201" i="3"/>
  <c r="DO201" i="3"/>
  <c r="DN201" i="3"/>
  <c r="DM201" i="3"/>
  <c r="DL201" i="3"/>
  <c r="DK201" i="3"/>
  <c r="DJ201" i="3"/>
  <c r="DI201" i="3"/>
  <c r="DF201" i="3"/>
  <c r="DE201" i="3"/>
  <c r="DD201" i="3"/>
  <c r="DC201" i="3"/>
  <c r="DB201" i="3"/>
  <c r="DA201" i="3"/>
  <c r="CO201" i="3"/>
  <c r="CN201" i="3"/>
  <c r="CL201" i="3"/>
  <c r="CM201" i="3" s="1"/>
  <c r="AE201" i="3" s="1"/>
  <c r="CK201" i="3"/>
  <c r="CJ201" i="3"/>
  <c r="CI201" i="3"/>
  <c r="CH201" i="3"/>
  <c r="BE201" i="3"/>
  <c r="AX201" i="3"/>
  <c r="AU201" i="3"/>
  <c r="AT201" i="3" s="1"/>
  <c r="AS201" i="3"/>
  <c r="AR201" i="3" s="1"/>
  <c r="AP201" i="3"/>
  <c r="AO201" i="3"/>
  <c r="AN201" i="3"/>
  <c r="Y201" i="3"/>
  <c r="X201" i="3"/>
  <c r="DW200" i="3"/>
  <c r="DV200" i="3"/>
  <c r="DU200" i="3"/>
  <c r="DT200" i="3"/>
  <c r="DS200" i="3"/>
  <c r="DR200" i="3"/>
  <c r="DQ200" i="3"/>
  <c r="DP200" i="3"/>
  <c r="DO200" i="3"/>
  <c r="DN200" i="3"/>
  <c r="DM200" i="3"/>
  <c r="DL200" i="3"/>
  <c r="DK200" i="3"/>
  <c r="DJ200" i="3"/>
  <c r="DI200" i="3"/>
  <c r="DF200" i="3"/>
  <c r="DE200" i="3"/>
  <c r="DD200" i="3"/>
  <c r="DC200" i="3"/>
  <c r="DB200" i="3"/>
  <c r="DA200" i="3"/>
  <c r="CO200" i="3"/>
  <c r="CN200" i="3"/>
  <c r="CL200" i="3"/>
  <c r="CM200" i="3" s="1"/>
  <c r="AE200" i="3" s="1"/>
  <c r="CK200" i="3"/>
  <c r="CJ200" i="3"/>
  <c r="CI200" i="3"/>
  <c r="CH200" i="3"/>
  <c r="BE200" i="3"/>
  <c r="AX200" i="3"/>
  <c r="AU200" i="3"/>
  <c r="AT200" i="3" s="1"/>
  <c r="AS200" i="3"/>
  <c r="AR200" i="3" s="1"/>
  <c r="AP200" i="3"/>
  <c r="AO200" i="3"/>
  <c r="AN200" i="3"/>
  <c r="Y200" i="3"/>
  <c r="X200" i="3"/>
  <c r="DW199" i="3"/>
  <c r="DV199" i="3"/>
  <c r="DU199" i="3"/>
  <c r="DT199" i="3"/>
  <c r="DS199" i="3"/>
  <c r="DR199" i="3"/>
  <c r="DQ199" i="3"/>
  <c r="DP199" i="3"/>
  <c r="DO199" i="3"/>
  <c r="DN199" i="3"/>
  <c r="DM199" i="3"/>
  <c r="DL199" i="3"/>
  <c r="DK199" i="3"/>
  <c r="DJ199" i="3"/>
  <c r="DI199" i="3"/>
  <c r="DF199" i="3"/>
  <c r="DE199" i="3"/>
  <c r="DD199" i="3"/>
  <c r="DC199" i="3"/>
  <c r="DB199" i="3"/>
  <c r="DA199" i="3"/>
  <c r="CO199" i="3"/>
  <c r="CN199" i="3"/>
  <c r="CL199" i="3"/>
  <c r="CM199" i="3" s="1"/>
  <c r="AE199" i="3" s="1"/>
  <c r="AH199" i="3" s="1"/>
  <c r="CK199" i="3"/>
  <c r="CJ199" i="3"/>
  <c r="CI199" i="3"/>
  <c r="CH199" i="3"/>
  <c r="BE199" i="3"/>
  <c r="AX199" i="3"/>
  <c r="AU199" i="3"/>
  <c r="AT199" i="3" s="1"/>
  <c r="AS199" i="3"/>
  <c r="AR199" i="3" s="1"/>
  <c r="AP199" i="3"/>
  <c r="AO199" i="3"/>
  <c r="AN199" i="3"/>
  <c r="Y199" i="3"/>
  <c r="X199" i="3"/>
  <c r="DW198" i="3"/>
  <c r="DV198" i="3"/>
  <c r="DU198" i="3"/>
  <c r="DT198" i="3"/>
  <c r="DS198" i="3"/>
  <c r="DR198" i="3"/>
  <c r="DQ198" i="3"/>
  <c r="DP198" i="3"/>
  <c r="DO198" i="3"/>
  <c r="DN198" i="3"/>
  <c r="DM198" i="3"/>
  <c r="DL198" i="3"/>
  <c r="DK198" i="3"/>
  <c r="DJ198" i="3"/>
  <c r="DI198" i="3"/>
  <c r="DF198" i="3"/>
  <c r="DE198" i="3"/>
  <c r="DD198" i="3"/>
  <c r="DC198" i="3"/>
  <c r="DB198" i="3"/>
  <c r="DA198" i="3"/>
  <c r="CO198" i="3"/>
  <c r="CN198" i="3"/>
  <c r="CL198" i="3"/>
  <c r="CM198" i="3" s="1"/>
  <c r="AE198" i="3" s="1"/>
  <c r="AH198" i="3" s="1"/>
  <c r="AI198" i="3" s="1"/>
  <c r="CK198" i="3"/>
  <c r="CJ198" i="3"/>
  <c r="CI198" i="3"/>
  <c r="CH198" i="3"/>
  <c r="BE198" i="3"/>
  <c r="AX198" i="3"/>
  <c r="AU198" i="3"/>
  <c r="AT198" i="3" s="1"/>
  <c r="AS198" i="3"/>
  <c r="AR198" i="3" s="1"/>
  <c r="AP198" i="3"/>
  <c r="AO198" i="3"/>
  <c r="AN198" i="3"/>
  <c r="Y198" i="3"/>
  <c r="X198" i="3"/>
  <c r="DW197" i="3"/>
  <c r="DV197" i="3"/>
  <c r="DU197" i="3"/>
  <c r="DT197" i="3"/>
  <c r="DS197" i="3"/>
  <c r="DR197" i="3"/>
  <c r="DQ197" i="3"/>
  <c r="DP197" i="3"/>
  <c r="DO197" i="3"/>
  <c r="DN197" i="3"/>
  <c r="DM197" i="3"/>
  <c r="DL197" i="3"/>
  <c r="DK197" i="3"/>
  <c r="DJ197" i="3"/>
  <c r="DI197" i="3"/>
  <c r="DF197" i="3"/>
  <c r="DE197" i="3"/>
  <c r="DD197" i="3"/>
  <c r="DC197" i="3"/>
  <c r="DB197" i="3"/>
  <c r="DA197" i="3"/>
  <c r="CO197" i="3"/>
  <c r="CN197" i="3"/>
  <c r="CL197" i="3"/>
  <c r="CM197" i="3" s="1"/>
  <c r="AE197" i="3" s="1"/>
  <c r="CK197" i="3"/>
  <c r="CJ197" i="3"/>
  <c r="CI197" i="3"/>
  <c r="CH197" i="3"/>
  <c r="BE197" i="3"/>
  <c r="AX197" i="3"/>
  <c r="AU197" i="3"/>
  <c r="AT197" i="3" s="1"/>
  <c r="AS197" i="3"/>
  <c r="AR197" i="3" s="1"/>
  <c r="AP197" i="3"/>
  <c r="AO197" i="3"/>
  <c r="AN197" i="3"/>
  <c r="Y197" i="3"/>
  <c r="X197" i="3"/>
  <c r="DW196" i="3"/>
  <c r="DV196" i="3"/>
  <c r="DU196" i="3"/>
  <c r="DT196" i="3"/>
  <c r="DS196" i="3"/>
  <c r="DR196" i="3"/>
  <c r="DQ196" i="3"/>
  <c r="DP196" i="3"/>
  <c r="DO196" i="3"/>
  <c r="DN196" i="3"/>
  <c r="DM196" i="3"/>
  <c r="DL196" i="3"/>
  <c r="DK196" i="3"/>
  <c r="DJ196" i="3"/>
  <c r="DI196" i="3"/>
  <c r="DF196" i="3"/>
  <c r="DE196" i="3"/>
  <c r="DD196" i="3"/>
  <c r="DC196" i="3"/>
  <c r="DB196" i="3"/>
  <c r="DA196" i="3"/>
  <c r="CO196" i="3"/>
  <c r="CN196" i="3"/>
  <c r="CL196" i="3"/>
  <c r="CM196" i="3" s="1"/>
  <c r="AE196" i="3" s="1"/>
  <c r="CK196" i="3"/>
  <c r="CJ196" i="3"/>
  <c r="CI196" i="3"/>
  <c r="CH196" i="3"/>
  <c r="BE196" i="3"/>
  <c r="AX196" i="3"/>
  <c r="AU196" i="3"/>
  <c r="AT196" i="3" s="1"/>
  <c r="AS196" i="3"/>
  <c r="AR196" i="3" s="1"/>
  <c r="AP196" i="3"/>
  <c r="AO196" i="3"/>
  <c r="AN196" i="3"/>
  <c r="Y196" i="3"/>
  <c r="X196" i="3"/>
  <c r="DW195" i="3"/>
  <c r="DV195" i="3"/>
  <c r="DU195" i="3"/>
  <c r="DT195" i="3"/>
  <c r="DS195" i="3"/>
  <c r="DR195" i="3"/>
  <c r="DQ195" i="3"/>
  <c r="DP195" i="3"/>
  <c r="DO195" i="3"/>
  <c r="DN195" i="3"/>
  <c r="DM195" i="3"/>
  <c r="DL195" i="3"/>
  <c r="DK195" i="3"/>
  <c r="DJ195" i="3"/>
  <c r="DI195" i="3"/>
  <c r="DF195" i="3"/>
  <c r="DE195" i="3"/>
  <c r="DD195" i="3"/>
  <c r="DC195" i="3"/>
  <c r="DB195" i="3"/>
  <c r="DA195" i="3"/>
  <c r="CO195" i="3"/>
  <c r="CN195" i="3"/>
  <c r="CL195" i="3"/>
  <c r="CM195" i="3" s="1"/>
  <c r="AE195" i="3" s="1"/>
  <c r="CK195" i="3"/>
  <c r="CJ195" i="3"/>
  <c r="CI195" i="3"/>
  <c r="CH195" i="3"/>
  <c r="BE195" i="3"/>
  <c r="AX195" i="3"/>
  <c r="AU195" i="3"/>
  <c r="AT195" i="3" s="1"/>
  <c r="AS195" i="3"/>
  <c r="AR195" i="3" s="1"/>
  <c r="AP195" i="3"/>
  <c r="AO195" i="3"/>
  <c r="AN195" i="3"/>
  <c r="Y195" i="3"/>
  <c r="X195" i="3"/>
  <c r="DW194" i="3"/>
  <c r="DV194" i="3"/>
  <c r="DU194" i="3"/>
  <c r="DT194" i="3"/>
  <c r="DS194" i="3"/>
  <c r="DR194" i="3"/>
  <c r="DQ194" i="3"/>
  <c r="DP194" i="3"/>
  <c r="DO194" i="3"/>
  <c r="DN194" i="3"/>
  <c r="DM194" i="3"/>
  <c r="DL194" i="3"/>
  <c r="DK194" i="3"/>
  <c r="DJ194" i="3"/>
  <c r="DI194" i="3"/>
  <c r="DF194" i="3"/>
  <c r="DE194" i="3"/>
  <c r="DD194" i="3"/>
  <c r="DC194" i="3"/>
  <c r="DB194" i="3"/>
  <c r="DA194" i="3"/>
  <c r="CO194" i="3"/>
  <c r="CN194" i="3"/>
  <c r="CL194" i="3"/>
  <c r="CM194" i="3" s="1"/>
  <c r="AE194" i="3" s="1"/>
  <c r="AH194" i="3" s="1"/>
  <c r="AI194" i="3" s="1"/>
  <c r="CK194" i="3"/>
  <c r="CJ194" i="3"/>
  <c r="CI194" i="3"/>
  <c r="CH194" i="3"/>
  <c r="BE194" i="3"/>
  <c r="AX194" i="3"/>
  <c r="AU194" i="3"/>
  <c r="AT194" i="3" s="1"/>
  <c r="AS194" i="3"/>
  <c r="AR194" i="3" s="1"/>
  <c r="AP194" i="3"/>
  <c r="AO194" i="3"/>
  <c r="AN194" i="3"/>
  <c r="Y194" i="3"/>
  <c r="X194" i="3"/>
  <c r="DW193" i="3"/>
  <c r="DV193" i="3"/>
  <c r="DU193" i="3"/>
  <c r="DT193" i="3"/>
  <c r="DS193" i="3"/>
  <c r="DR193" i="3"/>
  <c r="DQ193" i="3"/>
  <c r="DP193" i="3"/>
  <c r="DO193" i="3"/>
  <c r="DN193" i="3"/>
  <c r="DM193" i="3"/>
  <c r="DL193" i="3"/>
  <c r="DK193" i="3"/>
  <c r="DJ193" i="3"/>
  <c r="DI193" i="3"/>
  <c r="DF193" i="3"/>
  <c r="DE193" i="3"/>
  <c r="DD193" i="3"/>
  <c r="DC193" i="3"/>
  <c r="DB193" i="3"/>
  <c r="DA193" i="3"/>
  <c r="CO193" i="3"/>
  <c r="CN193" i="3"/>
  <c r="CL193" i="3"/>
  <c r="CM193" i="3" s="1"/>
  <c r="AE193" i="3" s="1"/>
  <c r="CK193" i="3"/>
  <c r="CJ193" i="3"/>
  <c r="CI193" i="3"/>
  <c r="CH193" i="3"/>
  <c r="BE193" i="3"/>
  <c r="AX193" i="3"/>
  <c r="AU193" i="3"/>
  <c r="AT193" i="3" s="1"/>
  <c r="AS193" i="3"/>
  <c r="AR193" i="3" s="1"/>
  <c r="AP193" i="3"/>
  <c r="AO193" i="3"/>
  <c r="AN193" i="3"/>
  <c r="Y193" i="3"/>
  <c r="X193" i="3"/>
  <c r="DW192" i="3"/>
  <c r="DV192" i="3"/>
  <c r="DU192" i="3"/>
  <c r="DT192" i="3"/>
  <c r="DS192" i="3"/>
  <c r="DR192" i="3"/>
  <c r="DQ192" i="3"/>
  <c r="DP192" i="3"/>
  <c r="DO192" i="3"/>
  <c r="DN192" i="3"/>
  <c r="DM192" i="3"/>
  <c r="DL192" i="3"/>
  <c r="DK192" i="3"/>
  <c r="DJ192" i="3"/>
  <c r="DI192" i="3"/>
  <c r="DF192" i="3"/>
  <c r="DE192" i="3"/>
  <c r="DD192" i="3"/>
  <c r="DC192" i="3"/>
  <c r="DB192" i="3"/>
  <c r="DA192" i="3"/>
  <c r="CO192" i="3"/>
  <c r="CN192" i="3"/>
  <c r="CL192" i="3"/>
  <c r="CM192" i="3" s="1"/>
  <c r="AE192" i="3" s="1"/>
  <c r="CK192" i="3"/>
  <c r="CJ192" i="3"/>
  <c r="CI192" i="3"/>
  <c r="CH192" i="3"/>
  <c r="BE192" i="3"/>
  <c r="AX192" i="3"/>
  <c r="AU192" i="3"/>
  <c r="AT192" i="3" s="1"/>
  <c r="AS192" i="3"/>
  <c r="AR192" i="3" s="1"/>
  <c r="AP192" i="3"/>
  <c r="AO192" i="3"/>
  <c r="AN192" i="3"/>
  <c r="Y192" i="3"/>
  <c r="X192" i="3"/>
  <c r="DW191" i="3"/>
  <c r="DV191" i="3"/>
  <c r="DU191" i="3"/>
  <c r="DT191" i="3"/>
  <c r="DS191" i="3"/>
  <c r="DR191" i="3"/>
  <c r="DQ191" i="3"/>
  <c r="DP191" i="3"/>
  <c r="DO191" i="3"/>
  <c r="DN191" i="3"/>
  <c r="DM191" i="3"/>
  <c r="DL191" i="3"/>
  <c r="DK191" i="3"/>
  <c r="DJ191" i="3"/>
  <c r="DI191" i="3"/>
  <c r="DF191" i="3"/>
  <c r="DE191" i="3"/>
  <c r="DD191" i="3"/>
  <c r="DC191" i="3"/>
  <c r="DB191" i="3"/>
  <c r="DA191" i="3"/>
  <c r="CO191" i="3"/>
  <c r="CN191" i="3"/>
  <c r="CL191" i="3"/>
  <c r="CM191" i="3" s="1"/>
  <c r="AE191" i="3" s="1"/>
  <c r="AH191" i="3" s="1"/>
  <c r="CK191" i="3"/>
  <c r="CJ191" i="3"/>
  <c r="CI191" i="3"/>
  <c r="CH191" i="3"/>
  <c r="BE191" i="3"/>
  <c r="AX191" i="3"/>
  <c r="AU191" i="3"/>
  <c r="AT191" i="3" s="1"/>
  <c r="AS191" i="3"/>
  <c r="AR191" i="3" s="1"/>
  <c r="AP191" i="3"/>
  <c r="AO191" i="3"/>
  <c r="AN191" i="3"/>
  <c r="Y191" i="3"/>
  <c r="X191" i="3"/>
  <c r="DW190" i="3"/>
  <c r="DV190" i="3"/>
  <c r="DU190" i="3"/>
  <c r="DT190" i="3"/>
  <c r="DS190" i="3"/>
  <c r="DR190" i="3"/>
  <c r="DQ190" i="3"/>
  <c r="DP190" i="3"/>
  <c r="DO190" i="3"/>
  <c r="DN190" i="3"/>
  <c r="DM190" i="3"/>
  <c r="DL190" i="3"/>
  <c r="DK190" i="3"/>
  <c r="DJ190" i="3"/>
  <c r="DI190" i="3"/>
  <c r="DF190" i="3"/>
  <c r="DE190" i="3"/>
  <c r="DD190" i="3"/>
  <c r="DC190" i="3"/>
  <c r="DB190" i="3"/>
  <c r="DA190" i="3"/>
  <c r="CO190" i="3"/>
  <c r="CN190" i="3"/>
  <c r="CL190" i="3"/>
  <c r="CM190" i="3" s="1"/>
  <c r="AE190" i="3" s="1"/>
  <c r="AH190" i="3" s="1"/>
  <c r="AI190" i="3" s="1"/>
  <c r="CK190" i="3"/>
  <c r="CJ190" i="3"/>
  <c r="CI190" i="3"/>
  <c r="CH190" i="3"/>
  <c r="BE190" i="3"/>
  <c r="AX190" i="3"/>
  <c r="AU190" i="3"/>
  <c r="AT190" i="3" s="1"/>
  <c r="AS190" i="3"/>
  <c r="AR190" i="3" s="1"/>
  <c r="AP190" i="3"/>
  <c r="AO190" i="3"/>
  <c r="AN190" i="3"/>
  <c r="Y190" i="3"/>
  <c r="X190" i="3"/>
  <c r="DW189" i="3"/>
  <c r="DV189" i="3"/>
  <c r="DU189" i="3"/>
  <c r="DT189" i="3"/>
  <c r="DS189" i="3"/>
  <c r="DR189" i="3"/>
  <c r="DQ189" i="3"/>
  <c r="DP189" i="3"/>
  <c r="DO189" i="3"/>
  <c r="DN189" i="3"/>
  <c r="DM189" i="3"/>
  <c r="DL189" i="3"/>
  <c r="DK189" i="3"/>
  <c r="DJ189" i="3"/>
  <c r="DI189" i="3"/>
  <c r="DF189" i="3"/>
  <c r="DE189" i="3"/>
  <c r="DD189" i="3"/>
  <c r="DC189" i="3"/>
  <c r="DB189" i="3"/>
  <c r="DA189" i="3"/>
  <c r="CO189" i="3"/>
  <c r="CN189" i="3"/>
  <c r="CL189" i="3"/>
  <c r="CM189" i="3" s="1"/>
  <c r="AE189" i="3" s="1"/>
  <c r="CK189" i="3"/>
  <c r="CJ189" i="3"/>
  <c r="CI189" i="3"/>
  <c r="CH189" i="3"/>
  <c r="BE189" i="3"/>
  <c r="AX189" i="3"/>
  <c r="AU189" i="3"/>
  <c r="AT189" i="3" s="1"/>
  <c r="AS189" i="3"/>
  <c r="AR189" i="3" s="1"/>
  <c r="AP189" i="3"/>
  <c r="AO189" i="3"/>
  <c r="AN189" i="3"/>
  <c r="Y189" i="3"/>
  <c r="X189" i="3"/>
  <c r="DW188" i="3"/>
  <c r="DV188" i="3"/>
  <c r="DU188" i="3"/>
  <c r="DT188" i="3"/>
  <c r="DS188" i="3"/>
  <c r="DR188" i="3"/>
  <c r="DQ188" i="3"/>
  <c r="DP188" i="3"/>
  <c r="DO188" i="3"/>
  <c r="DN188" i="3"/>
  <c r="DM188" i="3"/>
  <c r="DL188" i="3"/>
  <c r="DK188" i="3"/>
  <c r="DJ188" i="3"/>
  <c r="DI188" i="3"/>
  <c r="DF188" i="3"/>
  <c r="DE188" i="3"/>
  <c r="DD188" i="3"/>
  <c r="DC188" i="3"/>
  <c r="DB188" i="3"/>
  <c r="DA188" i="3"/>
  <c r="CO188" i="3"/>
  <c r="CN188" i="3"/>
  <c r="CL188" i="3"/>
  <c r="CM188" i="3" s="1"/>
  <c r="AE188" i="3" s="1"/>
  <c r="CK188" i="3"/>
  <c r="CJ188" i="3"/>
  <c r="CI188" i="3"/>
  <c r="CH188" i="3"/>
  <c r="BE188" i="3"/>
  <c r="AX188" i="3"/>
  <c r="AU188" i="3"/>
  <c r="AT188" i="3" s="1"/>
  <c r="AS188" i="3"/>
  <c r="AR188" i="3" s="1"/>
  <c r="AP188" i="3"/>
  <c r="AO188" i="3"/>
  <c r="AN188" i="3"/>
  <c r="Y188" i="3"/>
  <c r="X188" i="3"/>
  <c r="DW187" i="3"/>
  <c r="DV187" i="3"/>
  <c r="DU187" i="3"/>
  <c r="DT187" i="3"/>
  <c r="DS187" i="3"/>
  <c r="DR187" i="3"/>
  <c r="DQ187" i="3"/>
  <c r="DP187" i="3"/>
  <c r="DO187" i="3"/>
  <c r="DN187" i="3"/>
  <c r="DM187" i="3"/>
  <c r="DL187" i="3"/>
  <c r="DK187" i="3"/>
  <c r="DJ187" i="3"/>
  <c r="DI187" i="3"/>
  <c r="DF187" i="3"/>
  <c r="DE187" i="3"/>
  <c r="DD187" i="3"/>
  <c r="DC187" i="3"/>
  <c r="DB187" i="3"/>
  <c r="DA187" i="3"/>
  <c r="CO187" i="3"/>
  <c r="CN187" i="3"/>
  <c r="CL187" i="3"/>
  <c r="CM187" i="3" s="1"/>
  <c r="AE187" i="3" s="1"/>
  <c r="CK187" i="3"/>
  <c r="CJ187" i="3"/>
  <c r="CI187" i="3"/>
  <c r="CH187" i="3"/>
  <c r="BE187" i="3"/>
  <c r="AX187" i="3"/>
  <c r="AU187" i="3"/>
  <c r="AT187" i="3" s="1"/>
  <c r="AS187" i="3"/>
  <c r="AR187" i="3" s="1"/>
  <c r="AP187" i="3"/>
  <c r="AO187" i="3"/>
  <c r="AN187" i="3"/>
  <c r="Y187" i="3"/>
  <c r="X187" i="3"/>
  <c r="DW186" i="3"/>
  <c r="DV186" i="3"/>
  <c r="DU186" i="3"/>
  <c r="DT186" i="3"/>
  <c r="DS186" i="3"/>
  <c r="DR186" i="3"/>
  <c r="DQ186" i="3"/>
  <c r="DP186" i="3"/>
  <c r="DO186" i="3"/>
  <c r="DN186" i="3"/>
  <c r="DM186" i="3"/>
  <c r="DL186" i="3"/>
  <c r="DK186" i="3"/>
  <c r="DJ186" i="3"/>
  <c r="DI186" i="3"/>
  <c r="DF186" i="3"/>
  <c r="DE186" i="3"/>
  <c r="DD186" i="3"/>
  <c r="DC186" i="3"/>
  <c r="DB186" i="3"/>
  <c r="DA186" i="3"/>
  <c r="CO186" i="3"/>
  <c r="CN186" i="3"/>
  <c r="CL186" i="3"/>
  <c r="CM186" i="3" s="1"/>
  <c r="AE186" i="3" s="1"/>
  <c r="CK186" i="3"/>
  <c r="CJ186" i="3"/>
  <c r="CI186" i="3"/>
  <c r="CH186" i="3"/>
  <c r="BE186" i="3"/>
  <c r="AX186" i="3"/>
  <c r="AU186" i="3"/>
  <c r="AT186" i="3" s="1"/>
  <c r="AS186" i="3"/>
  <c r="AR186" i="3" s="1"/>
  <c r="AP186" i="3"/>
  <c r="AO186" i="3"/>
  <c r="AN186" i="3"/>
  <c r="Y186" i="3"/>
  <c r="X186" i="3"/>
  <c r="DW185" i="3"/>
  <c r="DV185" i="3"/>
  <c r="DU185" i="3"/>
  <c r="DT185" i="3"/>
  <c r="DS185" i="3"/>
  <c r="DR185" i="3"/>
  <c r="DQ185" i="3"/>
  <c r="DP185" i="3"/>
  <c r="DO185" i="3"/>
  <c r="DN185" i="3"/>
  <c r="DM185" i="3"/>
  <c r="DL185" i="3"/>
  <c r="DK185" i="3"/>
  <c r="DJ185" i="3"/>
  <c r="DI185" i="3"/>
  <c r="DF185" i="3"/>
  <c r="DE185" i="3"/>
  <c r="DD185" i="3"/>
  <c r="DC185" i="3"/>
  <c r="DB185" i="3"/>
  <c r="DA185" i="3"/>
  <c r="CO185" i="3"/>
  <c r="CN185" i="3"/>
  <c r="CL185" i="3"/>
  <c r="CM185" i="3" s="1"/>
  <c r="AE185" i="3" s="1"/>
  <c r="AH185" i="3" s="1"/>
  <c r="CK185" i="3"/>
  <c r="CJ185" i="3"/>
  <c r="CI185" i="3"/>
  <c r="CH185" i="3"/>
  <c r="BE185" i="3"/>
  <c r="AX185" i="3"/>
  <c r="AU185" i="3"/>
  <c r="AT185" i="3" s="1"/>
  <c r="AS185" i="3"/>
  <c r="AR185" i="3" s="1"/>
  <c r="AP185" i="3"/>
  <c r="AO185" i="3"/>
  <c r="AN185" i="3"/>
  <c r="Y185" i="3"/>
  <c r="X185" i="3"/>
  <c r="DW184" i="3"/>
  <c r="DV184" i="3"/>
  <c r="DU184" i="3"/>
  <c r="DT184" i="3"/>
  <c r="DS184" i="3"/>
  <c r="DR184" i="3"/>
  <c r="DQ184" i="3"/>
  <c r="DP184" i="3"/>
  <c r="DO184" i="3"/>
  <c r="DN184" i="3"/>
  <c r="DM184" i="3"/>
  <c r="DL184" i="3"/>
  <c r="DK184" i="3"/>
  <c r="DJ184" i="3"/>
  <c r="DI184" i="3"/>
  <c r="DF184" i="3"/>
  <c r="DE184" i="3"/>
  <c r="DD184" i="3"/>
  <c r="DC184" i="3"/>
  <c r="DB184" i="3"/>
  <c r="DA184" i="3"/>
  <c r="CO184" i="3"/>
  <c r="CN184" i="3"/>
  <c r="CL184" i="3"/>
  <c r="CM184" i="3" s="1"/>
  <c r="AE184" i="3" s="1"/>
  <c r="CK184" i="3"/>
  <c r="CJ184" i="3"/>
  <c r="CI184" i="3"/>
  <c r="CH184" i="3"/>
  <c r="BE184" i="3"/>
  <c r="AX184" i="3"/>
  <c r="AU184" i="3"/>
  <c r="AT184" i="3" s="1"/>
  <c r="AS184" i="3"/>
  <c r="AR184" i="3" s="1"/>
  <c r="AP184" i="3"/>
  <c r="AO184" i="3"/>
  <c r="AN184" i="3"/>
  <c r="Y184" i="3"/>
  <c r="X184" i="3"/>
  <c r="DW183" i="3"/>
  <c r="DV183" i="3"/>
  <c r="DU183" i="3"/>
  <c r="DT183" i="3"/>
  <c r="DS183" i="3"/>
  <c r="DR183" i="3"/>
  <c r="DQ183" i="3"/>
  <c r="DP183" i="3"/>
  <c r="DO183" i="3"/>
  <c r="DN183" i="3"/>
  <c r="DM183" i="3"/>
  <c r="DL183" i="3"/>
  <c r="DK183" i="3"/>
  <c r="DJ183" i="3"/>
  <c r="DI183" i="3"/>
  <c r="DF183" i="3"/>
  <c r="DE183" i="3"/>
  <c r="DD183" i="3"/>
  <c r="DC183" i="3"/>
  <c r="DB183" i="3"/>
  <c r="DA183" i="3"/>
  <c r="CO183" i="3"/>
  <c r="CN183" i="3"/>
  <c r="CL183" i="3"/>
  <c r="CM183" i="3" s="1"/>
  <c r="AE183" i="3" s="1"/>
  <c r="AH183" i="3" s="1"/>
  <c r="CK183" i="3"/>
  <c r="CJ183" i="3"/>
  <c r="CI183" i="3"/>
  <c r="CH183" i="3"/>
  <c r="BE183" i="3"/>
  <c r="AX183" i="3"/>
  <c r="AU183" i="3"/>
  <c r="AT183" i="3" s="1"/>
  <c r="AS183" i="3"/>
  <c r="AR183" i="3" s="1"/>
  <c r="AP183" i="3"/>
  <c r="AO183" i="3"/>
  <c r="AN183" i="3"/>
  <c r="Y183" i="3"/>
  <c r="X183" i="3"/>
  <c r="DW182" i="3"/>
  <c r="DV182" i="3"/>
  <c r="DU182" i="3"/>
  <c r="DT182" i="3"/>
  <c r="DS182" i="3"/>
  <c r="DR182" i="3"/>
  <c r="DQ182" i="3"/>
  <c r="DP182" i="3"/>
  <c r="DO182" i="3"/>
  <c r="DN182" i="3"/>
  <c r="DM182" i="3"/>
  <c r="DL182" i="3"/>
  <c r="DK182" i="3"/>
  <c r="DJ182" i="3"/>
  <c r="DI182" i="3"/>
  <c r="DF182" i="3"/>
  <c r="DE182" i="3"/>
  <c r="DD182" i="3"/>
  <c r="DC182" i="3"/>
  <c r="DB182" i="3"/>
  <c r="DA182" i="3"/>
  <c r="CO182" i="3"/>
  <c r="CN182" i="3"/>
  <c r="CL182" i="3"/>
  <c r="CM182" i="3" s="1"/>
  <c r="AE182" i="3" s="1"/>
  <c r="AH182" i="3" s="1"/>
  <c r="AI182" i="3" s="1"/>
  <c r="CK182" i="3"/>
  <c r="CJ182" i="3"/>
  <c r="CI182" i="3"/>
  <c r="CH182" i="3"/>
  <c r="BE182" i="3"/>
  <c r="AX182" i="3"/>
  <c r="AU182" i="3"/>
  <c r="AT182" i="3" s="1"/>
  <c r="AS182" i="3"/>
  <c r="AR182" i="3" s="1"/>
  <c r="AP182" i="3"/>
  <c r="AO182" i="3"/>
  <c r="AN182" i="3"/>
  <c r="Y182" i="3"/>
  <c r="X182" i="3"/>
  <c r="DW181" i="3"/>
  <c r="DV181" i="3"/>
  <c r="DU181" i="3"/>
  <c r="DT181" i="3"/>
  <c r="DS181" i="3"/>
  <c r="DR181" i="3"/>
  <c r="DQ181" i="3"/>
  <c r="DP181" i="3"/>
  <c r="DO181" i="3"/>
  <c r="DN181" i="3"/>
  <c r="DM181" i="3"/>
  <c r="DL181" i="3"/>
  <c r="DK181" i="3"/>
  <c r="DJ181" i="3"/>
  <c r="DI181" i="3"/>
  <c r="DF181" i="3"/>
  <c r="DE181" i="3"/>
  <c r="DD181" i="3"/>
  <c r="DC181" i="3"/>
  <c r="DB181" i="3"/>
  <c r="DA181" i="3"/>
  <c r="CO181" i="3"/>
  <c r="CN181" i="3"/>
  <c r="CL181" i="3"/>
  <c r="CM181" i="3" s="1"/>
  <c r="AE181" i="3" s="1"/>
  <c r="AH181" i="3" s="1"/>
  <c r="AI181" i="3" s="1"/>
  <c r="CK181" i="3"/>
  <c r="CJ181" i="3"/>
  <c r="CI181" i="3"/>
  <c r="CH181" i="3"/>
  <c r="BE181" i="3"/>
  <c r="AX181" i="3"/>
  <c r="AU181" i="3"/>
  <c r="AT181" i="3" s="1"/>
  <c r="AS181" i="3"/>
  <c r="AR181" i="3" s="1"/>
  <c r="AP181" i="3"/>
  <c r="AO181" i="3"/>
  <c r="AN181" i="3"/>
  <c r="Y181" i="3"/>
  <c r="X181" i="3"/>
  <c r="DW180" i="3"/>
  <c r="DV180" i="3"/>
  <c r="DU180" i="3"/>
  <c r="DT180" i="3"/>
  <c r="DS180" i="3"/>
  <c r="DR180" i="3"/>
  <c r="DQ180" i="3"/>
  <c r="DP180" i="3"/>
  <c r="DO180" i="3"/>
  <c r="DN180" i="3"/>
  <c r="DM180" i="3"/>
  <c r="DL180" i="3"/>
  <c r="DK180" i="3"/>
  <c r="DJ180" i="3"/>
  <c r="DI180" i="3"/>
  <c r="DF180" i="3"/>
  <c r="DE180" i="3"/>
  <c r="DD180" i="3"/>
  <c r="DC180" i="3"/>
  <c r="DB180" i="3"/>
  <c r="DA180" i="3"/>
  <c r="CO180" i="3"/>
  <c r="CN180" i="3"/>
  <c r="CL180" i="3"/>
  <c r="CM180" i="3" s="1"/>
  <c r="AE180" i="3" s="1"/>
  <c r="CK180" i="3"/>
  <c r="CJ180" i="3"/>
  <c r="CI180" i="3"/>
  <c r="CH180" i="3"/>
  <c r="BE180" i="3"/>
  <c r="AX180" i="3"/>
  <c r="AU180" i="3"/>
  <c r="AT180" i="3" s="1"/>
  <c r="AS180" i="3"/>
  <c r="AR180" i="3" s="1"/>
  <c r="AP180" i="3"/>
  <c r="AO180" i="3"/>
  <c r="AN180" i="3"/>
  <c r="Y180" i="3"/>
  <c r="X180" i="3"/>
  <c r="DW179" i="3"/>
  <c r="DV179" i="3"/>
  <c r="DU179" i="3"/>
  <c r="DT179" i="3"/>
  <c r="DS179" i="3"/>
  <c r="DR179" i="3"/>
  <c r="DQ179" i="3"/>
  <c r="DP179" i="3"/>
  <c r="DO179" i="3"/>
  <c r="DN179" i="3"/>
  <c r="DM179" i="3"/>
  <c r="DL179" i="3"/>
  <c r="DK179" i="3"/>
  <c r="DJ179" i="3"/>
  <c r="DI179" i="3"/>
  <c r="DF179" i="3"/>
  <c r="DE179" i="3"/>
  <c r="DD179" i="3"/>
  <c r="DC179" i="3"/>
  <c r="DB179" i="3"/>
  <c r="DA179" i="3"/>
  <c r="CO179" i="3"/>
  <c r="CN179" i="3"/>
  <c r="CL179" i="3"/>
  <c r="CM179" i="3" s="1"/>
  <c r="AE179" i="3" s="1"/>
  <c r="CK179" i="3"/>
  <c r="CJ179" i="3"/>
  <c r="CI179" i="3"/>
  <c r="CH179" i="3"/>
  <c r="BE179" i="3"/>
  <c r="AX179" i="3"/>
  <c r="AU179" i="3"/>
  <c r="AT179" i="3" s="1"/>
  <c r="AS179" i="3"/>
  <c r="AR179" i="3" s="1"/>
  <c r="AP179" i="3"/>
  <c r="AO179" i="3"/>
  <c r="AN179" i="3"/>
  <c r="Y179" i="3"/>
  <c r="X179" i="3"/>
  <c r="DW178" i="3"/>
  <c r="DV178" i="3"/>
  <c r="DU178" i="3"/>
  <c r="DT178" i="3"/>
  <c r="DS178" i="3"/>
  <c r="DR178" i="3"/>
  <c r="DQ178" i="3"/>
  <c r="DP178" i="3"/>
  <c r="DO178" i="3"/>
  <c r="DN178" i="3"/>
  <c r="DM178" i="3"/>
  <c r="DL178" i="3"/>
  <c r="DK178" i="3"/>
  <c r="DJ178" i="3"/>
  <c r="DI178" i="3"/>
  <c r="DF178" i="3"/>
  <c r="DE178" i="3"/>
  <c r="DD178" i="3"/>
  <c r="DC178" i="3"/>
  <c r="DB178" i="3"/>
  <c r="DA178" i="3"/>
  <c r="CO178" i="3"/>
  <c r="CN178" i="3"/>
  <c r="CL178" i="3"/>
  <c r="CM178" i="3" s="1"/>
  <c r="AE178" i="3" s="1"/>
  <c r="CK178" i="3"/>
  <c r="CJ178" i="3"/>
  <c r="CI178" i="3"/>
  <c r="CH178" i="3"/>
  <c r="BE178" i="3"/>
  <c r="AX178" i="3"/>
  <c r="AU178" i="3"/>
  <c r="AT178" i="3" s="1"/>
  <c r="AS178" i="3"/>
  <c r="AR178" i="3" s="1"/>
  <c r="AP178" i="3"/>
  <c r="AO178" i="3"/>
  <c r="AN178" i="3"/>
  <c r="Y178" i="3"/>
  <c r="X178" i="3"/>
  <c r="DW177" i="3"/>
  <c r="DV177" i="3"/>
  <c r="DU177" i="3"/>
  <c r="DT177" i="3"/>
  <c r="DS177" i="3"/>
  <c r="DR177" i="3"/>
  <c r="DQ177" i="3"/>
  <c r="DP177" i="3"/>
  <c r="DO177" i="3"/>
  <c r="DN177" i="3"/>
  <c r="DM177" i="3"/>
  <c r="DL177" i="3"/>
  <c r="DK177" i="3"/>
  <c r="DJ177" i="3"/>
  <c r="DI177" i="3"/>
  <c r="DF177" i="3"/>
  <c r="DE177" i="3"/>
  <c r="DD177" i="3"/>
  <c r="DC177" i="3"/>
  <c r="DB177" i="3"/>
  <c r="DA177" i="3"/>
  <c r="CO177" i="3"/>
  <c r="CN177" i="3"/>
  <c r="CL177" i="3"/>
  <c r="CM177" i="3" s="1"/>
  <c r="AE177" i="3" s="1"/>
  <c r="AH177" i="3" s="1"/>
  <c r="CK177" i="3"/>
  <c r="CJ177" i="3"/>
  <c r="CI177" i="3"/>
  <c r="CH177" i="3"/>
  <c r="BE177" i="3"/>
  <c r="AX177" i="3"/>
  <c r="AU177" i="3"/>
  <c r="AT177" i="3" s="1"/>
  <c r="AS177" i="3"/>
  <c r="AR177" i="3" s="1"/>
  <c r="AP177" i="3"/>
  <c r="AO177" i="3"/>
  <c r="AN177" i="3"/>
  <c r="Y177" i="3"/>
  <c r="X177" i="3"/>
  <c r="DW176" i="3"/>
  <c r="DV176" i="3"/>
  <c r="DU176" i="3"/>
  <c r="DT176" i="3"/>
  <c r="DS176" i="3"/>
  <c r="DR176" i="3"/>
  <c r="DQ176" i="3"/>
  <c r="DP176" i="3"/>
  <c r="DO176" i="3"/>
  <c r="DN176" i="3"/>
  <c r="DM176" i="3"/>
  <c r="DL176" i="3"/>
  <c r="DK176" i="3"/>
  <c r="DJ176" i="3"/>
  <c r="DI176" i="3"/>
  <c r="DF176" i="3"/>
  <c r="DE176" i="3"/>
  <c r="DD176" i="3"/>
  <c r="DC176" i="3"/>
  <c r="DB176" i="3"/>
  <c r="DA176" i="3"/>
  <c r="CO176" i="3"/>
  <c r="CN176" i="3"/>
  <c r="CL176" i="3"/>
  <c r="CM176" i="3" s="1"/>
  <c r="AE176" i="3" s="1"/>
  <c r="AH176" i="3" s="1"/>
  <c r="AI176" i="3" s="1"/>
  <c r="CK176" i="3"/>
  <c r="CJ176" i="3"/>
  <c r="CI176" i="3"/>
  <c r="CH176" i="3"/>
  <c r="BE176" i="3"/>
  <c r="AX176" i="3"/>
  <c r="AU176" i="3"/>
  <c r="AT176" i="3" s="1"/>
  <c r="AS176" i="3"/>
  <c r="AR176" i="3" s="1"/>
  <c r="AP176" i="3"/>
  <c r="AO176" i="3"/>
  <c r="AN176" i="3"/>
  <c r="Y176" i="3"/>
  <c r="X176" i="3"/>
  <c r="DW175" i="3"/>
  <c r="DV175" i="3"/>
  <c r="DU175" i="3"/>
  <c r="DT175" i="3"/>
  <c r="DS175" i="3"/>
  <c r="DR175" i="3"/>
  <c r="DQ175" i="3"/>
  <c r="DP175" i="3"/>
  <c r="DO175" i="3"/>
  <c r="DN175" i="3"/>
  <c r="DM175" i="3"/>
  <c r="DL175" i="3"/>
  <c r="DK175" i="3"/>
  <c r="DJ175" i="3"/>
  <c r="DI175" i="3"/>
  <c r="DF175" i="3"/>
  <c r="DE175" i="3"/>
  <c r="DD175" i="3"/>
  <c r="DC175" i="3"/>
  <c r="DB175" i="3"/>
  <c r="DA175" i="3"/>
  <c r="CO175" i="3"/>
  <c r="CN175" i="3"/>
  <c r="CL175" i="3"/>
  <c r="CM175" i="3" s="1"/>
  <c r="AE175" i="3" s="1"/>
  <c r="CK175" i="3"/>
  <c r="CJ175" i="3"/>
  <c r="CI175" i="3"/>
  <c r="CH175" i="3"/>
  <c r="BE175" i="3"/>
  <c r="AX175" i="3"/>
  <c r="AU175" i="3"/>
  <c r="AT175" i="3" s="1"/>
  <c r="AS175" i="3"/>
  <c r="AR175" i="3" s="1"/>
  <c r="AP175" i="3"/>
  <c r="AO175" i="3"/>
  <c r="AN175" i="3"/>
  <c r="Y175" i="3"/>
  <c r="X175" i="3"/>
  <c r="DW174" i="3"/>
  <c r="DV174" i="3"/>
  <c r="DU174" i="3"/>
  <c r="DT174" i="3"/>
  <c r="DS174" i="3"/>
  <c r="DR174" i="3"/>
  <c r="DQ174" i="3"/>
  <c r="DP174" i="3"/>
  <c r="DO174" i="3"/>
  <c r="DN174" i="3"/>
  <c r="DM174" i="3"/>
  <c r="DL174" i="3"/>
  <c r="DK174" i="3"/>
  <c r="DJ174" i="3"/>
  <c r="DI174" i="3"/>
  <c r="DF174" i="3"/>
  <c r="DE174" i="3"/>
  <c r="DD174" i="3"/>
  <c r="DC174" i="3"/>
  <c r="DB174" i="3"/>
  <c r="DA174" i="3"/>
  <c r="CO174" i="3"/>
  <c r="CN174" i="3"/>
  <c r="CL174" i="3"/>
  <c r="CM174" i="3" s="1"/>
  <c r="AE174" i="3" s="1"/>
  <c r="AH174" i="3" s="1"/>
  <c r="AI174" i="3" s="1"/>
  <c r="CK174" i="3"/>
  <c r="CJ174" i="3"/>
  <c r="CI174" i="3"/>
  <c r="CH174" i="3"/>
  <c r="BE174" i="3"/>
  <c r="AX174" i="3"/>
  <c r="AU174" i="3"/>
  <c r="AT174" i="3" s="1"/>
  <c r="AS174" i="3"/>
  <c r="AR174" i="3" s="1"/>
  <c r="AP174" i="3"/>
  <c r="AO174" i="3"/>
  <c r="AN174" i="3"/>
  <c r="Y174" i="3"/>
  <c r="X174" i="3"/>
  <c r="DW173" i="3"/>
  <c r="DV173" i="3"/>
  <c r="DU173" i="3"/>
  <c r="DT173" i="3"/>
  <c r="DS173" i="3"/>
  <c r="DR173" i="3"/>
  <c r="DQ173" i="3"/>
  <c r="DP173" i="3"/>
  <c r="DO173" i="3"/>
  <c r="DN173" i="3"/>
  <c r="DM173" i="3"/>
  <c r="DL173" i="3"/>
  <c r="DK173" i="3"/>
  <c r="DJ173" i="3"/>
  <c r="DI173" i="3"/>
  <c r="DF173" i="3"/>
  <c r="DE173" i="3"/>
  <c r="DD173" i="3"/>
  <c r="DC173" i="3"/>
  <c r="DB173" i="3"/>
  <c r="DA173" i="3"/>
  <c r="CO173" i="3"/>
  <c r="CN173" i="3"/>
  <c r="CL173" i="3"/>
  <c r="CM173" i="3" s="1"/>
  <c r="AE173" i="3" s="1"/>
  <c r="AH173" i="3" s="1"/>
  <c r="AI173" i="3" s="1"/>
  <c r="CK173" i="3"/>
  <c r="CJ173" i="3"/>
  <c r="CI173" i="3"/>
  <c r="CH173" i="3"/>
  <c r="BE173" i="3"/>
  <c r="AX173" i="3"/>
  <c r="AU173" i="3"/>
  <c r="AT173" i="3" s="1"/>
  <c r="AS173" i="3"/>
  <c r="AR173" i="3" s="1"/>
  <c r="AP173" i="3"/>
  <c r="AO173" i="3"/>
  <c r="AN173" i="3"/>
  <c r="Y173" i="3"/>
  <c r="X173" i="3"/>
  <c r="DW172" i="3"/>
  <c r="DV172" i="3"/>
  <c r="DU172" i="3"/>
  <c r="DT172" i="3"/>
  <c r="DS172" i="3"/>
  <c r="DR172" i="3"/>
  <c r="DQ172" i="3"/>
  <c r="DP172" i="3"/>
  <c r="DO172" i="3"/>
  <c r="DN172" i="3"/>
  <c r="DM172" i="3"/>
  <c r="DL172" i="3"/>
  <c r="DK172" i="3"/>
  <c r="DJ172" i="3"/>
  <c r="DI172" i="3"/>
  <c r="DF172" i="3"/>
  <c r="DE172" i="3"/>
  <c r="DD172" i="3"/>
  <c r="DC172" i="3"/>
  <c r="DB172" i="3"/>
  <c r="DA172" i="3"/>
  <c r="CO172" i="3"/>
  <c r="CN172" i="3"/>
  <c r="CL172" i="3"/>
  <c r="CM172" i="3" s="1"/>
  <c r="AE172" i="3" s="1"/>
  <c r="AH172" i="3" s="1"/>
  <c r="CK172" i="3"/>
  <c r="CJ172" i="3"/>
  <c r="CI172" i="3"/>
  <c r="CH172" i="3"/>
  <c r="BE172" i="3"/>
  <c r="AX172" i="3"/>
  <c r="AU172" i="3"/>
  <c r="AT172" i="3" s="1"/>
  <c r="AS172" i="3"/>
  <c r="AR172" i="3" s="1"/>
  <c r="AP172" i="3"/>
  <c r="AO172" i="3"/>
  <c r="AN172" i="3"/>
  <c r="Y172" i="3"/>
  <c r="X172" i="3"/>
  <c r="DW171" i="3"/>
  <c r="DV171" i="3"/>
  <c r="DU171" i="3"/>
  <c r="DT171" i="3"/>
  <c r="DS171" i="3"/>
  <c r="DR171" i="3"/>
  <c r="DQ171" i="3"/>
  <c r="DP171" i="3"/>
  <c r="DO171" i="3"/>
  <c r="DN171" i="3"/>
  <c r="DM171" i="3"/>
  <c r="DL171" i="3"/>
  <c r="DK171" i="3"/>
  <c r="DJ171" i="3"/>
  <c r="DI171" i="3"/>
  <c r="DF171" i="3"/>
  <c r="DE171" i="3"/>
  <c r="DD171" i="3"/>
  <c r="DC171" i="3"/>
  <c r="DB171" i="3"/>
  <c r="DA171" i="3"/>
  <c r="CO171" i="3"/>
  <c r="CN171" i="3"/>
  <c r="CL171" i="3"/>
  <c r="CM171" i="3" s="1"/>
  <c r="AE171" i="3" s="1"/>
  <c r="CK171" i="3"/>
  <c r="CJ171" i="3"/>
  <c r="CI171" i="3"/>
  <c r="CH171" i="3"/>
  <c r="BE171" i="3"/>
  <c r="AX171" i="3"/>
  <c r="AU171" i="3"/>
  <c r="AT171" i="3" s="1"/>
  <c r="AS171" i="3"/>
  <c r="AR171" i="3" s="1"/>
  <c r="AP171" i="3"/>
  <c r="AO171" i="3"/>
  <c r="AN171" i="3"/>
  <c r="Y171" i="3"/>
  <c r="X171" i="3"/>
  <c r="DW170" i="3"/>
  <c r="DV170" i="3"/>
  <c r="DU170" i="3"/>
  <c r="DT170" i="3"/>
  <c r="DS170" i="3"/>
  <c r="DR170" i="3"/>
  <c r="DQ170" i="3"/>
  <c r="DP170" i="3"/>
  <c r="DO170" i="3"/>
  <c r="DN170" i="3"/>
  <c r="DM170" i="3"/>
  <c r="DL170" i="3"/>
  <c r="DK170" i="3"/>
  <c r="DJ170" i="3"/>
  <c r="DI170" i="3"/>
  <c r="DF170" i="3"/>
  <c r="DE170" i="3"/>
  <c r="DD170" i="3"/>
  <c r="DC170" i="3"/>
  <c r="DB170" i="3"/>
  <c r="DA170" i="3"/>
  <c r="CO170" i="3"/>
  <c r="CN170" i="3"/>
  <c r="CL170" i="3"/>
  <c r="CM170" i="3" s="1"/>
  <c r="AE170" i="3" s="1"/>
  <c r="CK170" i="3"/>
  <c r="CJ170" i="3"/>
  <c r="CI170" i="3"/>
  <c r="CH170" i="3"/>
  <c r="BE170" i="3"/>
  <c r="AX170" i="3"/>
  <c r="AU170" i="3"/>
  <c r="AT170" i="3" s="1"/>
  <c r="AS170" i="3"/>
  <c r="AR170" i="3" s="1"/>
  <c r="AP170" i="3"/>
  <c r="AO170" i="3"/>
  <c r="AN170" i="3"/>
  <c r="Y170" i="3"/>
  <c r="X170" i="3"/>
  <c r="DW169" i="3"/>
  <c r="DV169" i="3"/>
  <c r="DU169" i="3"/>
  <c r="DT169" i="3"/>
  <c r="DS169" i="3"/>
  <c r="DR169" i="3"/>
  <c r="DQ169" i="3"/>
  <c r="DP169" i="3"/>
  <c r="DO169" i="3"/>
  <c r="DN169" i="3"/>
  <c r="DM169" i="3"/>
  <c r="DL169" i="3"/>
  <c r="DK169" i="3"/>
  <c r="DJ169" i="3"/>
  <c r="DI169" i="3"/>
  <c r="DF169" i="3"/>
  <c r="DE169" i="3"/>
  <c r="DD169" i="3"/>
  <c r="DC169" i="3"/>
  <c r="DB169" i="3"/>
  <c r="DA169" i="3"/>
  <c r="CO169" i="3"/>
  <c r="CN169" i="3"/>
  <c r="CL169" i="3"/>
  <c r="CM169" i="3" s="1"/>
  <c r="AE169" i="3" s="1"/>
  <c r="CK169" i="3"/>
  <c r="CJ169" i="3"/>
  <c r="CI169" i="3"/>
  <c r="CH169" i="3"/>
  <c r="BE169" i="3"/>
  <c r="AX169" i="3"/>
  <c r="AU169" i="3"/>
  <c r="AT169" i="3" s="1"/>
  <c r="AS169" i="3"/>
  <c r="AR169" i="3" s="1"/>
  <c r="AP169" i="3"/>
  <c r="AO169" i="3"/>
  <c r="AN169" i="3"/>
  <c r="Y169" i="3"/>
  <c r="X169" i="3"/>
  <c r="DW168" i="3"/>
  <c r="DV168" i="3"/>
  <c r="DU168" i="3"/>
  <c r="DT168" i="3"/>
  <c r="DS168" i="3"/>
  <c r="DR168" i="3"/>
  <c r="DQ168" i="3"/>
  <c r="DP168" i="3"/>
  <c r="DO168" i="3"/>
  <c r="DN168" i="3"/>
  <c r="DM168" i="3"/>
  <c r="DL168" i="3"/>
  <c r="DK168" i="3"/>
  <c r="DJ168" i="3"/>
  <c r="DI168" i="3"/>
  <c r="DF168" i="3"/>
  <c r="DE168" i="3"/>
  <c r="DD168" i="3"/>
  <c r="DC168" i="3"/>
  <c r="DB168" i="3"/>
  <c r="DA168" i="3"/>
  <c r="CO168" i="3"/>
  <c r="CN168" i="3"/>
  <c r="CL168" i="3"/>
  <c r="CM168" i="3" s="1"/>
  <c r="AE168" i="3" s="1"/>
  <c r="AH168" i="3" s="1"/>
  <c r="AI168" i="3" s="1"/>
  <c r="CK168" i="3"/>
  <c r="CJ168" i="3"/>
  <c r="CI168" i="3"/>
  <c r="CH168" i="3"/>
  <c r="BE168" i="3"/>
  <c r="AX168" i="3"/>
  <c r="AU168" i="3"/>
  <c r="AT168" i="3" s="1"/>
  <c r="AS168" i="3"/>
  <c r="AR168" i="3" s="1"/>
  <c r="AP168" i="3"/>
  <c r="AO168" i="3"/>
  <c r="AN168" i="3"/>
  <c r="Y168" i="3"/>
  <c r="X168" i="3"/>
  <c r="DW167" i="3"/>
  <c r="DV167" i="3"/>
  <c r="DU167" i="3"/>
  <c r="DT167" i="3"/>
  <c r="DS167" i="3"/>
  <c r="DR167" i="3"/>
  <c r="DQ167" i="3"/>
  <c r="DP167" i="3"/>
  <c r="DO167" i="3"/>
  <c r="DN167" i="3"/>
  <c r="DM167" i="3"/>
  <c r="DL167" i="3"/>
  <c r="DK167" i="3"/>
  <c r="DJ167" i="3"/>
  <c r="DI167" i="3"/>
  <c r="DF167" i="3"/>
  <c r="DE167" i="3"/>
  <c r="DD167" i="3"/>
  <c r="DC167" i="3"/>
  <c r="DB167" i="3"/>
  <c r="DA167" i="3"/>
  <c r="CO167" i="3"/>
  <c r="CN167" i="3"/>
  <c r="CL167" i="3"/>
  <c r="CM167" i="3" s="1"/>
  <c r="AE167" i="3" s="1"/>
  <c r="CK167" i="3"/>
  <c r="CJ167" i="3"/>
  <c r="CI167" i="3"/>
  <c r="CH167" i="3"/>
  <c r="BE167" i="3"/>
  <c r="AX167" i="3"/>
  <c r="AU167" i="3"/>
  <c r="AT167" i="3" s="1"/>
  <c r="AS167" i="3"/>
  <c r="AR167" i="3" s="1"/>
  <c r="AP167" i="3"/>
  <c r="AO167" i="3"/>
  <c r="AN167" i="3"/>
  <c r="Y167" i="3"/>
  <c r="X167" i="3"/>
  <c r="DW166" i="3"/>
  <c r="DV166" i="3"/>
  <c r="DU166" i="3"/>
  <c r="DT166" i="3"/>
  <c r="DS166" i="3"/>
  <c r="DR166" i="3"/>
  <c r="DQ166" i="3"/>
  <c r="DP166" i="3"/>
  <c r="DO166" i="3"/>
  <c r="DN166" i="3"/>
  <c r="DM166" i="3"/>
  <c r="DL166" i="3"/>
  <c r="DK166" i="3"/>
  <c r="DJ166" i="3"/>
  <c r="DI166" i="3"/>
  <c r="DF166" i="3"/>
  <c r="DE166" i="3"/>
  <c r="DD166" i="3"/>
  <c r="DC166" i="3"/>
  <c r="DB166" i="3"/>
  <c r="DA166" i="3"/>
  <c r="CO166" i="3"/>
  <c r="CN166" i="3"/>
  <c r="CL166" i="3"/>
  <c r="CM166" i="3" s="1"/>
  <c r="AE166" i="3" s="1"/>
  <c r="AH166" i="3" s="1"/>
  <c r="AI166" i="3" s="1"/>
  <c r="CK166" i="3"/>
  <c r="CJ166" i="3"/>
  <c r="CI166" i="3"/>
  <c r="CH166" i="3"/>
  <c r="BE166" i="3"/>
  <c r="AX166" i="3"/>
  <c r="AU166" i="3"/>
  <c r="AT166" i="3" s="1"/>
  <c r="AS166" i="3"/>
  <c r="AR166" i="3" s="1"/>
  <c r="AP166" i="3"/>
  <c r="AO166" i="3"/>
  <c r="AN166" i="3"/>
  <c r="Y166" i="3"/>
  <c r="X166" i="3"/>
  <c r="DW165" i="3"/>
  <c r="DV165" i="3"/>
  <c r="DU165" i="3"/>
  <c r="DT165" i="3"/>
  <c r="DS165" i="3"/>
  <c r="DR165" i="3"/>
  <c r="DQ165" i="3"/>
  <c r="DP165" i="3"/>
  <c r="DO165" i="3"/>
  <c r="DN165" i="3"/>
  <c r="DM165" i="3"/>
  <c r="DL165" i="3"/>
  <c r="DK165" i="3"/>
  <c r="DJ165" i="3"/>
  <c r="DI165" i="3"/>
  <c r="DF165" i="3"/>
  <c r="DE165" i="3"/>
  <c r="DD165" i="3"/>
  <c r="DC165" i="3"/>
  <c r="DB165" i="3"/>
  <c r="DA165" i="3"/>
  <c r="CO165" i="3"/>
  <c r="CN165" i="3"/>
  <c r="CL165" i="3"/>
  <c r="CM165" i="3" s="1"/>
  <c r="AE165" i="3" s="1"/>
  <c r="AH165" i="3" s="1"/>
  <c r="AI165" i="3" s="1"/>
  <c r="CK165" i="3"/>
  <c r="CJ165" i="3"/>
  <c r="CI165" i="3"/>
  <c r="CH165" i="3"/>
  <c r="BE165" i="3"/>
  <c r="AX165" i="3"/>
  <c r="AU165" i="3"/>
  <c r="AT165" i="3" s="1"/>
  <c r="AS165" i="3"/>
  <c r="AR165" i="3" s="1"/>
  <c r="AP165" i="3"/>
  <c r="AO165" i="3"/>
  <c r="AN165" i="3"/>
  <c r="Y165" i="3"/>
  <c r="X165" i="3"/>
  <c r="DW164" i="3"/>
  <c r="DV164" i="3"/>
  <c r="DU164" i="3"/>
  <c r="DT164" i="3"/>
  <c r="DS164" i="3"/>
  <c r="DR164" i="3"/>
  <c r="DQ164" i="3"/>
  <c r="DP164" i="3"/>
  <c r="DO164" i="3"/>
  <c r="DN164" i="3"/>
  <c r="DM164" i="3"/>
  <c r="DL164" i="3"/>
  <c r="DK164" i="3"/>
  <c r="DJ164" i="3"/>
  <c r="DI164" i="3"/>
  <c r="DF164" i="3"/>
  <c r="DE164" i="3"/>
  <c r="DD164" i="3"/>
  <c r="DC164" i="3"/>
  <c r="DB164" i="3"/>
  <c r="DA164" i="3"/>
  <c r="CO164" i="3"/>
  <c r="CN164" i="3"/>
  <c r="CL164" i="3"/>
  <c r="CM164" i="3" s="1"/>
  <c r="AE164" i="3" s="1"/>
  <c r="AH164" i="3" s="1"/>
  <c r="CK164" i="3"/>
  <c r="CJ164" i="3"/>
  <c r="CI164" i="3"/>
  <c r="CH164" i="3"/>
  <c r="BE164" i="3"/>
  <c r="AX164" i="3"/>
  <c r="AU164" i="3"/>
  <c r="AT164" i="3" s="1"/>
  <c r="AS164" i="3"/>
  <c r="AR164" i="3" s="1"/>
  <c r="AP164" i="3"/>
  <c r="AO164" i="3"/>
  <c r="AN164" i="3"/>
  <c r="Y164" i="3"/>
  <c r="X164" i="3"/>
  <c r="DW163" i="3"/>
  <c r="DV163" i="3"/>
  <c r="DU163" i="3"/>
  <c r="DT163" i="3"/>
  <c r="DS163" i="3"/>
  <c r="DR163" i="3"/>
  <c r="DQ163" i="3"/>
  <c r="DP163" i="3"/>
  <c r="DO163" i="3"/>
  <c r="DN163" i="3"/>
  <c r="DM163" i="3"/>
  <c r="DL163" i="3"/>
  <c r="DK163" i="3"/>
  <c r="DJ163" i="3"/>
  <c r="DI163" i="3"/>
  <c r="DF163" i="3"/>
  <c r="DE163" i="3"/>
  <c r="DD163" i="3"/>
  <c r="DC163" i="3"/>
  <c r="DB163" i="3"/>
  <c r="DA163" i="3"/>
  <c r="CO163" i="3"/>
  <c r="CN163" i="3"/>
  <c r="CL163" i="3"/>
  <c r="CM163" i="3" s="1"/>
  <c r="AE163" i="3" s="1"/>
  <c r="CK163" i="3"/>
  <c r="CJ163" i="3"/>
  <c r="CI163" i="3"/>
  <c r="CH163" i="3"/>
  <c r="BE163" i="3"/>
  <c r="AX163" i="3"/>
  <c r="AU163" i="3"/>
  <c r="AT163" i="3" s="1"/>
  <c r="AS163" i="3"/>
  <c r="AR163" i="3" s="1"/>
  <c r="AP163" i="3"/>
  <c r="AO163" i="3"/>
  <c r="AN163" i="3"/>
  <c r="Y163" i="3"/>
  <c r="X163" i="3"/>
  <c r="DW162" i="3"/>
  <c r="DV162" i="3"/>
  <c r="DU162" i="3"/>
  <c r="DT162" i="3"/>
  <c r="DS162" i="3"/>
  <c r="DR162" i="3"/>
  <c r="DQ162" i="3"/>
  <c r="DP162" i="3"/>
  <c r="DO162" i="3"/>
  <c r="DN162" i="3"/>
  <c r="DM162" i="3"/>
  <c r="DL162" i="3"/>
  <c r="DK162" i="3"/>
  <c r="DJ162" i="3"/>
  <c r="DI162" i="3"/>
  <c r="DF162" i="3"/>
  <c r="DE162" i="3"/>
  <c r="DD162" i="3"/>
  <c r="DC162" i="3"/>
  <c r="DB162" i="3"/>
  <c r="DA162" i="3"/>
  <c r="CO162" i="3"/>
  <c r="CN162" i="3"/>
  <c r="CL162" i="3"/>
  <c r="CM162" i="3" s="1"/>
  <c r="AE162" i="3" s="1"/>
  <c r="CK162" i="3"/>
  <c r="CJ162" i="3"/>
  <c r="CI162" i="3"/>
  <c r="CH162" i="3"/>
  <c r="BE162" i="3"/>
  <c r="AX162" i="3"/>
  <c r="AU162" i="3"/>
  <c r="AT162" i="3" s="1"/>
  <c r="AS162" i="3"/>
  <c r="AR162" i="3" s="1"/>
  <c r="AP162" i="3"/>
  <c r="AO162" i="3"/>
  <c r="AN162" i="3"/>
  <c r="Y162" i="3"/>
  <c r="X162" i="3"/>
  <c r="DW161" i="3"/>
  <c r="DV161" i="3"/>
  <c r="DU161" i="3"/>
  <c r="DT161" i="3"/>
  <c r="DS161" i="3"/>
  <c r="DR161" i="3"/>
  <c r="DQ161" i="3"/>
  <c r="DP161" i="3"/>
  <c r="DO161" i="3"/>
  <c r="DN161" i="3"/>
  <c r="DM161" i="3"/>
  <c r="DL161" i="3"/>
  <c r="DK161" i="3"/>
  <c r="DJ161" i="3"/>
  <c r="DI161" i="3"/>
  <c r="DF161" i="3"/>
  <c r="DE161" i="3"/>
  <c r="DD161" i="3"/>
  <c r="DC161" i="3"/>
  <c r="DB161" i="3"/>
  <c r="DA161" i="3"/>
  <c r="CO161" i="3"/>
  <c r="CN161" i="3"/>
  <c r="CL161" i="3"/>
  <c r="CM161" i="3" s="1"/>
  <c r="AE161" i="3" s="1"/>
  <c r="CK161" i="3"/>
  <c r="CJ161" i="3"/>
  <c r="CI161" i="3"/>
  <c r="CH161" i="3"/>
  <c r="BE161" i="3"/>
  <c r="AX161" i="3"/>
  <c r="AU161" i="3"/>
  <c r="AT161" i="3" s="1"/>
  <c r="AS161" i="3"/>
  <c r="AR161" i="3" s="1"/>
  <c r="AP161" i="3"/>
  <c r="AO161" i="3"/>
  <c r="AN161" i="3"/>
  <c r="Y161" i="3"/>
  <c r="X161" i="3"/>
  <c r="DW160" i="3"/>
  <c r="DV160" i="3"/>
  <c r="DU160" i="3"/>
  <c r="DT160" i="3"/>
  <c r="DS160" i="3"/>
  <c r="DR160" i="3"/>
  <c r="DQ160" i="3"/>
  <c r="DP160" i="3"/>
  <c r="DO160" i="3"/>
  <c r="DN160" i="3"/>
  <c r="DM160" i="3"/>
  <c r="DL160" i="3"/>
  <c r="DK160" i="3"/>
  <c r="DJ160" i="3"/>
  <c r="DI160" i="3"/>
  <c r="DF160" i="3"/>
  <c r="DE160" i="3"/>
  <c r="DD160" i="3"/>
  <c r="DC160" i="3"/>
  <c r="DB160" i="3"/>
  <c r="DA160" i="3"/>
  <c r="CO160" i="3"/>
  <c r="CN160" i="3"/>
  <c r="CL160" i="3"/>
  <c r="CM160" i="3" s="1"/>
  <c r="AE160" i="3" s="1"/>
  <c r="AH160" i="3" s="1"/>
  <c r="AI160" i="3" s="1"/>
  <c r="CK160" i="3"/>
  <c r="CJ160" i="3"/>
  <c r="CI160" i="3"/>
  <c r="CH160" i="3"/>
  <c r="BE160" i="3"/>
  <c r="AX160" i="3"/>
  <c r="AU160" i="3"/>
  <c r="AT160" i="3" s="1"/>
  <c r="AS160" i="3"/>
  <c r="AR160" i="3" s="1"/>
  <c r="AP160" i="3"/>
  <c r="AO160" i="3"/>
  <c r="AN160" i="3"/>
  <c r="Y160" i="3"/>
  <c r="X160" i="3"/>
  <c r="DW159" i="3"/>
  <c r="DV159" i="3"/>
  <c r="DU159" i="3"/>
  <c r="DT159" i="3"/>
  <c r="DS159" i="3"/>
  <c r="DR159" i="3"/>
  <c r="DQ159" i="3"/>
  <c r="DP159" i="3"/>
  <c r="DO159" i="3"/>
  <c r="DN159" i="3"/>
  <c r="DM159" i="3"/>
  <c r="DL159" i="3"/>
  <c r="DK159" i="3"/>
  <c r="DJ159" i="3"/>
  <c r="DI159" i="3"/>
  <c r="DF159" i="3"/>
  <c r="DE159" i="3"/>
  <c r="DD159" i="3"/>
  <c r="DC159" i="3"/>
  <c r="DB159" i="3"/>
  <c r="DA159" i="3"/>
  <c r="CO159" i="3"/>
  <c r="CN159" i="3"/>
  <c r="CL159" i="3"/>
  <c r="CM159" i="3" s="1"/>
  <c r="AE159" i="3" s="1"/>
  <c r="CK159" i="3"/>
  <c r="CJ159" i="3"/>
  <c r="CI159" i="3"/>
  <c r="CH159" i="3"/>
  <c r="BE159" i="3"/>
  <c r="AX159" i="3"/>
  <c r="AU159" i="3"/>
  <c r="AT159" i="3" s="1"/>
  <c r="AS159" i="3"/>
  <c r="AR159" i="3" s="1"/>
  <c r="AP159" i="3"/>
  <c r="AO159" i="3"/>
  <c r="AN159" i="3"/>
  <c r="Y159" i="3"/>
  <c r="X159" i="3"/>
  <c r="DW158" i="3"/>
  <c r="DV158" i="3"/>
  <c r="DU158" i="3"/>
  <c r="DT158" i="3"/>
  <c r="DS158" i="3"/>
  <c r="DR158" i="3"/>
  <c r="DQ158" i="3"/>
  <c r="DP158" i="3"/>
  <c r="DO158" i="3"/>
  <c r="DN158" i="3"/>
  <c r="DM158" i="3"/>
  <c r="DL158" i="3"/>
  <c r="DK158" i="3"/>
  <c r="DJ158" i="3"/>
  <c r="DI158" i="3"/>
  <c r="DF158" i="3"/>
  <c r="DE158" i="3"/>
  <c r="DD158" i="3"/>
  <c r="DC158" i="3"/>
  <c r="DB158" i="3"/>
  <c r="DA158" i="3"/>
  <c r="CO158" i="3"/>
  <c r="CN158" i="3"/>
  <c r="CL158" i="3"/>
  <c r="CM158" i="3" s="1"/>
  <c r="AE158" i="3" s="1"/>
  <c r="AH158" i="3" s="1"/>
  <c r="AI158" i="3" s="1"/>
  <c r="CK158" i="3"/>
  <c r="CJ158" i="3"/>
  <c r="CI158" i="3"/>
  <c r="CH158" i="3"/>
  <c r="BE158" i="3"/>
  <c r="AX158" i="3"/>
  <c r="AU158" i="3"/>
  <c r="AT158" i="3" s="1"/>
  <c r="AS158" i="3"/>
  <c r="AR158" i="3" s="1"/>
  <c r="AP158" i="3"/>
  <c r="AO158" i="3"/>
  <c r="AN158" i="3"/>
  <c r="Y158" i="3"/>
  <c r="X158" i="3"/>
  <c r="DW157" i="3"/>
  <c r="DV157" i="3"/>
  <c r="DU157" i="3"/>
  <c r="DT157" i="3"/>
  <c r="DS157" i="3"/>
  <c r="DR157" i="3"/>
  <c r="DQ157" i="3"/>
  <c r="DP157" i="3"/>
  <c r="DO157" i="3"/>
  <c r="DN157" i="3"/>
  <c r="DM157" i="3"/>
  <c r="DL157" i="3"/>
  <c r="DK157" i="3"/>
  <c r="DJ157" i="3"/>
  <c r="DI157" i="3"/>
  <c r="DF157" i="3"/>
  <c r="DE157" i="3"/>
  <c r="DD157" i="3"/>
  <c r="DC157" i="3"/>
  <c r="DB157" i="3"/>
  <c r="DA157" i="3"/>
  <c r="CO157" i="3"/>
  <c r="CN157" i="3"/>
  <c r="CL157" i="3"/>
  <c r="CM157" i="3" s="1"/>
  <c r="AE157" i="3" s="1"/>
  <c r="AH157" i="3" s="1"/>
  <c r="AI157" i="3" s="1"/>
  <c r="CK157" i="3"/>
  <c r="CJ157" i="3"/>
  <c r="CI157" i="3"/>
  <c r="CH157" i="3"/>
  <c r="BE157" i="3"/>
  <c r="AX157" i="3"/>
  <c r="AU157" i="3"/>
  <c r="AT157" i="3" s="1"/>
  <c r="AS157" i="3"/>
  <c r="AR157" i="3" s="1"/>
  <c r="AP157" i="3"/>
  <c r="AO157" i="3"/>
  <c r="AN157" i="3"/>
  <c r="Y157" i="3"/>
  <c r="X157" i="3"/>
  <c r="DW156" i="3"/>
  <c r="DV156" i="3"/>
  <c r="DU156" i="3"/>
  <c r="DT156" i="3"/>
  <c r="DS156" i="3"/>
  <c r="DR156" i="3"/>
  <c r="DQ156" i="3"/>
  <c r="DP156" i="3"/>
  <c r="DO156" i="3"/>
  <c r="DN156" i="3"/>
  <c r="DM156" i="3"/>
  <c r="DL156" i="3"/>
  <c r="DK156" i="3"/>
  <c r="DJ156" i="3"/>
  <c r="DI156" i="3"/>
  <c r="DF156" i="3"/>
  <c r="DE156" i="3"/>
  <c r="DD156" i="3"/>
  <c r="DC156" i="3"/>
  <c r="DB156" i="3"/>
  <c r="DA156" i="3"/>
  <c r="CO156" i="3"/>
  <c r="CN156" i="3"/>
  <c r="CL156" i="3"/>
  <c r="CM156" i="3" s="1"/>
  <c r="AE156" i="3" s="1"/>
  <c r="AH156" i="3" s="1"/>
  <c r="CK156" i="3"/>
  <c r="CJ156" i="3"/>
  <c r="CI156" i="3"/>
  <c r="CH156" i="3"/>
  <c r="BE156" i="3"/>
  <c r="AX156" i="3"/>
  <c r="AU156" i="3"/>
  <c r="AT156" i="3" s="1"/>
  <c r="AS156" i="3"/>
  <c r="AR156" i="3" s="1"/>
  <c r="AP156" i="3"/>
  <c r="AO156" i="3"/>
  <c r="AN156" i="3"/>
  <c r="Y156" i="3"/>
  <c r="X156" i="3"/>
  <c r="DW155" i="3"/>
  <c r="DV155" i="3"/>
  <c r="DU155" i="3"/>
  <c r="DT155" i="3"/>
  <c r="DS155" i="3"/>
  <c r="DR155" i="3"/>
  <c r="DQ155" i="3"/>
  <c r="DP155" i="3"/>
  <c r="DO155" i="3"/>
  <c r="DN155" i="3"/>
  <c r="DM155" i="3"/>
  <c r="DL155" i="3"/>
  <c r="DK155" i="3"/>
  <c r="DJ155" i="3"/>
  <c r="DI155" i="3"/>
  <c r="DF155" i="3"/>
  <c r="DE155" i="3"/>
  <c r="DD155" i="3"/>
  <c r="DC155" i="3"/>
  <c r="DB155" i="3"/>
  <c r="DA155" i="3"/>
  <c r="CO155" i="3"/>
  <c r="CN155" i="3"/>
  <c r="CL155" i="3"/>
  <c r="CM155" i="3" s="1"/>
  <c r="AE155" i="3" s="1"/>
  <c r="CK155" i="3"/>
  <c r="CJ155" i="3"/>
  <c r="CI155" i="3"/>
  <c r="CH155" i="3"/>
  <c r="BE155" i="3"/>
  <c r="AX155" i="3"/>
  <c r="AU155" i="3"/>
  <c r="AT155" i="3" s="1"/>
  <c r="AS155" i="3"/>
  <c r="AR155" i="3" s="1"/>
  <c r="AP155" i="3"/>
  <c r="AO155" i="3"/>
  <c r="AN155" i="3"/>
  <c r="Y155" i="3"/>
  <c r="X155" i="3"/>
  <c r="DW154" i="3"/>
  <c r="DV154" i="3"/>
  <c r="DU154" i="3"/>
  <c r="DT154" i="3"/>
  <c r="DS154" i="3"/>
  <c r="DR154" i="3"/>
  <c r="DQ154" i="3"/>
  <c r="DP154" i="3"/>
  <c r="DO154" i="3"/>
  <c r="DN154" i="3"/>
  <c r="DM154" i="3"/>
  <c r="DL154" i="3"/>
  <c r="DK154" i="3"/>
  <c r="DJ154" i="3"/>
  <c r="DI154" i="3"/>
  <c r="DF154" i="3"/>
  <c r="DE154" i="3"/>
  <c r="DD154" i="3"/>
  <c r="DC154" i="3"/>
  <c r="DB154" i="3"/>
  <c r="DA154" i="3"/>
  <c r="CO154" i="3"/>
  <c r="CN154" i="3"/>
  <c r="CL154" i="3"/>
  <c r="CM154" i="3" s="1"/>
  <c r="AE154" i="3" s="1"/>
  <c r="CK154" i="3"/>
  <c r="CJ154" i="3"/>
  <c r="CI154" i="3"/>
  <c r="CH154" i="3"/>
  <c r="BE154" i="3"/>
  <c r="AX154" i="3"/>
  <c r="AU154" i="3"/>
  <c r="AT154" i="3" s="1"/>
  <c r="AS154" i="3"/>
  <c r="AR154" i="3" s="1"/>
  <c r="AP154" i="3"/>
  <c r="AO154" i="3"/>
  <c r="AN154" i="3"/>
  <c r="Y154" i="3"/>
  <c r="X154" i="3"/>
  <c r="DW153" i="3"/>
  <c r="DV153" i="3"/>
  <c r="DU153" i="3"/>
  <c r="DT153" i="3"/>
  <c r="DS153" i="3"/>
  <c r="DR153" i="3"/>
  <c r="DQ153" i="3"/>
  <c r="DP153" i="3"/>
  <c r="DO153" i="3"/>
  <c r="DN153" i="3"/>
  <c r="DM153" i="3"/>
  <c r="DL153" i="3"/>
  <c r="DK153" i="3"/>
  <c r="DJ153" i="3"/>
  <c r="DI153" i="3"/>
  <c r="DF153" i="3"/>
  <c r="DE153" i="3"/>
  <c r="DD153" i="3"/>
  <c r="DC153" i="3"/>
  <c r="DB153" i="3"/>
  <c r="DA153" i="3"/>
  <c r="CO153" i="3"/>
  <c r="CN153" i="3"/>
  <c r="CL153" i="3"/>
  <c r="CM153" i="3" s="1"/>
  <c r="AE153" i="3" s="1"/>
  <c r="CK153" i="3"/>
  <c r="CJ153" i="3"/>
  <c r="CI153" i="3"/>
  <c r="CH153" i="3"/>
  <c r="BE153" i="3"/>
  <c r="AX153" i="3"/>
  <c r="AU153" i="3"/>
  <c r="AT153" i="3" s="1"/>
  <c r="AS153" i="3"/>
  <c r="AR153" i="3" s="1"/>
  <c r="AP153" i="3"/>
  <c r="AO153" i="3"/>
  <c r="AN153" i="3"/>
  <c r="Y153" i="3"/>
  <c r="X153" i="3"/>
  <c r="DW152" i="3"/>
  <c r="DV152" i="3"/>
  <c r="DU152" i="3"/>
  <c r="DT152" i="3"/>
  <c r="DS152" i="3"/>
  <c r="DR152" i="3"/>
  <c r="DQ152" i="3"/>
  <c r="DP152" i="3"/>
  <c r="DO152" i="3"/>
  <c r="DN152" i="3"/>
  <c r="DM152" i="3"/>
  <c r="DL152" i="3"/>
  <c r="DK152" i="3"/>
  <c r="DJ152" i="3"/>
  <c r="DI152" i="3"/>
  <c r="DF152" i="3"/>
  <c r="DE152" i="3"/>
  <c r="DD152" i="3"/>
  <c r="DC152" i="3"/>
  <c r="DB152" i="3"/>
  <c r="DA152" i="3"/>
  <c r="CO152" i="3"/>
  <c r="CN152" i="3"/>
  <c r="CL152" i="3"/>
  <c r="CM152" i="3" s="1"/>
  <c r="AE152" i="3" s="1"/>
  <c r="CK152" i="3"/>
  <c r="CJ152" i="3"/>
  <c r="CI152" i="3"/>
  <c r="CH152" i="3"/>
  <c r="BE152" i="3"/>
  <c r="AX152" i="3"/>
  <c r="AU152" i="3"/>
  <c r="AT152" i="3" s="1"/>
  <c r="AS152" i="3"/>
  <c r="AR152" i="3" s="1"/>
  <c r="AP152" i="3"/>
  <c r="AO152" i="3"/>
  <c r="AN152" i="3"/>
  <c r="Y152" i="3"/>
  <c r="X152" i="3"/>
  <c r="DW151" i="3"/>
  <c r="DV151" i="3"/>
  <c r="DU151" i="3"/>
  <c r="DT151" i="3"/>
  <c r="DS151" i="3"/>
  <c r="DR151" i="3"/>
  <c r="DQ151" i="3"/>
  <c r="DP151" i="3"/>
  <c r="DO151" i="3"/>
  <c r="DN151" i="3"/>
  <c r="DM151" i="3"/>
  <c r="DL151" i="3"/>
  <c r="DK151" i="3"/>
  <c r="DJ151" i="3"/>
  <c r="DI151" i="3"/>
  <c r="DF151" i="3"/>
  <c r="DE151" i="3"/>
  <c r="DD151" i="3"/>
  <c r="DC151" i="3"/>
  <c r="DB151" i="3"/>
  <c r="DA151" i="3"/>
  <c r="CO151" i="3"/>
  <c r="CN151" i="3"/>
  <c r="CL151" i="3"/>
  <c r="CM151" i="3" s="1"/>
  <c r="AE151" i="3" s="1"/>
  <c r="CK151" i="3"/>
  <c r="CJ151" i="3"/>
  <c r="CI151" i="3"/>
  <c r="CH151" i="3"/>
  <c r="BE151" i="3"/>
  <c r="AX151" i="3"/>
  <c r="AU151" i="3"/>
  <c r="AT151" i="3" s="1"/>
  <c r="AS151" i="3"/>
  <c r="AR151" i="3" s="1"/>
  <c r="AP151" i="3"/>
  <c r="AO151" i="3"/>
  <c r="AN151" i="3"/>
  <c r="Y151" i="3"/>
  <c r="X151" i="3"/>
  <c r="DW150" i="3"/>
  <c r="DV150" i="3"/>
  <c r="DU150" i="3"/>
  <c r="DT150" i="3"/>
  <c r="DS150" i="3"/>
  <c r="DR150" i="3"/>
  <c r="DQ150" i="3"/>
  <c r="DP150" i="3"/>
  <c r="DO150" i="3"/>
  <c r="DN150" i="3"/>
  <c r="DM150" i="3"/>
  <c r="DL150" i="3"/>
  <c r="DK150" i="3"/>
  <c r="DJ150" i="3"/>
  <c r="DI150" i="3"/>
  <c r="DF150" i="3"/>
  <c r="DE150" i="3"/>
  <c r="DD150" i="3"/>
  <c r="DC150" i="3"/>
  <c r="DB150" i="3"/>
  <c r="DA150" i="3"/>
  <c r="CO150" i="3"/>
  <c r="CN150" i="3"/>
  <c r="CL150" i="3"/>
  <c r="CM150" i="3" s="1"/>
  <c r="AE150" i="3" s="1"/>
  <c r="AH150" i="3" s="1"/>
  <c r="AI150" i="3" s="1"/>
  <c r="CK150" i="3"/>
  <c r="CJ150" i="3"/>
  <c r="CI150" i="3"/>
  <c r="CH150" i="3"/>
  <c r="BE150" i="3"/>
  <c r="AX150" i="3"/>
  <c r="AU150" i="3"/>
  <c r="AT150" i="3" s="1"/>
  <c r="AS150" i="3"/>
  <c r="AR150" i="3" s="1"/>
  <c r="AP150" i="3"/>
  <c r="AO150" i="3"/>
  <c r="AN150" i="3"/>
  <c r="Y150" i="3"/>
  <c r="X150" i="3"/>
  <c r="DW149" i="3"/>
  <c r="DV149" i="3"/>
  <c r="DU149" i="3"/>
  <c r="DT149" i="3"/>
  <c r="DS149" i="3"/>
  <c r="DR149" i="3"/>
  <c r="DQ149" i="3"/>
  <c r="DP149" i="3"/>
  <c r="DO149" i="3"/>
  <c r="DN149" i="3"/>
  <c r="DM149" i="3"/>
  <c r="DL149" i="3"/>
  <c r="DK149" i="3"/>
  <c r="DJ149" i="3"/>
  <c r="DI149" i="3"/>
  <c r="DF149" i="3"/>
  <c r="DE149" i="3"/>
  <c r="DD149" i="3"/>
  <c r="DC149" i="3"/>
  <c r="DB149" i="3"/>
  <c r="DA149" i="3"/>
  <c r="CO149" i="3"/>
  <c r="CN149" i="3"/>
  <c r="CL149" i="3"/>
  <c r="CM149" i="3" s="1"/>
  <c r="AE149" i="3" s="1"/>
  <c r="CK149" i="3"/>
  <c r="CJ149" i="3"/>
  <c r="CI149" i="3"/>
  <c r="CH149" i="3"/>
  <c r="BE149" i="3"/>
  <c r="AX149" i="3"/>
  <c r="AU149" i="3"/>
  <c r="AT149" i="3" s="1"/>
  <c r="AS149" i="3"/>
  <c r="AR149" i="3" s="1"/>
  <c r="AP149" i="3"/>
  <c r="AO149" i="3"/>
  <c r="AN149" i="3"/>
  <c r="Y149" i="3"/>
  <c r="X149" i="3"/>
  <c r="DW148" i="3"/>
  <c r="DV148" i="3"/>
  <c r="DU148" i="3"/>
  <c r="DT148" i="3"/>
  <c r="DS148" i="3"/>
  <c r="DR148" i="3"/>
  <c r="DQ148" i="3"/>
  <c r="DP148" i="3"/>
  <c r="DO148" i="3"/>
  <c r="DN148" i="3"/>
  <c r="DM148" i="3"/>
  <c r="DL148" i="3"/>
  <c r="DK148" i="3"/>
  <c r="DJ148" i="3"/>
  <c r="DI148" i="3"/>
  <c r="DF148" i="3"/>
  <c r="DE148" i="3"/>
  <c r="DD148" i="3"/>
  <c r="DC148" i="3"/>
  <c r="DB148" i="3"/>
  <c r="DA148" i="3"/>
  <c r="CO148" i="3"/>
  <c r="CN148" i="3"/>
  <c r="CL148" i="3"/>
  <c r="CM148" i="3" s="1"/>
  <c r="AE148" i="3" s="1"/>
  <c r="AH148" i="3" s="1"/>
  <c r="CK148" i="3"/>
  <c r="CJ148" i="3"/>
  <c r="CI148" i="3"/>
  <c r="CH148" i="3"/>
  <c r="BE148" i="3"/>
  <c r="AX148" i="3"/>
  <c r="AU148" i="3"/>
  <c r="AT148" i="3" s="1"/>
  <c r="AS148" i="3"/>
  <c r="AR148" i="3" s="1"/>
  <c r="AP148" i="3"/>
  <c r="AO148" i="3"/>
  <c r="AN148" i="3"/>
  <c r="Y148" i="3"/>
  <c r="X148" i="3"/>
  <c r="DW147" i="3"/>
  <c r="DV147" i="3"/>
  <c r="DU147" i="3"/>
  <c r="DT147" i="3"/>
  <c r="DS147" i="3"/>
  <c r="DR147" i="3"/>
  <c r="DQ147" i="3"/>
  <c r="DP147" i="3"/>
  <c r="DO147" i="3"/>
  <c r="DN147" i="3"/>
  <c r="DM147" i="3"/>
  <c r="DL147" i="3"/>
  <c r="DK147" i="3"/>
  <c r="DJ147" i="3"/>
  <c r="DI147" i="3"/>
  <c r="DF147" i="3"/>
  <c r="DE147" i="3"/>
  <c r="DD147" i="3"/>
  <c r="DC147" i="3"/>
  <c r="DB147" i="3"/>
  <c r="DA147" i="3"/>
  <c r="CO147" i="3"/>
  <c r="CN147" i="3"/>
  <c r="CL147" i="3"/>
  <c r="CM147" i="3" s="1"/>
  <c r="AE147" i="3" s="1"/>
  <c r="AH147" i="3" s="1"/>
  <c r="CK147" i="3"/>
  <c r="CJ147" i="3"/>
  <c r="CI147" i="3"/>
  <c r="CH147" i="3"/>
  <c r="BE147" i="3"/>
  <c r="AX147" i="3"/>
  <c r="AU147" i="3"/>
  <c r="AT147" i="3" s="1"/>
  <c r="AS147" i="3"/>
  <c r="AR147" i="3" s="1"/>
  <c r="AP147" i="3"/>
  <c r="AO147" i="3"/>
  <c r="AN147" i="3"/>
  <c r="Y147" i="3"/>
  <c r="X147" i="3"/>
  <c r="DW146" i="3"/>
  <c r="DV146" i="3"/>
  <c r="DU146" i="3"/>
  <c r="DT146" i="3"/>
  <c r="DS146" i="3"/>
  <c r="DR146" i="3"/>
  <c r="DQ146" i="3"/>
  <c r="DP146" i="3"/>
  <c r="DO146" i="3"/>
  <c r="DN146" i="3"/>
  <c r="DM146" i="3"/>
  <c r="DL146" i="3"/>
  <c r="DK146" i="3"/>
  <c r="DJ146" i="3"/>
  <c r="DI146" i="3"/>
  <c r="DF146" i="3"/>
  <c r="DE146" i="3"/>
  <c r="DD146" i="3"/>
  <c r="DC146" i="3"/>
  <c r="DB146" i="3"/>
  <c r="DA146" i="3"/>
  <c r="CO146" i="3"/>
  <c r="CN146" i="3"/>
  <c r="CL146" i="3"/>
  <c r="CM146" i="3" s="1"/>
  <c r="AE146" i="3" s="1"/>
  <c r="AH146" i="3" s="1"/>
  <c r="CK146" i="3"/>
  <c r="CJ146" i="3"/>
  <c r="CI146" i="3"/>
  <c r="CH146" i="3"/>
  <c r="BE146" i="3"/>
  <c r="AX146" i="3"/>
  <c r="AU146" i="3"/>
  <c r="AT146" i="3" s="1"/>
  <c r="AS146" i="3"/>
  <c r="AR146" i="3" s="1"/>
  <c r="AP146" i="3"/>
  <c r="AO146" i="3"/>
  <c r="AN146" i="3"/>
  <c r="Y146" i="3"/>
  <c r="X146" i="3"/>
  <c r="DW145" i="3"/>
  <c r="DV145" i="3"/>
  <c r="DU145" i="3"/>
  <c r="DT145" i="3"/>
  <c r="DS145" i="3"/>
  <c r="DR145" i="3"/>
  <c r="DQ145" i="3"/>
  <c r="DP145" i="3"/>
  <c r="DO145" i="3"/>
  <c r="DN145" i="3"/>
  <c r="DM145" i="3"/>
  <c r="DL145" i="3"/>
  <c r="DK145" i="3"/>
  <c r="DJ145" i="3"/>
  <c r="DI145" i="3"/>
  <c r="DF145" i="3"/>
  <c r="DE145" i="3"/>
  <c r="DD145" i="3"/>
  <c r="DC145" i="3"/>
  <c r="DB145" i="3"/>
  <c r="DA145" i="3"/>
  <c r="CO145" i="3"/>
  <c r="CN145" i="3"/>
  <c r="CL145" i="3"/>
  <c r="CM145" i="3" s="1"/>
  <c r="AE145" i="3" s="1"/>
  <c r="CK145" i="3"/>
  <c r="CJ145" i="3"/>
  <c r="CI145" i="3"/>
  <c r="CH145" i="3"/>
  <c r="BE145" i="3"/>
  <c r="AX145" i="3"/>
  <c r="AU145" i="3"/>
  <c r="AT145" i="3" s="1"/>
  <c r="AS145" i="3"/>
  <c r="AR145" i="3" s="1"/>
  <c r="AP145" i="3"/>
  <c r="AO145" i="3"/>
  <c r="AN145" i="3"/>
  <c r="Y145" i="3"/>
  <c r="X145" i="3"/>
  <c r="DW144" i="3"/>
  <c r="DV144" i="3"/>
  <c r="DU144" i="3"/>
  <c r="DT144" i="3"/>
  <c r="DS144" i="3"/>
  <c r="DR144" i="3"/>
  <c r="DQ144" i="3"/>
  <c r="DP144" i="3"/>
  <c r="DO144" i="3"/>
  <c r="DN144" i="3"/>
  <c r="DM144" i="3"/>
  <c r="DL144" i="3"/>
  <c r="DK144" i="3"/>
  <c r="DJ144" i="3"/>
  <c r="DI144" i="3"/>
  <c r="DF144" i="3"/>
  <c r="DE144" i="3"/>
  <c r="DD144" i="3"/>
  <c r="DC144" i="3"/>
  <c r="DB144" i="3"/>
  <c r="DA144" i="3"/>
  <c r="CO144" i="3"/>
  <c r="CN144" i="3"/>
  <c r="CL144" i="3"/>
  <c r="CM144" i="3" s="1"/>
  <c r="AE144" i="3" s="1"/>
  <c r="CK144" i="3"/>
  <c r="CJ144" i="3"/>
  <c r="CI144" i="3"/>
  <c r="CH144" i="3"/>
  <c r="BE144" i="3"/>
  <c r="AX144" i="3"/>
  <c r="AU144" i="3"/>
  <c r="AT144" i="3" s="1"/>
  <c r="AS144" i="3"/>
  <c r="AR144" i="3" s="1"/>
  <c r="AP144" i="3"/>
  <c r="AO144" i="3"/>
  <c r="AN144" i="3"/>
  <c r="Y144" i="3"/>
  <c r="X144" i="3"/>
  <c r="DW143" i="3"/>
  <c r="DV143" i="3"/>
  <c r="DU143" i="3"/>
  <c r="DT143" i="3"/>
  <c r="DS143" i="3"/>
  <c r="DR143" i="3"/>
  <c r="DQ143" i="3"/>
  <c r="DP143" i="3"/>
  <c r="DO143" i="3"/>
  <c r="DN143" i="3"/>
  <c r="DM143" i="3"/>
  <c r="DL143" i="3"/>
  <c r="DK143" i="3"/>
  <c r="DJ143" i="3"/>
  <c r="DI143" i="3"/>
  <c r="DF143" i="3"/>
  <c r="DE143" i="3"/>
  <c r="DD143" i="3"/>
  <c r="DC143" i="3"/>
  <c r="DB143" i="3"/>
  <c r="DA143" i="3"/>
  <c r="CO143" i="3"/>
  <c r="CN143" i="3"/>
  <c r="CL143" i="3"/>
  <c r="CM143" i="3" s="1"/>
  <c r="AE143" i="3" s="1"/>
  <c r="CK143" i="3"/>
  <c r="CJ143" i="3"/>
  <c r="CI143" i="3"/>
  <c r="CH143" i="3"/>
  <c r="BE143" i="3"/>
  <c r="AX143" i="3"/>
  <c r="AU143" i="3"/>
  <c r="AT143" i="3" s="1"/>
  <c r="AS143" i="3"/>
  <c r="AR143" i="3" s="1"/>
  <c r="AP143" i="3"/>
  <c r="AO143" i="3"/>
  <c r="AN143" i="3"/>
  <c r="Y143" i="3"/>
  <c r="X143" i="3"/>
  <c r="DW142" i="3"/>
  <c r="DV142" i="3"/>
  <c r="DU142" i="3"/>
  <c r="DT142" i="3"/>
  <c r="DS142" i="3"/>
  <c r="DR142" i="3"/>
  <c r="DQ142" i="3"/>
  <c r="DP142" i="3"/>
  <c r="DO142" i="3"/>
  <c r="DN142" i="3"/>
  <c r="DM142" i="3"/>
  <c r="DL142" i="3"/>
  <c r="DK142" i="3"/>
  <c r="DJ142" i="3"/>
  <c r="DI142" i="3"/>
  <c r="DF142" i="3"/>
  <c r="DE142" i="3"/>
  <c r="DD142" i="3"/>
  <c r="DC142" i="3"/>
  <c r="DB142" i="3"/>
  <c r="DA142" i="3"/>
  <c r="CO142" i="3"/>
  <c r="CN142" i="3"/>
  <c r="CL142" i="3"/>
  <c r="CM142" i="3" s="1"/>
  <c r="AE142" i="3" s="1"/>
  <c r="AH142" i="3" s="1"/>
  <c r="AI142" i="3" s="1"/>
  <c r="CK142" i="3"/>
  <c r="CJ142" i="3"/>
  <c r="CI142" i="3"/>
  <c r="CH142" i="3"/>
  <c r="BE142" i="3"/>
  <c r="AX142" i="3"/>
  <c r="AU142" i="3"/>
  <c r="AT142" i="3" s="1"/>
  <c r="AS142" i="3"/>
  <c r="AR142" i="3" s="1"/>
  <c r="AP142" i="3"/>
  <c r="AO142" i="3"/>
  <c r="AN142" i="3"/>
  <c r="Y142" i="3"/>
  <c r="X142" i="3"/>
  <c r="DW141" i="3"/>
  <c r="DV141" i="3"/>
  <c r="DU141" i="3"/>
  <c r="DT141" i="3"/>
  <c r="DS141" i="3"/>
  <c r="DR141" i="3"/>
  <c r="DQ141" i="3"/>
  <c r="DP141" i="3"/>
  <c r="DO141" i="3"/>
  <c r="DN141" i="3"/>
  <c r="DM141" i="3"/>
  <c r="DL141" i="3"/>
  <c r="DK141" i="3"/>
  <c r="DJ141" i="3"/>
  <c r="DI141" i="3"/>
  <c r="DF141" i="3"/>
  <c r="DE141" i="3"/>
  <c r="DD141" i="3"/>
  <c r="DC141" i="3"/>
  <c r="DB141" i="3"/>
  <c r="DA141" i="3"/>
  <c r="CO141" i="3"/>
  <c r="CN141" i="3"/>
  <c r="CL141" i="3"/>
  <c r="CM141" i="3" s="1"/>
  <c r="AE141" i="3" s="1"/>
  <c r="CK141" i="3"/>
  <c r="CJ141" i="3"/>
  <c r="CI141" i="3"/>
  <c r="CH141" i="3"/>
  <c r="BE141" i="3"/>
  <c r="AX141" i="3"/>
  <c r="AU141" i="3"/>
  <c r="AT141" i="3" s="1"/>
  <c r="AS141" i="3"/>
  <c r="AR141" i="3" s="1"/>
  <c r="AP141" i="3"/>
  <c r="AO141" i="3"/>
  <c r="AN141" i="3"/>
  <c r="Y141" i="3"/>
  <c r="X141" i="3"/>
  <c r="DW140" i="3"/>
  <c r="DV140" i="3"/>
  <c r="DU140" i="3"/>
  <c r="DT140" i="3"/>
  <c r="DS140" i="3"/>
  <c r="DR140" i="3"/>
  <c r="DQ140" i="3"/>
  <c r="DP140" i="3"/>
  <c r="DO140" i="3"/>
  <c r="DN140" i="3"/>
  <c r="DM140" i="3"/>
  <c r="DL140" i="3"/>
  <c r="DK140" i="3"/>
  <c r="DJ140" i="3"/>
  <c r="DI140" i="3"/>
  <c r="DF140" i="3"/>
  <c r="DE140" i="3"/>
  <c r="DD140" i="3"/>
  <c r="DC140" i="3"/>
  <c r="DB140" i="3"/>
  <c r="DA140" i="3"/>
  <c r="CO140" i="3"/>
  <c r="CN140" i="3"/>
  <c r="CL140" i="3"/>
  <c r="CM140" i="3" s="1"/>
  <c r="AE140" i="3" s="1"/>
  <c r="CK140" i="3"/>
  <c r="CJ140" i="3"/>
  <c r="CI140" i="3"/>
  <c r="CH140" i="3"/>
  <c r="BE140" i="3"/>
  <c r="AX140" i="3"/>
  <c r="AU140" i="3"/>
  <c r="AT140" i="3" s="1"/>
  <c r="AS140" i="3"/>
  <c r="AR140" i="3" s="1"/>
  <c r="AP140" i="3"/>
  <c r="AO140" i="3"/>
  <c r="AN140" i="3"/>
  <c r="Y140" i="3"/>
  <c r="X140" i="3"/>
  <c r="DW139" i="3"/>
  <c r="DV139" i="3"/>
  <c r="DU139" i="3"/>
  <c r="DT139" i="3"/>
  <c r="DS139" i="3"/>
  <c r="DR139" i="3"/>
  <c r="DQ139" i="3"/>
  <c r="DP139" i="3"/>
  <c r="DO139" i="3"/>
  <c r="DN139" i="3"/>
  <c r="DM139" i="3"/>
  <c r="DL139" i="3"/>
  <c r="DK139" i="3"/>
  <c r="DJ139" i="3"/>
  <c r="DI139" i="3"/>
  <c r="DF139" i="3"/>
  <c r="DE139" i="3"/>
  <c r="DD139" i="3"/>
  <c r="DC139" i="3"/>
  <c r="DB139" i="3"/>
  <c r="DA139" i="3"/>
  <c r="CO139" i="3"/>
  <c r="CN139" i="3"/>
  <c r="CL139" i="3"/>
  <c r="CM139" i="3" s="1"/>
  <c r="AE139" i="3" s="1"/>
  <c r="AH139" i="3" s="1"/>
  <c r="CK139" i="3"/>
  <c r="CJ139" i="3"/>
  <c r="CI139" i="3"/>
  <c r="CH139" i="3"/>
  <c r="BE139" i="3"/>
  <c r="AX139" i="3"/>
  <c r="AU139" i="3"/>
  <c r="AT139" i="3" s="1"/>
  <c r="AS139" i="3"/>
  <c r="AR139" i="3" s="1"/>
  <c r="AP139" i="3"/>
  <c r="AO139" i="3"/>
  <c r="AN139" i="3"/>
  <c r="Y139" i="3"/>
  <c r="X139" i="3"/>
  <c r="DW138" i="3"/>
  <c r="DV138" i="3"/>
  <c r="DU138" i="3"/>
  <c r="DT138" i="3"/>
  <c r="DS138" i="3"/>
  <c r="DR138" i="3"/>
  <c r="DQ138" i="3"/>
  <c r="DP138" i="3"/>
  <c r="DO138" i="3"/>
  <c r="DN138" i="3"/>
  <c r="DM138" i="3"/>
  <c r="DL138" i="3"/>
  <c r="DK138" i="3"/>
  <c r="DJ138" i="3"/>
  <c r="DI138" i="3"/>
  <c r="DF138" i="3"/>
  <c r="DE138" i="3"/>
  <c r="DD138" i="3"/>
  <c r="DC138" i="3"/>
  <c r="DB138" i="3"/>
  <c r="DA138" i="3"/>
  <c r="CO138" i="3"/>
  <c r="CN138" i="3"/>
  <c r="CL138" i="3"/>
  <c r="CM138" i="3" s="1"/>
  <c r="AE138" i="3" s="1"/>
  <c r="AH138" i="3" s="1"/>
  <c r="CK138" i="3"/>
  <c r="CJ138" i="3"/>
  <c r="CI138" i="3"/>
  <c r="CH138" i="3"/>
  <c r="BE138" i="3"/>
  <c r="AX138" i="3"/>
  <c r="AU138" i="3"/>
  <c r="AT138" i="3" s="1"/>
  <c r="AS138" i="3"/>
  <c r="AR138" i="3" s="1"/>
  <c r="AP138" i="3"/>
  <c r="AO138" i="3"/>
  <c r="AN138" i="3"/>
  <c r="Y138" i="3"/>
  <c r="X138" i="3"/>
  <c r="DW137" i="3"/>
  <c r="DV137" i="3"/>
  <c r="DU137" i="3"/>
  <c r="DT137" i="3"/>
  <c r="DS137" i="3"/>
  <c r="DR137" i="3"/>
  <c r="DQ137" i="3"/>
  <c r="DP137" i="3"/>
  <c r="DO137" i="3"/>
  <c r="DN137" i="3"/>
  <c r="DM137" i="3"/>
  <c r="DL137" i="3"/>
  <c r="DK137" i="3"/>
  <c r="DJ137" i="3"/>
  <c r="DI137" i="3"/>
  <c r="DF137" i="3"/>
  <c r="DE137" i="3"/>
  <c r="DD137" i="3"/>
  <c r="DC137" i="3"/>
  <c r="DB137" i="3"/>
  <c r="DA137" i="3"/>
  <c r="CO137" i="3"/>
  <c r="CN137" i="3"/>
  <c r="CL137" i="3"/>
  <c r="CM137" i="3" s="1"/>
  <c r="AE137" i="3" s="1"/>
  <c r="CK137" i="3"/>
  <c r="CJ137" i="3"/>
  <c r="CI137" i="3"/>
  <c r="CH137" i="3"/>
  <c r="BE137" i="3"/>
  <c r="AX137" i="3"/>
  <c r="AU137" i="3"/>
  <c r="AT137" i="3" s="1"/>
  <c r="AS137" i="3"/>
  <c r="AR137" i="3" s="1"/>
  <c r="AP137" i="3"/>
  <c r="AO137" i="3"/>
  <c r="AN137" i="3"/>
  <c r="Y137" i="3"/>
  <c r="X137" i="3"/>
  <c r="DW136" i="3"/>
  <c r="DV136" i="3"/>
  <c r="DU136" i="3"/>
  <c r="DT136" i="3"/>
  <c r="DS136" i="3"/>
  <c r="DR136" i="3"/>
  <c r="DQ136" i="3"/>
  <c r="DP136" i="3"/>
  <c r="DO136" i="3"/>
  <c r="DN136" i="3"/>
  <c r="DM136" i="3"/>
  <c r="DL136" i="3"/>
  <c r="DK136" i="3"/>
  <c r="DJ136" i="3"/>
  <c r="DI136" i="3"/>
  <c r="DF136" i="3"/>
  <c r="DE136" i="3"/>
  <c r="DD136" i="3"/>
  <c r="DC136" i="3"/>
  <c r="DB136" i="3"/>
  <c r="DA136" i="3"/>
  <c r="CO136" i="3"/>
  <c r="CN136" i="3"/>
  <c r="CL136" i="3"/>
  <c r="CM136" i="3" s="1"/>
  <c r="AE136" i="3" s="1"/>
  <c r="CK136" i="3"/>
  <c r="CJ136" i="3"/>
  <c r="CI136" i="3"/>
  <c r="CH136" i="3"/>
  <c r="BE136" i="3"/>
  <c r="AX136" i="3"/>
  <c r="AU136" i="3"/>
  <c r="AT136" i="3" s="1"/>
  <c r="AS136" i="3"/>
  <c r="AR136" i="3" s="1"/>
  <c r="AP136" i="3"/>
  <c r="AO136" i="3"/>
  <c r="AN136" i="3"/>
  <c r="Y136" i="3"/>
  <c r="X136" i="3"/>
  <c r="DW135" i="3"/>
  <c r="DV135" i="3"/>
  <c r="DU135" i="3"/>
  <c r="DT135" i="3"/>
  <c r="DS135" i="3"/>
  <c r="DR135" i="3"/>
  <c r="DQ135" i="3"/>
  <c r="DP135" i="3"/>
  <c r="DO135" i="3"/>
  <c r="DN135" i="3"/>
  <c r="DM135" i="3"/>
  <c r="DL135" i="3"/>
  <c r="DK135" i="3"/>
  <c r="DJ135" i="3"/>
  <c r="DI135" i="3"/>
  <c r="DF135" i="3"/>
  <c r="DE135" i="3"/>
  <c r="DD135" i="3"/>
  <c r="DC135" i="3"/>
  <c r="DB135" i="3"/>
  <c r="DA135" i="3"/>
  <c r="CO135" i="3"/>
  <c r="CN135" i="3"/>
  <c r="CL135" i="3"/>
  <c r="CM135" i="3" s="1"/>
  <c r="AE135" i="3" s="1"/>
  <c r="CK135" i="3"/>
  <c r="CJ135" i="3"/>
  <c r="CI135" i="3"/>
  <c r="CH135" i="3"/>
  <c r="BE135" i="3"/>
  <c r="AX135" i="3"/>
  <c r="AU135" i="3"/>
  <c r="AT135" i="3" s="1"/>
  <c r="AS135" i="3"/>
  <c r="AR135" i="3" s="1"/>
  <c r="AP135" i="3"/>
  <c r="AO135" i="3"/>
  <c r="AN135" i="3"/>
  <c r="Y135" i="3"/>
  <c r="X135" i="3"/>
  <c r="DW134" i="3"/>
  <c r="DV134" i="3"/>
  <c r="DU134" i="3"/>
  <c r="DT134" i="3"/>
  <c r="DS134" i="3"/>
  <c r="DR134" i="3"/>
  <c r="DQ134" i="3"/>
  <c r="DP134" i="3"/>
  <c r="DO134" i="3"/>
  <c r="DN134" i="3"/>
  <c r="DM134" i="3"/>
  <c r="DL134" i="3"/>
  <c r="DK134" i="3"/>
  <c r="DJ134" i="3"/>
  <c r="DI134" i="3"/>
  <c r="DF134" i="3"/>
  <c r="DE134" i="3"/>
  <c r="DD134" i="3"/>
  <c r="DC134" i="3"/>
  <c r="DB134" i="3"/>
  <c r="DA134" i="3"/>
  <c r="CO134" i="3"/>
  <c r="CN134" i="3"/>
  <c r="CL134" i="3"/>
  <c r="CM134" i="3" s="1"/>
  <c r="AE134" i="3" s="1"/>
  <c r="AH134" i="3" s="1"/>
  <c r="AI134" i="3" s="1"/>
  <c r="CK134" i="3"/>
  <c r="CJ134" i="3"/>
  <c r="CI134" i="3"/>
  <c r="CH134" i="3"/>
  <c r="BE134" i="3"/>
  <c r="AX134" i="3"/>
  <c r="AU134" i="3"/>
  <c r="AT134" i="3" s="1"/>
  <c r="AS134" i="3"/>
  <c r="AR134" i="3" s="1"/>
  <c r="AP134" i="3"/>
  <c r="AO134" i="3"/>
  <c r="AN134" i="3"/>
  <c r="Y134" i="3"/>
  <c r="X134" i="3"/>
  <c r="DW133" i="3"/>
  <c r="DV133" i="3"/>
  <c r="DU133" i="3"/>
  <c r="DT133" i="3"/>
  <c r="DS133" i="3"/>
  <c r="DR133" i="3"/>
  <c r="DQ133" i="3"/>
  <c r="DP133" i="3"/>
  <c r="DO133" i="3"/>
  <c r="DN133" i="3"/>
  <c r="DM133" i="3"/>
  <c r="DL133" i="3"/>
  <c r="DK133" i="3"/>
  <c r="DJ133" i="3"/>
  <c r="DI133" i="3"/>
  <c r="DF133" i="3"/>
  <c r="DE133" i="3"/>
  <c r="DD133" i="3"/>
  <c r="DC133" i="3"/>
  <c r="DB133" i="3"/>
  <c r="DA133" i="3"/>
  <c r="CO133" i="3"/>
  <c r="CN133" i="3"/>
  <c r="CL133" i="3"/>
  <c r="CM133" i="3" s="1"/>
  <c r="AE133" i="3" s="1"/>
  <c r="CK133" i="3"/>
  <c r="CJ133" i="3"/>
  <c r="CI133" i="3"/>
  <c r="CH133" i="3"/>
  <c r="BE133" i="3"/>
  <c r="AX133" i="3"/>
  <c r="AU133" i="3"/>
  <c r="AT133" i="3" s="1"/>
  <c r="AS133" i="3"/>
  <c r="AR133" i="3" s="1"/>
  <c r="AP133" i="3"/>
  <c r="AO133" i="3"/>
  <c r="AN133" i="3"/>
  <c r="Y133" i="3"/>
  <c r="X133" i="3"/>
  <c r="DW132" i="3"/>
  <c r="DV132" i="3"/>
  <c r="DU132" i="3"/>
  <c r="DT132" i="3"/>
  <c r="DS132" i="3"/>
  <c r="DR132" i="3"/>
  <c r="DQ132" i="3"/>
  <c r="DP132" i="3"/>
  <c r="DO132" i="3"/>
  <c r="DN132" i="3"/>
  <c r="DM132" i="3"/>
  <c r="DL132" i="3"/>
  <c r="DK132" i="3"/>
  <c r="DJ132" i="3"/>
  <c r="DI132" i="3"/>
  <c r="DF132" i="3"/>
  <c r="DE132" i="3"/>
  <c r="DD132" i="3"/>
  <c r="DC132" i="3"/>
  <c r="DB132" i="3"/>
  <c r="DA132" i="3"/>
  <c r="CO132" i="3"/>
  <c r="CN132" i="3"/>
  <c r="CL132" i="3"/>
  <c r="CM132" i="3" s="1"/>
  <c r="AE132" i="3" s="1"/>
  <c r="AH132" i="3" s="1"/>
  <c r="CK132" i="3"/>
  <c r="CJ132" i="3"/>
  <c r="CI132" i="3"/>
  <c r="CH132" i="3"/>
  <c r="BE132" i="3"/>
  <c r="AX132" i="3"/>
  <c r="AU132" i="3"/>
  <c r="AT132" i="3" s="1"/>
  <c r="AS132" i="3"/>
  <c r="AR132" i="3" s="1"/>
  <c r="AP132" i="3"/>
  <c r="AO132" i="3"/>
  <c r="AN132" i="3"/>
  <c r="Y132" i="3"/>
  <c r="X132" i="3"/>
  <c r="DW131" i="3"/>
  <c r="DV131" i="3"/>
  <c r="DU131" i="3"/>
  <c r="DT131" i="3"/>
  <c r="DS131" i="3"/>
  <c r="DR131" i="3"/>
  <c r="DQ131" i="3"/>
  <c r="DP131" i="3"/>
  <c r="DO131" i="3"/>
  <c r="DN131" i="3"/>
  <c r="DM131" i="3"/>
  <c r="DL131" i="3"/>
  <c r="DK131" i="3"/>
  <c r="DJ131" i="3"/>
  <c r="DI131" i="3"/>
  <c r="DF131" i="3"/>
  <c r="DE131" i="3"/>
  <c r="DD131" i="3"/>
  <c r="DC131" i="3"/>
  <c r="DB131" i="3"/>
  <c r="DA131" i="3"/>
  <c r="CO131" i="3"/>
  <c r="CN131" i="3"/>
  <c r="CL131" i="3"/>
  <c r="CM131" i="3" s="1"/>
  <c r="AE131" i="3" s="1"/>
  <c r="AH131" i="3" s="1"/>
  <c r="CK131" i="3"/>
  <c r="CJ131" i="3"/>
  <c r="CI131" i="3"/>
  <c r="CH131" i="3"/>
  <c r="BE131" i="3"/>
  <c r="AX131" i="3"/>
  <c r="AU131" i="3"/>
  <c r="AT131" i="3" s="1"/>
  <c r="AS131" i="3"/>
  <c r="AR131" i="3" s="1"/>
  <c r="AP131" i="3"/>
  <c r="AO131" i="3"/>
  <c r="AN131" i="3"/>
  <c r="Y131" i="3"/>
  <c r="X131" i="3"/>
  <c r="DW130" i="3"/>
  <c r="DV130" i="3"/>
  <c r="DU130" i="3"/>
  <c r="DT130" i="3"/>
  <c r="DS130" i="3"/>
  <c r="DR130" i="3"/>
  <c r="DQ130" i="3"/>
  <c r="DP130" i="3"/>
  <c r="DO130" i="3"/>
  <c r="DN130" i="3"/>
  <c r="DM130" i="3"/>
  <c r="DL130" i="3"/>
  <c r="DK130" i="3"/>
  <c r="DJ130" i="3"/>
  <c r="DI130" i="3"/>
  <c r="DF130" i="3"/>
  <c r="DE130" i="3"/>
  <c r="DD130" i="3"/>
  <c r="DC130" i="3"/>
  <c r="DB130" i="3"/>
  <c r="DA130" i="3"/>
  <c r="CO130" i="3"/>
  <c r="CN130" i="3"/>
  <c r="CL130" i="3"/>
  <c r="CM130" i="3" s="1"/>
  <c r="AE130" i="3" s="1"/>
  <c r="AH130" i="3" s="1"/>
  <c r="CK130" i="3"/>
  <c r="CJ130" i="3"/>
  <c r="CI130" i="3"/>
  <c r="CH130" i="3"/>
  <c r="BE130" i="3"/>
  <c r="AX130" i="3"/>
  <c r="AU130" i="3"/>
  <c r="AT130" i="3" s="1"/>
  <c r="AS130" i="3"/>
  <c r="AR130" i="3" s="1"/>
  <c r="AP130" i="3"/>
  <c r="AO130" i="3"/>
  <c r="AN130" i="3"/>
  <c r="Y130" i="3"/>
  <c r="X130" i="3"/>
  <c r="DW129" i="3"/>
  <c r="DV129" i="3"/>
  <c r="DU129" i="3"/>
  <c r="DT129" i="3"/>
  <c r="DS129" i="3"/>
  <c r="DR129" i="3"/>
  <c r="DQ129" i="3"/>
  <c r="DP129" i="3"/>
  <c r="DO129" i="3"/>
  <c r="DN129" i="3"/>
  <c r="DM129" i="3"/>
  <c r="DL129" i="3"/>
  <c r="DK129" i="3"/>
  <c r="DJ129" i="3"/>
  <c r="DI129" i="3"/>
  <c r="DF129" i="3"/>
  <c r="DE129" i="3"/>
  <c r="DD129" i="3"/>
  <c r="DC129" i="3"/>
  <c r="DB129" i="3"/>
  <c r="DA129" i="3"/>
  <c r="CO129" i="3"/>
  <c r="CN129" i="3"/>
  <c r="CL129" i="3"/>
  <c r="CM129" i="3" s="1"/>
  <c r="AE129" i="3" s="1"/>
  <c r="CK129" i="3"/>
  <c r="CJ129" i="3"/>
  <c r="CI129" i="3"/>
  <c r="CH129" i="3"/>
  <c r="BE129" i="3"/>
  <c r="AX129" i="3"/>
  <c r="AU129" i="3"/>
  <c r="AT129" i="3" s="1"/>
  <c r="AS129" i="3"/>
  <c r="AR129" i="3" s="1"/>
  <c r="AP129" i="3"/>
  <c r="AO129" i="3"/>
  <c r="AN129" i="3"/>
  <c r="Y129" i="3"/>
  <c r="X129" i="3"/>
  <c r="DW128" i="3"/>
  <c r="DV128" i="3"/>
  <c r="DU128" i="3"/>
  <c r="DT128" i="3"/>
  <c r="DS128" i="3"/>
  <c r="DR128" i="3"/>
  <c r="DQ128" i="3"/>
  <c r="DP128" i="3"/>
  <c r="DO128" i="3"/>
  <c r="DN128" i="3"/>
  <c r="DM128" i="3"/>
  <c r="DL128" i="3"/>
  <c r="DK128" i="3"/>
  <c r="DJ128" i="3"/>
  <c r="DI128" i="3"/>
  <c r="DF128" i="3"/>
  <c r="DE128" i="3"/>
  <c r="DD128" i="3"/>
  <c r="DC128" i="3"/>
  <c r="DB128" i="3"/>
  <c r="DA128" i="3"/>
  <c r="CO128" i="3"/>
  <c r="CN128" i="3"/>
  <c r="CL128" i="3"/>
  <c r="CM128" i="3" s="1"/>
  <c r="AE128" i="3" s="1"/>
  <c r="CK128" i="3"/>
  <c r="CJ128" i="3"/>
  <c r="CI128" i="3"/>
  <c r="CH128" i="3"/>
  <c r="BE128" i="3"/>
  <c r="AX128" i="3"/>
  <c r="AU128" i="3"/>
  <c r="AT128" i="3" s="1"/>
  <c r="AS128" i="3"/>
  <c r="AR128" i="3" s="1"/>
  <c r="AP128" i="3"/>
  <c r="AO128" i="3"/>
  <c r="AN128" i="3"/>
  <c r="Y128" i="3"/>
  <c r="X128" i="3"/>
  <c r="DW127" i="3"/>
  <c r="DV127" i="3"/>
  <c r="DU127" i="3"/>
  <c r="DT127" i="3"/>
  <c r="DS127" i="3"/>
  <c r="DR127" i="3"/>
  <c r="DQ127" i="3"/>
  <c r="DP127" i="3"/>
  <c r="DO127" i="3"/>
  <c r="DN127" i="3"/>
  <c r="DM127" i="3"/>
  <c r="DL127" i="3"/>
  <c r="DK127" i="3"/>
  <c r="DJ127" i="3"/>
  <c r="DI127" i="3"/>
  <c r="DF127" i="3"/>
  <c r="DE127" i="3"/>
  <c r="DD127" i="3"/>
  <c r="DC127" i="3"/>
  <c r="DB127" i="3"/>
  <c r="DA127" i="3"/>
  <c r="CO127" i="3"/>
  <c r="CN127" i="3"/>
  <c r="CL127" i="3"/>
  <c r="CM127" i="3" s="1"/>
  <c r="AE127" i="3" s="1"/>
  <c r="CK127" i="3"/>
  <c r="CJ127" i="3"/>
  <c r="CI127" i="3"/>
  <c r="CH127" i="3"/>
  <c r="BE127" i="3"/>
  <c r="AX127" i="3"/>
  <c r="AU127" i="3"/>
  <c r="AT127" i="3" s="1"/>
  <c r="AS127" i="3"/>
  <c r="AR127" i="3" s="1"/>
  <c r="AP127" i="3"/>
  <c r="AO127" i="3"/>
  <c r="AN127" i="3"/>
  <c r="Y127" i="3"/>
  <c r="X127" i="3"/>
  <c r="DW126" i="3"/>
  <c r="DV126" i="3"/>
  <c r="DU126" i="3"/>
  <c r="DT126" i="3"/>
  <c r="DS126" i="3"/>
  <c r="DR126" i="3"/>
  <c r="DQ126" i="3"/>
  <c r="DP126" i="3"/>
  <c r="DO126" i="3"/>
  <c r="DN126" i="3"/>
  <c r="DM126" i="3"/>
  <c r="DL126" i="3"/>
  <c r="DK126" i="3"/>
  <c r="DJ126" i="3"/>
  <c r="DI126" i="3"/>
  <c r="DF126" i="3"/>
  <c r="DE126" i="3"/>
  <c r="DD126" i="3"/>
  <c r="DC126" i="3"/>
  <c r="DB126" i="3"/>
  <c r="DA126" i="3"/>
  <c r="CO126" i="3"/>
  <c r="CN126" i="3"/>
  <c r="CL126" i="3"/>
  <c r="CM126" i="3" s="1"/>
  <c r="AE126" i="3" s="1"/>
  <c r="AH126" i="3" s="1"/>
  <c r="AI126" i="3" s="1"/>
  <c r="CK126" i="3"/>
  <c r="CJ126" i="3"/>
  <c r="CI126" i="3"/>
  <c r="CH126" i="3"/>
  <c r="BE126" i="3"/>
  <c r="AX126" i="3"/>
  <c r="AU126" i="3"/>
  <c r="AT126" i="3" s="1"/>
  <c r="AS126" i="3"/>
  <c r="AR126" i="3" s="1"/>
  <c r="AP126" i="3"/>
  <c r="AO126" i="3"/>
  <c r="AN126" i="3"/>
  <c r="Y126" i="3"/>
  <c r="X126" i="3"/>
  <c r="DW125" i="3"/>
  <c r="DV125" i="3"/>
  <c r="DU125" i="3"/>
  <c r="DT125" i="3"/>
  <c r="DS125" i="3"/>
  <c r="DR125" i="3"/>
  <c r="DQ125" i="3"/>
  <c r="DP125" i="3"/>
  <c r="DO125" i="3"/>
  <c r="DN125" i="3"/>
  <c r="DM125" i="3"/>
  <c r="DL125" i="3"/>
  <c r="DK125" i="3"/>
  <c r="DJ125" i="3"/>
  <c r="DI125" i="3"/>
  <c r="DF125" i="3"/>
  <c r="DE125" i="3"/>
  <c r="DD125" i="3"/>
  <c r="DC125" i="3"/>
  <c r="DB125" i="3"/>
  <c r="DA125" i="3"/>
  <c r="CO125" i="3"/>
  <c r="CN125" i="3"/>
  <c r="CL125" i="3"/>
  <c r="CM125" i="3" s="1"/>
  <c r="AE125" i="3" s="1"/>
  <c r="CK125" i="3"/>
  <c r="CJ125" i="3"/>
  <c r="CI125" i="3"/>
  <c r="CH125" i="3"/>
  <c r="BE125" i="3"/>
  <c r="AX125" i="3"/>
  <c r="AU125" i="3"/>
  <c r="AT125" i="3" s="1"/>
  <c r="AS125" i="3"/>
  <c r="AR125" i="3" s="1"/>
  <c r="AP125" i="3"/>
  <c r="AO125" i="3"/>
  <c r="AN125" i="3"/>
  <c r="Y125" i="3"/>
  <c r="X125" i="3"/>
  <c r="DW124" i="3"/>
  <c r="DV124" i="3"/>
  <c r="DU124" i="3"/>
  <c r="DT124" i="3"/>
  <c r="DS124" i="3"/>
  <c r="DR124" i="3"/>
  <c r="DQ124" i="3"/>
  <c r="DP124" i="3"/>
  <c r="DO124" i="3"/>
  <c r="DN124" i="3"/>
  <c r="DM124" i="3"/>
  <c r="DL124" i="3"/>
  <c r="DK124" i="3"/>
  <c r="DJ124" i="3"/>
  <c r="DI124" i="3"/>
  <c r="DF124" i="3"/>
  <c r="DE124" i="3"/>
  <c r="DD124" i="3"/>
  <c r="DC124" i="3"/>
  <c r="DB124" i="3"/>
  <c r="DA124" i="3"/>
  <c r="CO124" i="3"/>
  <c r="CN124" i="3"/>
  <c r="CL124" i="3"/>
  <c r="CM124" i="3" s="1"/>
  <c r="AE124" i="3" s="1"/>
  <c r="AH124" i="3" s="1"/>
  <c r="CK124" i="3"/>
  <c r="CJ124" i="3"/>
  <c r="CI124" i="3"/>
  <c r="CH124" i="3"/>
  <c r="BE124" i="3"/>
  <c r="AX124" i="3"/>
  <c r="AU124" i="3"/>
  <c r="AT124" i="3" s="1"/>
  <c r="AS124" i="3"/>
  <c r="AR124" i="3" s="1"/>
  <c r="AP124" i="3"/>
  <c r="AO124" i="3"/>
  <c r="AN124" i="3"/>
  <c r="Y124" i="3"/>
  <c r="X124" i="3"/>
  <c r="AI124" i="3" l="1"/>
  <c r="AI132" i="3"/>
  <c r="AI148" i="3"/>
  <c r="AI156" i="3"/>
  <c r="AI164" i="3"/>
  <c r="AI172" i="3"/>
  <c r="AI130" i="3"/>
  <c r="AI138" i="3"/>
  <c r="AI146" i="3"/>
  <c r="AI210" i="3"/>
  <c r="AI218" i="3"/>
  <c r="CQ470" i="3"/>
  <c r="AJ470" i="3"/>
  <c r="AG308" i="3"/>
  <c r="AG324" i="3"/>
  <c r="AK410" i="3"/>
  <c r="AL410" i="3"/>
  <c r="AK311" i="3"/>
  <c r="AL311" i="3" s="1"/>
  <c r="AG363" i="3"/>
  <c r="AG346" i="3"/>
  <c r="AG249" i="3"/>
  <c r="AK415" i="3"/>
  <c r="AL415" i="3" s="1"/>
  <c r="CQ520" i="3"/>
  <c r="AJ520" i="3"/>
  <c r="CQ506" i="3"/>
  <c r="AJ506" i="3"/>
  <c r="AG451" i="3"/>
  <c r="AG445" i="3"/>
  <c r="AK428" i="3"/>
  <c r="AL428" i="3" s="1"/>
  <c r="AK382" i="3"/>
  <c r="AL382" i="3"/>
  <c r="AK271" i="3"/>
  <c r="AL271" i="3" s="1"/>
  <c r="AG360" i="3"/>
  <c r="AK464" i="3"/>
  <c r="AL464" i="3"/>
  <c r="AK375" i="3"/>
  <c r="AL375" i="3" s="1"/>
  <c r="AG366" i="3"/>
  <c r="AK505" i="3"/>
  <c r="AL505" i="3" s="1"/>
  <c r="AG228" i="3"/>
  <c r="CQ393" i="3"/>
  <c r="AJ393" i="3"/>
  <c r="AG296" i="3"/>
  <c r="AI183" i="3"/>
  <c r="AI191" i="3"/>
  <c r="AI199" i="3"/>
  <c r="AI207" i="3"/>
  <c r="AI215" i="3"/>
  <c r="AI223" i="3"/>
  <c r="CQ304" i="3"/>
  <c r="AJ304" i="3"/>
  <c r="CQ298" i="3"/>
  <c r="AJ298" i="3"/>
  <c r="CQ271" i="3"/>
  <c r="AJ271" i="3"/>
  <c r="CQ508" i="3"/>
  <c r="AJ508" i="3"/>
  <c r="AK368" i="3"/>
  <c r="AL368" i="3"/>
  <c r="AG383" i="3"/>
  <c r="AG365" i="3"/>
  <c r="AG307" i="3"/>
  <c r="AG227" i="3"/>
  <c r="AG510" i="3"/>
  <c r="AK370" i="3"/>
  <c r="AL370" i="3" s="1"/>
  <c r="AK499" i="3"/>
  <c r="AL499" i="3" s="1"/>
  <c r="AG457" i="3"/>
  <c r="CQ519" i="3"/>
  <c r="AJ519" i="3"/>
  <c r="AK278" i="3"/>
  <c r="AL278" i="3" s="1"/>
  <c r="AG508" i="3"/>
  <c r="CQ425" i="3"/>
  <c r="AJ425" i="3"/>
  <c r="AG230" i="3"/>
  <c r="AG342" i="3"/>
  <c r="AK432" i="3"/>
  <c r="AL432" i="3"/>
  <c r="CQ360" i="3"/>
  <c r="AJ360" i="3"/>
  <c r="AK492" i="3"/>
  <c r="AL492" i="3" s="1"/>
  <c r="AG404" i="3"/>
  <c r="CQ453" i="3"/>
  <c r="AJ453" i="3"/>
  <c r="AK470" i="3"/>
  <c r="AL470" i="3"/>
  <c r="AG440" i="3"/>
  <c r="AG298" i="3"/>
  <c r="AK385" i="3"/>
  <c r="AL385" i="3" s="1"/>
  <c r="CQ269" i="3"/>
  <c r="AJ269" i="3"/>
  <c r="AG317" i="3"/>
  <c r="AG423" i="3"/>
  <c r="AK333" i="3"/>
  <c r="AL333" i="3" s="1"/>
  <c r="AK381" i="3"/>
  <c r="AL381" i="3" s="1"/>
  <c r="AG325" i="3"/>
  <c r="CQ249" i="3"/>
  <c r="AJ249" i="3"/>
  <c r="AG237" i="3"/>
  <c r="AG395" i="3"/>
  <c r="AG493" i="3"/>
  <c r="AG362" i="3"/>
  <c r="AK467" i="3"/>
  <c r="AL467" i="3" s="1"/>
  <c r="AG234" i="3"/>
  <c r="AK458" i="3"/>
  <c r="AL458" i="3"/>
  <c r="CQ498" i="3"/>
  <c r="AJ498" i="3"/>
  <c r="AG389" i="3"/>
  <c r="AG272" i="3"/>
  <c r="CQ494" i="3"/>
  <c r="AJ494" i="3"/>
  <c r="CQ473" i="3"/>
  <c r="AJ473" i="3"/>
  <c r="AG523" i="3"/>
  <c r="AK407" i="3"/>
  <c r="AL407" i="3" s="1"/>
  <c r="AK519" i="3"/>
  <c r="AL519" i="3" s="1"/>
  <c r="AG320" i="3"/>
  <c r="AK520" i="3"/>
  <c r="AL520" i="3"/>
  <c r="AG453" i="3"/>
  <c r="AG291" i="3"/>
  <c r="AV291" i="3" s="1"/>
  <c r="V291" i="3" s="1"/>
  <c r="AK471" i="3"/>
  <c r="AL471" i="3" s="1"/>
  <c r="CQ429" i="3"/>
  <c r="AJ429" i="3"/>
  <c r="AK460" i="3"/>
  <c r="AL460" i="3"/>
  <c r="AI177" i="3"/>
  <c r="AI185" i="3"/>
  <c r="CQ379" i="3"/>
  <c r="AJ379" i="3"/>
  <c r="CQ224" i="3"/>
  <c r="AJ224" i="3"/>
  <c r="CQ496" i="3"/>
  <c r="AJ496" i="3"/>
  <c r="AK323" i="3"/>
  <c r="AL323" i="3" s="1"/>
  <c r="AK224" i="3"/>
  <c r="AL224" i="3" s="1"/>
  <c r="AG350" i="3"/>
  <c r="AG305" i="3"/>
  <c r="AK372" i="3"/>
  <c r="AL372" i="3"/>
  <c r="AG316" i="3"/>
  <c r="AG236" i="3"/>
  <c r="AG482" i="3"/>
  <c r="AG332" i="3"/>
  <c r="AK463" i="3"/>
  <c r="AL463" i="3" s="1"/>
  <c r="AG241" i="3"/>
  <c r="AG231" i="3"/>
  <c r="AK497" i="3"/>
  <c r="AL497" i="3" s="1"/>
  <c r="AG449" i="3"/>
  <c r="AK473" i="3"/>
  <c r="AL473" i="3"/>
  <c r="AK378" i="3"/>
  <c r="AL378" i="3" s="1"/>
  <c r="AK391" i="3"/>
  <c r="AL391" i="3"/>
  <c r="AG303" i="3"/>
  <c r="AG462" i="3"/>
  <c r="CQ436" i="3"/>
  <c r="AJ436" i="3"/>
  <c r="AG517" i="3"/>
  <c r="AG233" i="3"/>
  <c r="AK489" i="3"/>
  <c r="AL489" i="3" s="1"/>
  <c r="AG429" i="3"/>
  <c r="CQ444" i="3"/>
  <c r="AJ444" i="3"/>
  <c r="AK274" i="3"/>
  <c r="AL274" i="3" s="1"/>
  <c r="AI214" i="3"/>
  <c r="CQ387" i="3"/>
  <c r="AJ387" i="3"/>
  <c r="CQ504" i="3"/>
  <c r="AJ504" i="3"/>
  <c r="AK328" i="3"/>
  <c r="AL328" i="3" s="1"/>
  <c r="AG264" i="3"/>
  <c r="AG273" i="3"/>
  <c r="AG373" i="3"/>
  <c r="AL373" i="3"/>
  <c r="AK287" i="3"/>
  <c r="AL287" i="3" s="1"/>
  <c r="AG441" i="3"/>
  <c r="CQ482" i="3"/>
  <c r="AJ482" i="3"/>
  <c r="AK424" i="3"/>
  <c r="AL424" i="3"/>
  <c r="AK295" i="3"/>
  <c r="AL295" i="3" s="1"/>
  <c r="AG448" i="3"/>
  <c r="AG226" i="3"/>
  <c r="AG498" i="3"/>
  <c r="AG229" i="3"/>
  <c r="AG468" i="3"/>
  <c r="AK485" i="3"/>
  <c r="AL485" i="3"/>
  <c r="AG387" i="3"/>
  <c r="CQ420" i="3"/>
  <c r="AJ420" i="3"/>
  <c r="AK393" i="3"/>
  <c r="AL393" i="3" s="1"/>
  <c r="AK496" i="3"/>
  <c r="AL496" i="3"/>
  <c r="CQ517" i="3"/>
  <c r="AJ517" i="3"/>
  <c r="AG301" i="3"/>
  <c r="CQ510" i="3"/>
  <c r="AJ510" i="3"/>
  <c r="AG494" i="3"/>
  <c r="AG238" i="3"/>
  <c r="AK416" i="3"/>
  <c r="AL416" i="3"/>
  <c r="AI131" i="3"/>
  <c r="AI139" i="3"/>
  <c r="AI147" i="3"/>
  <c r="CQ480" i="3"/>
  <c r="AJ480" i="3"/>
  <c r="AK315" i="3"/>
  <c r="AL315" i="3" s="1"/>
  <c r="AG369" i="3"/>
  <c r="AK312" i="3"/>
  <c r="AL312" i="3" s="1"/>
  <c r="AG329" i="3"/>
  <c r="AK335" i="3"/>
  <c r="AL335" i="3"/>
  <c r="AG235" i="3"/>
  <c r="AG283" i="3"/>
  <c r="CQ416" i="3"/>
  <c r="AJ416" i="3"/>
  <c r="CQ449" i="3"/>
  <c r="AJ449" i="3"/>
  <c r="AG412" i="3"/>
  <c r="AK481" i="3"/>
  <c r="AL481" i="3" s="1"/>
  <c r="AG276" i="3"/>
  <c r="AG425" i="3"/>
  <c r="AG284" i="3"/>
  <c r="AK269" i="3"/>
  <c r="AL269" i="3"/>
  <c r="AK403" i="3"/>
  <c r="AL403" i="3" s="1"/>
  <c r="AG444" i="3"/>
  <c r="AK502" i="3"/>
  <c r="AL502" i="3" s="1"/>
  <c r="AK334" i="3"/>
  <c r="AL334" i="3"/>
  <c r="CQ489" i="3"/>
  <c r="AJ489" i="3"/>
  <c r="AG486" i="3"/>
  <c r="AL486" i="3"/>
  <c r="AG239" i="3"/>
  <c r="AG488" i="3"/>
  <c r="AK490" i="3"/>
  <c r="AL490" i="3"/>
  <c r="AK313" i="3"/>
  <c r="AL313" i="3" s="1"/>
  <c r="AG297" i="3"/>
  <c r="AG225" i="3"/>
  <c r="AK359" i="3"/>
  <c r="AL359" i="3"/>
  <c r="AK500" i="3"/>
  <c r="AL500" i="3" s="1"/>
  <c r="AG480" i="3"/>
  <c r="AG240" i="3"/>
  <c r="AK436" i="3"/>
  <c r="AL436" i="3" s="1"/>
  <c r="AI216" i="3"/>
  <c r="CQ382" i="3"/>
  <c r="AJ382" i="3"/>
  <c r="CQ247" i="3"/>
  <c r="AJ247" i="3"/>
  <c r="CQ462" i="3"/>
  <c r="AJ462" i="3"/>
  <c r="AK309" i="3"/>
  <c r="AL309" i="3"/>
  <c r="AK394" i="3"/>
  <c r="AL394" i="3" s="1"/>
  <c r="AG247" i="3"/>
  <c r="AK352" i="3"/>
  <c r="AL352" i="3" s="1"/>
  <c r="AG419" i="3"/>
  <c r="CQ234" i="3"/>
  <c r="AJ234" i="3"/>
  <c r="AG268" i="3"/>
  <c r="AL268" i="3"/>
  <c r="AK377" i="3"/>
  <c r="AL377" i="3" s="1"/>
  <c r="AG433" i="3"/>
  <c r="AK408" i="3"/>
  <c r="AL408" i="3" s="1"/>
  <c r="AG504" i="3"/>
  <c r="CQ445" i="3"/>
  <c r="AJ445" i="3"/>
  <c r="AG304" i="3"/>
  <c r="AG420" i="3"/>
  <c r="AL420" i="3"/>
  <c r="AK454" i="3"/>
  <c r="AL454" i="3" s="1"/>
  <c r="CQ428" i="3"/>
  <c r="AJ428" i="3"/>
  <c r="AG379" i="3"/>
  <c r="AK245" i="3"/>
  <c r="AL245" i="3" s="1"/>
  <c r="AG506" i="3"/>
  <c r="AK511" i="3"/>
  <c r="AL511" i="3" s="1"/>
  <c r="AK366" i="3"/>
  <c r="AL366" i="3" s="1"/>
  <c r="AK389" i="3"/>
  <c r="AL389" i="3" s="1"/>
  <c r="AK303" i="3"/>
  <c r="AL303" i="3" s="1"/>
  <c r="AG378" i="3"/>
  <c r="AG473" i="3"/>
  <c r="AG497" i="3"/>
  <c r="AK449" i="3"/>
  <c r="AL449" i="3" s="1"/>
  <c r="AK272" i="3"/>
  <c r="AL272" i="3" s="1"/>
  <c r="AK320" i="3"/>
  <c r="AL320" i="3" s="1"/>
  <c r="AK493" i="3"/>
  <c r="AL493" i="3" s="1"/>
  <c r="AK298" i="3"/>
  <c r="AL298" i="3" s="1"/>
  <c r="AK379" i="3"/>
  <c r="AL379" i="3" s="1"/>
  <c r="AK506" i="3"/>
  <c r="AL506" i="3" s="1"/>
  <c r="AG511" i="3"/>
  <c r="AK329" i="3"/>
  <c r="AL329" i="3" s="1"/>
  <c r="AK448" i="3"/>
  <c r="AL448" i="3" s="1"/>
  <c r="AG295" i="3"/>
  <c r="AK317" i="3"/>
  <c r="AL317" i="3" s="1"/>
  <c r="AK412" i="3"/>
  <c r="AL412" i="3" s="1"/>
  <c r="AK226" i="3"/>
  <c r="AL226" i="3" s="1"/>
  <c r="AK508" i="3"/>
  <c r="AL508" i="3" s="1"/>
  <c r="AG492" i="3"/>
  <c r="AG499" i="3"/>
  <c r="AG269" i="3"/>
  <c r="AG403" i="3"/>
  <c r="AK523" i="3"/>
  <c r="AL523" i="3" s="1"/>
  <c r="AG490" i="3"/>
  <c r="AK230" i="3"/>
  <c r="AL230" i="3" s="1"/>
  <c r="AK404" i="3"/>
  <c r="AL404" i="3" s="1"/>
  <c r="AG334" i="3"/>
  <c r="AK233" i="3"/>
  <c r="AL233" i="3" s="1"/>
  <c r="AK238" i="3"/>
  <c r="AL238" i="3" s="1"/>
  <c r="AK480" i="3"/>
  <c r="AL480" i="3" s="1"/>
  <c r="AG436" i="3"/>
  <c r="AG368" i="3"/>
  <c r="AG359" i="3"/>
  <c r="AV359" i="3" s="1"/>
  <c r="V359" i="3" s="1"/>
  <c r="AY359" i="3" s="1"/>
  <c r="AK304" i="3"/>
  <c r="AL304" i="3" s="1"/>
  <c r="CQ238" i="3"/>
  <c r="AK488" i="3"/>
  <c r="AL488" i="3" s="1"/>
  <c r="AK486" i="3"/>
  <c r="AK504" i="3"/>
  <c r="AL504" i="3" s="1"/>
  <c r="AG393" i="3"/>
  <c r="CQ273" i="3"/>
  <c r="AK307" i="3"/>
  <c r="AL307" i="3" s="1"/>
  <c r="AK229" i="3"/>
  <c r="AL229" i="3" s="1"/>
  <c r="AK308" i="3"/>
  <c r="AL308" i="3" s="1"/>
  <c r="AG309" i="3"/>
  <c r="AY445" i="3"/>
  <c r="AY429" i="3"/>
  <c r="AK283" i="3"/>
  <c r="AL283" i="3" s="1"/>
  <c r="AY291" i="3"/>
  <c r="AG375" i="3"/>
  <c r="AK305" i="3"/>
  <c r="AL305" i="3" s="1"/>
  <c r="DY523" i="3"/>
  <c r="BB523" i="3" s="1"/>
  <c r="BA523" i="3" s="1"/>
  <c r="AZ523" i="3" s="1"/>
  <c r="AG416" i="3"/>
  <c r="CQ497" i="3"/>
  <c r="CQ284" i="3"/>
  <c r="AG274" i="3"/>
  <c r="AG335" i="3"/>
  <c r="AK239" i="3"/>
  <c r="AL239" i="3" s="1"/>
  <c r="AG271" i="3"/>
  <c r="AG496" i="3"/>
  <c r="AG407" i="3"/>
  <c r="CQ389" i="3"/>
  <c r="AK363" i="3"/>
  <c r="AL363" i="3" s="1"/>
  <c r="AG391" i="3"/>
  <c r="CQ239" i="3"/>
  <c r="AK296" i="3"/>
  <c r="AL296" i="3" s="1"/>
  <c r="AK273" i="3"/>
  <c r="AL273" i="3" s="1"/>
  <c r="AK517" i="3"/>
  <c r="AL517" i="3" s="1"/>
  <c r="AG500" i="3"/>
  <c r="AG489" i="3"/>
  <c r="AG370" i="3"/>
  <c r="AK387" i="3"/>
  <c r="AL387" i="3" s="1"/>
  <c r="AK444" i="3"/>
  <c r="AL444" i="3" s="1"/>
  <c r="AG432" i="3"/>
  <c r="AG485" i="3"/>
  <c r="AK510" i="3"/>
  <c r="AL510" i="3" s="1"/>
  <c r="AG377" i="3"/>
  <c r="AG502" i="3"/>
  <c r="CQ502" i="3" s="1"/>
  <c r="CQ485" i="3"/>
  <c r="AK462" i="3"/>
  <c r="AL462" i="3" s="1"/>
  <c r="AG313" i="3"/>
  <c r="CQ486" i="3"/>
  <c r="AK342" i="3"/>
  <c r="AL342" i="3" s="1"/>
  <c r="AK231" i="3"/>
  <c r="AL231" i="3" s="1"/>
  <c r="AG505" i="3"/>
  <c r="AK482" i="3"/>
  <c r="AL482" i="3" s="1"/>
  <c r="AG463" i="3"/>
  <c r="AG428" i="3"/>
  <c r="AV428" i="3" s="1"/>
  <c r="V428" i="3" s="1"/>
  <c r="AK440" i="3"/>
  <c r="AL440" i="3" s="1"/>
  <c r="AG520" i="3"/>
  <c r="AG382" i="3"/>
  <c r="AK240" i="3"/>
  <c r="AL240" i="3" s="1"/>
  <c r="AK453" i="3"/>
  <c r="AL453" i="3" s="1"/>
  <c r="AG470" i="3"/>
  <c r="AK362" i="3"/>
  <c r="AL362" i="3" s="1"/>
  <c r="AK324" i="3"/>
  <c r="AL324" i="3" s="1"/>
  <c r="CQ490" i="3"/>
  <c r="AK395" i="3"/>
  <c r="AL395" i="3" s="1"/>
  <c r="AK234" i="3"/>
  <c r="AL234" i="3" s="1"/>
  <c r="AG333" i="3"/>
  <c r="AG287" i="3"/>
  <c r="AK284" i="3"/>
  <c r="AL284" i="3" s="1"/>
  <c r="AK373" i="3"/>
  <c r="AK468" i="3"/>
  <c r="AL468" i="3" s="1"/>
  <c r="CQ468" i="3"/>
  <c r="AG458" i="3"/>
  <c r="AG464" i="3"/>
  <c r="AG410" i="3"/>
  <c r="CQ240" i="3"/>
  <c r="AG312" i="3"/>
  <c r="AG224" i="3"/>
  <c r="AK264" i="3"/>
  <c r="AL264" i="3" s="1"/>
  <c r="AK494" i="3"/>
  <c r="AL494" i="3" s="1"/>
  <c r="CQ229" i="3"/>
  <c r="AG519" i="3"/>
  <c r="AG460" i="3"/>
  <c r="AK360" i="3"/>
  <c r="AL360" i="3" s="1"/>
  <c r="AK346" i="3"/>
  <c r="AL346" i="3" s="1"/>
  <c r="CQ362" i="3"/>
  <c r="AG245" i="3"/>
  <c r="AK249" i="3"/>
  <c r="AL249" i="3" s="1"/>
  <c r="AG481" i="3"/>
  <c r="AK316" i="3"/>
  <c r="AL316" i="3" s="1"/>
  <c r="AK276" i="3"/>
  <c r="AL276" i="3" s="1"/>
  <c r="AK225" i="3"/>
  <c r="AL225" i="3" s="1"/>
  <c r="AK425" i="3"/>
  <c r="AL425" i="3" s="1"/>
  <c r="AK369" i="3"/>
  <c r="AL369" i="3" s="1"/>
  <c r="AK350" i="3"/>
  <c r="AL350" i="3" s="1"/>
  <c r="AK429" i="3"/>
  <c r="AL429" i="3" s="1"/>
  <c r="AK419" i="3"/>
  <c r="AL419" i="3" s="1"/>
  <c r="AG394" i="3"/>
  <c r="AV394" i="3" s="1"/>
  <c r="V394" i="3" s="1"/>
  <c r="CQ366" i="3"/>
  <c r="AK365" i="3"/>
  <c r="AL365" i="3" s="1"/>
  <c r="AK297" i="3"/>
  <c r="AL297" i="3" s="1"/>
  <c r="AK228" i="3"/>
  <c r="AL228" i="3" s="1"/>
  <c r="AK420" i="3"/>
  <c r="AG381" i="3"/>
  <c r="AK247" i="3"/>
  <c r="AL247" i="3" s="1"/>
  <c r="AK332" i="3"/>
  <c r="AL332" i="3" s="1"/>
  <c r="AK451" i="3"/>
  <c r="AL451" i="3" s="1"/>
  <c r="AK291" i="3"/>
  <c r="AL291" i="3" s="1"/>
  <c r="AK433" i="3"/>
  <c r="AL433" i="3" s="1"/>
  <c r="AG454" i="3"/>
  <c r="AK301" i="3"/>
  <c r="AL301" i="3" s="1"/>
  <c r="AK445" i="3"/>
  <c r="AL445" i="3" s="1"/>
  <c r="AK498" i="3"/>
  <c r="AL498" i="3" s="1"/>
  <c r="AV490" i="3"/>
  <c r="V490" i="3" s="1"/>
  <c r="AG415" i="3"/>
  <c r="CQ369" i="3"/>
  <c r="CQ316" i="3"/>
  <c r="AK237" i="3"/>
  <c r="AL237" i="3" s="1"/>
  <c r="CQ225" i="3"/>
  <c r="CQ233" i="3"/>
  <c r="AV486" i="3"/>
  <c r="V486" i="3" s="1"/>
  <c r="AK235" i="3"/>
  <c r="AL235" i="3" s="1"/>
  <c r="CQ241" i="3"/>
  <c r="CQ230" i="3"/>
  <c r="CQ226" i="3"/>
  <c r="CQ412" i="3"/>
  <c r="CQ324" i="3"/>
  <c r="AG352" i="3"/>
  <c r="CQ308" i="3"/>
  <c r="CQ237" i="3"/>
  <c r="CQ464" i="3"/>
  <c r="CQ404" i="3"/>
  <c r="CQ454" i="3"/>
  <c r="CQ423" i="3"/>
  <c r="CQ373" i="3"/>
  <c r="AV366" i="3"/>
  <c r="V366" i="3" s="1"/>
  <c r="AK227" i="3"/>
  <c r="AL227" i="3" s="1"/>
  <c r="CQ458" i="3"/>
  <c r="CQ383" i="3"/>
  <c r="CQ303" i="3"/>
  <c r="AG315" i="3"/>
  <c r="CQ315" i="3" s="1"/>
  <c r="AK241" i="3"/>
  <c r="AL241" i="3" s="1"/>
  <c r="AV517" i="3"/>
  <c r="V517" i="3" s="1"/>
  <c r="AG278" i="3"/>
  <c r="CQ278" i="3" s="1"/>
  <c r="AG408" i="3"/>
  <c r="CQ368" i="3"/>
  <c r="CQ333" i="3"/>
  <c r="CQ305" i="3"/>
  <c r="AV249" i="3"/>
  <c r="V249" i="3" s="1"/>
  <c r="CQ488" i="3"/>
  <c r="CQ451" i="3"/>
  <c r="AK441" i="3"/>
  <c r="AL441" i="3" s="1"/>
  <c r="CQ441" i="3"/>
  <c r="CQ390" i="3"/>
  <c r="CQ332" i="3"/>
  <c r="CQ309" i="3"/>
  <c r="AK236" i="3"/>
  <c r="AL236" i="3" s="1"/>
  <c r="CQ363" i="3"/>
  <c r="CQ356" i="3"/>
  <c r="CQ499" i="3"/>
  <c r="AK477" i="3"/>
  <c r="AL477" i="3" s="1"/>
  <c r="AG477" i="3"/>
  <c r="CQ477" i="3" s="1"/>
  <c r="CQ345" i="3"/>
  <c r="AK325" i="3"/>
  <c r="AL325" i="3" s="1"/>
  <c r="AG328" i="3"/>
  <c r="AG323" i="3"/>
  <c r="AG311" i="3"/>
  <c r="CQ311" i="3" s="1"/>
  <c r="CQ511" i="3"/>
  <c r="CQ493" i="3"/>
  <c r="AG467" i="3"/>
  <c r="CQ457" i="3"/>
  <c r="CQ463" i="3"/>
  <c r="AK514" i="3"/>
  <c r="AL514" i="3" s="1"/>
  <c r="AG514" i="3"/>
  <c r="CQ514" i="3" s="1"/>
  <c r="CQ435" i="3"/>
  <c r="CQ523" i="3"/>
  <c r="CQ467" i="3"/>
  <c r="AG471" i="3"/>
  <c r="CQ471" i="3" s="1"/>
  <c r="AK457" i="3"/>
  <c r="AL457" i="3" s="1"/>
  <c r="CQ359" i="3"/>
  <c r="CQ500" i="3"/>
  <c r="CQ419" i="3"/>
  <c r="CQ433" i="3"/>
  <c r="CQ432" i="3"/>
  <c r="AK450" i="3"/>
  <c r="AL450" i="3" s="1"/>
  <c r="AG450" i="3"/>
  <c r="CQ450" i="3" s="1"/>
  <c r="AG437" i="3"/>
  <c r="AK437" i="3"/>
  <c r="AL437" i="3" s="1"/>
  <c r="AD213" i="3"/>
  <c r="AG385" i="3"/>
  <c r="CQ323" i="3"/>
  <c r="CQ312" i="3"/>
  <c r="CQ291" i="3"/>
  <c r="CQ295" i="3"/>
  <c r="CQ236" i="3"/>
  <c r="CQ492" i="3"/>
  <c r="CQ460" i="3"/>
  <c r="AG424" i="3"/>
  <c r="CQ424" i="3" s="1"/>
  <c r="CQ381" i="3"/>
  <c r="CQ403" i="3"/>
  <c r="CQ394" i="3"/>
  <c r="CQ391" i="3"/>
  <c r="CQ378" i="3"/>
  <c r="CQ264" i="3"/>
  <c r="CQ245" i="3"/>
  <c r="CQ231" i="3"/>
  <c r="CQ481" i="3"/>
  <c r="CQ296" i="3"/>
  <c r="AH137" i="3"/>
  <c r="AI137" i="3" s="1"/>
  <c r="AH145" i="3"/>
  <c r="AI145" i="3" s="1"/>
  <c r="AH155" i="3"/>
  <c r="AI155" i="3" s="1"/>
  <c r="AH163" i="3"/>
  <c r="AI163" i="3" s="1"/>
  <c r="AH171" i="3"/>
  <c r="AI171" i="3" s="1"/>
  <c r="AH180" i="3"/>
  <c r="AI180" i="3" s="1"/>
  <c r="AH189" i="3"/>
  <c r="AI189" i="3" s="1"/>
  <c r="AH197" i="3"/>
  <c r="AI197" i="3" s="1"/>
  <c r="AH205" i="3"/>
  <c r="AI205" i="3" s="1"/>
  <c r="AH213" i="3"/>
  <c r="AI213" i="3" s="1"/>
  <c r="AH222" i="3"/>
  <c r="AI222" i="3" s="1"/>
  <c r="AH136" i="3"/>
  <c r="AI136" i="3" s="1"/>
  <c r="AH144" i="3"/>
  <c r="AI144" i="3" s="1"/>
  <c r="AH154" i="3"/>
  <c r="AI154" i="3" s="1"/>
  <c r="AH162" i="3"/>
  <c r="AI162" i="3" s="1"/>
  <c r="AH170" i="3"/>
  <c r="AI170" i="3" s="1"/>
  <c r="AH179" i="3"/>
  <c r="AI179" i="3" s="1"/>
  <c r="AH187" i="3"/>
  <c r="AI187" i="3" s="1"/>
  <c r="AH188" i="3"/>
  <c r="AI188" i="3" s="1"/>
  <c r="AH196" i="3"/>
  <c r="AI196" i="3" s="1"/>
  <c r="AH204" i="3"/>
  <c r="AI204" i="3" s="1"/>
  <c r="AH212" i="3"/>
  <c r="AI212" i="3" s="1"/>
  <c r="AH221" i="3"/>
  <c r="AI221" i="3" s="1"/>
  <c r="AV423" i="3"/>
  <c r="V423" i="3" s="1"/>
  <c r="AH129" i="3"/>
  <c r="AI129" i="3" s="1"/>
  <c r="AH127" i="3"/>
  <c r="AI127" i="3" s="1"/>
  <c r="AH135" i="3"/>
  <c r="AI135" i="3" s="1"/>
  <c r="AH143" i="3"/>
  <c r="AI143" i="3" s="1"/>
  <c r="AH151" i="3"/>
  <c r="AI151" i="3" s="1"/>
  <c r="AH152" i="3"/>
  <c r="AI152" i="3" s="1"/>
  <c r="AH153" i="3"/>
  <c r="AI153" i="3" s="1"/>
  <c r="AH161" i="3"/>
  <c r="AI161" i="3" s="1"/>
  <c r="AH169" i="3"/>
  <c r="AI169" i="3" s="1"/>
  <c r="AH178" i="3"/>
  <c r="AI178" i="3" s="1"/>
  <c r="AH186" i="3"/>
  <c r="AI186" i="3" s="1"/>
  <c r="AH195" i="3"/>
  <c r="AI195" i="3" s="1"/>
  <c r="AH203" i="3"/>
  <c r="AI203" i="3" s="1"/>
  <c r="AH211" i="3"/>
  <c r="AI211" i="3" s="1"/>
  <c r="AH219" i="3"/>
  <c r="AI219" i="3" s="1"/>
  <c r="AH220" i="3"/>
  <c r="AI220" i="3" s="1"/>
  <c r="AV419" i="3"/>
  <c r="V419" i="3" s="1"/>
  <c r="AH128" i="3"/>
  <c r="AI128" i="3" s="1"/>
  <c r="CQ283" i="3"/>
  <c r="AV283" i="3"/>
  <c r="V283" i="3" s="1"/>
  <c r="CQ228" i="3"/>
  <c r="AV228" i="3"/>
  <c r="V228" i="3" s="1"/>
  <c r="AH125" i="3"/>
  <c r="AI125" i="3" s="1"/>
  <c r="AH133" i="3"/>
  <c r="AI133" i="3" s="1"/>
  <c r="AH141" i="3"/>
  <c r="AI141" i="3" s="1"/>
  <c r="AH149" i="3"/>
  <c r="AI149" i="3" s="1"/>
  <c r="AH159" i="3"/>
  <c r="AI159" i="3" s="1"/>
  <c r="AH167" i="3"/>
  <c r="AI167" i="3" s="1"/>
  <c r="AH175" i="3"/>
  <c r="AI175" i="3" s="1"/>
  <c r="AH184" i="3"/>
  <c r="AI184" i="3" s="1"/>
  <c r="AH193" i="3"/>
  <c r="AI193" i="3" s="1"/>
  <c r="AH209" i="3"/>
  <c r="AI209" i="3" s="1"/>
  <c r="AH217" i="3"/>
  <c r="AI217" i="3" s="1"/>
  <c r="CQ342" i="3"/>
  <c r="AH140" i="3"/>
  <c r="AI140" i="3" s="1"/>
  <c r="AH192" i="3"/>
  <c r="AI192" i="3" s="1"/>
  <c r="AH200" i="3"/>
  <c r="AI200" i="3" s="1"/>
  <c r="CQ335" i="3"/>
  <c r="AV335" i="3"/>
  <c r="V335" i="3" s="1"/>
  <c r="AV332" i="3"/>
  <c r="V332" i="3" s="1"/>
  <c r="AV225" i="3"/>
  <c r="V225" i="3" s="1"/>
  <c r="CQ268" i="3"/>
  <c r="AV268" i="3"/>
  <c r="V268" i="3" s="1"/>
  <c r="AV519" i="3"/>
  <c r="V519" i="3" s="1"/>
  <c r="CQ440" i="3"/>
  <c r="AV440" i="3"/>
  <c r="V440" i="3" s="1"/>
  <c r="AV451" i="3"/>
  <c r="V451" i="3" s="1"/>
  <c r="CQ320" i="3"/>
  <c r="CQ307" i="3"/>
  <c r="AV460" i="3"/>
  <c r="V460" i="3" s="1"/>
  <c r="AV273" i="3"/>
  <c r="V273" i="3" s="1"/>
  <c r="CQ328" i="3"/>
  <c r="AV328" i="3"/>
  <c r="V328" i="3" s="1"/>
  <c r="CQ313" i="3"/>
  <c r="AV264" i="3"/>
  <c r="V264" i="3" s="1"/>
  <c r="CQ448" i="3"/>
  <c r="AV448" i="3"/>
  <c r="V448" i="3" s="1"/>
  <c r="AV271" i="3"/>
  <c r="V271" i="3" s="1"/>
  <c r="AV515" i="3"/>
  <c r="V515" i="3" s="1"/>
  <c r="AV457" i="3"/>
  <c r="V457" i="3" s="1"/>
  <c r="CQ352" i="3"/>
  <c r="AV269" i="3"/>
  <c r="V269" i="3" s="1"/>
  <c r="AV523" i="3"/>
  <c r="V523" i="3" s="1"/>
  <c r="AV494" i="3"/>
  <c r="V494" i="3" s="1"/>
  <c r="AV362" i="3"/>
  <c r="V362" i="3" s="1"/>
  <c r="AV482" i="3"/>
  <c r="V482" i="3" s="1"/>
  <c r="AV224" i="3"/>
  <c r="V224" i="3" s="1"/>
  <c r="AV512" i="3"/>
  <c r="V512" i="3" s="1"/>
  <c r="CQ370" i="3"/>
  <c r="AV520" i="3"/>
  <c r="V520" i="3" s="1"/>
  <c r="AV497" i="3"/>
  <c r="V497" i="3" s="1"/>
  <c r="AV226" i="3"/>
  <c r="V226" i="3" s="1"/>
  <c r="AV441" i="3"/>
  <c r="V441" i="3" s="1"/>
  <c r="AV464" i="3"/>
  <c r="V464" i="3" s="1"/>
  <c r="CQ375" i="3"/>
  <c r="CQ317" i="3"/>
  <c r="CQ365" i="3"/>
  <c r="CQ276" i="3"/>
  <c r="CQ297" i="3"/>
  <c r="CQ346" i="3"/>
  <c r="CQ272" i="3"/>
  <c r="CQ395" i="3"/>
  <c r="CQ334" i="3"/>
  <c r="AV403" i="3"/>
  <c r="V403" i="3" s="1"/>
  <c r="CQ350" i="3"/>
  <c r="CQ410" i="3"/>
  <c r="CQ415" i="3"/>
  <c r="CQ274" i="3"/>
  <c r="CQ235" i="3"/>
  <c r="CQ377" i="3"/>
  <c r="CQ301" i="3"/>
  <c r="AV468" i="3"/>
  <c r="V468" i="3" s="1"/>
  <c r="AV425" i="3"/>
  <c r="V425" i="3" s="1"/>
  <c r="AV436" i="3"/>
  <c r="V436" i="3" s="1"/>
  <c r="AV508" i="3"/>
  <c r="V508" i="3" s="1"/>
  <c r="AQ154" i="3"/>
  <c r="DY154" i="3" s="1"/>
  <c r="BB154" i="3" s="1"/>
  <c r="BA154" i="3" s="1"/>
  <c r="AZ154" i="3" s="1"/>
  <c r="AV511" i="3"/>
  <c r="V511" i="3" s="1"/>
  <c r="AV506" i="3"/>
  <c r="V506" i="3" s="1"/>
  <c r="AQ144" i="3"/>
  <c r="DY144" i="3" s="1"/>
  <c r="BB144" i="3" s="1"/>
  <c r="BA144" i="3" s="1"/>
  <c r="AZ144" i="3" s="1"/>
  <c r="AQ170" i="3"/>
  <c r="DY170" i="3" s="1"/>
  <c r="BB170" i="3" s="1"/>
  <c r="BA170" i="3" s="1"/>
  <c r="AZ170" i="3" s="1"/>
  <c r="AV383" i="3"/>
  <c r="V383" i="3" s="1"/>
  <c r="AV454" i="3"/>
  <c r="V454" i="3" s="1"/>
  <c r="AQ188" i="3"/>
  <c r="DY188" i="3" s="1"/>
  <c r="BB188" i="3" s="1"/>
  <c r="BA188" i="3" s="1"/>
  <c r="AZ188" i="3" s="1"/>
  <c r="AQ135" i="3"/>
  <c r="DY135" i="3" s="1"/>
  <c r="BB135" i="3" s="1"/>
  <c r="BA135" i="3" s="1"/>
  <c r="AZ135" i="3" s="1"/>
  <c r="AQ152" i="3"/>
  <c r="DY152" i="3" s="1"/>
  <c r="BB152" i="3" s="1"/>
  <c r="BA152" i="3" s="1"/>
  <c r="AZ152" i="3" s="1"/>
  <c r="AQ220" i="3"/>
  <c r="DY220" i="3" s="1"/>
  <c r="BB220" i="3" s="1"/>
  <c r="BA220" i="3" s="1"/>
  <c r="AZ220" i="3" s="1"/>
  <c r="AQ126" i="3"/>
  <c r="DY126" i="3" s="1"/>
  <c r="BB126" i="3" s="1"/>
  <c r="BA126" i="3" s="1"/>
  <c r="AZ126" i="3" s="1"/>
  <c r="AQ134" i="3"/>
  <c r="DY134" i="3" s="1"/>
  <c r="BB134" i="3" s="1"/>
  <c r="BA134" i="3" s="1"/>
  <c r="AZ134" i="3" s="1"/>
  <c r="AQ142" i="3"/>
  <c r="DY142" i="3" s="1"/>
  <c r="BB142" i="3" s="1"/>
  <c r="BA142" i="3" s="1"/>
  <c r="AZ142" i="3" s="1"/>
  <c r="AQ150" i="3"/>
  <c r="DY150" i="3" s="1"/>
  <c r="BB150" i="3" s="1"/>
  <c r="BA150" i="3" s="1"/>
  <c r="AZ150" i="3" s="1"/>
  <c r="AM161" i="3"/>
  <c r="AQ160" i="3"/>
  <c r="DY160" i="3" s="1"/>
  <c r="BB160" i="3" s="1"/>
  <c r="BA160" i="3" s="1"/>
  <c r="AZ160" i="3" s="1"/>
  <c r="BM169" i="3"/>
  <c r="AQ168" i="3"/>
  <c r="DY168" i="3" s="1"/>
  <c r="BB168" i="3" s="1"/>
  <c r="BA168" i="3" s="1"/>
  <c r="AZ168" i="3" s="1"/>
  <c r="AQ177" i="3"/>
  <c r="DY177" i="3" s="1"/>
  <c r="BB177" i="3" s="1"/>
  <c r="BA177" i="3" s="1"/>
  <c r="AZ177" i="3" s="1"/>
  <c r="BM186" i="3"/>
  <c r="AQ185" i="3"/>
  <c r="DY185" i="3" s="1"/>
  <c r="BB185" i="3" s="1"/>
  <c r="BA185" i="3" s="1"/>
  <c r="AZ185" i="3" s="1"/>
  <c r="BM195" i="3"/>
  <c r="AQ194" i="3"/>
  <c r="DY194" i="3" s="1"/>
  <c r="BB194" i="3" s="1"/>
  <c r="BA194" i="3" s="1"/>
  <c r="AZ194" i="3" s="1"/>
  <c r="AQ202" i="3"/>
  <c r="DY202" i="3" s="1"/>
  <c r="BB202" i="3" s="1"/>
  <c r="BA202" i="3" s="1"/>
  <c r="AZ202" i="3" s="1"/>
  <c r="AQ210" i="3"/>
  <c r="DY210" i="3" s="1"/>
  <c r="BB210" i="3" s="1"/>
  <c r="BA210" i="3" s="1"/>
  <c r="AZ210" i="3" s="1"/>
  <c r="AQ218" i="3"/>
  <c r="DY218" i="3" s="1"/>
  <c r="BB218" i="3" s="1"/>
  <c r="BA218" i="3" s="1"/>
  <c r="AZ218" i="3" s="1"/>
  <c r="AM129" i="3"/>
  <c r="AQ128" i="3"/>
  <c r="DY128" i="3" s="1"/>
  <c r="BB128" i="3" s="1"/>
  <c r="BA128" i="3" s="1"/>
  <c r="AZ128" i="3" s="1"/>
  <c r="AQ136" i="3"/>
  <c r="DY136" i="3" s="1"/>
  <c r="BB136" i="3" s="1"/>
  <c r="BA136" i="3" s="1"/>
  <c r="AZ136" i="3" s="1"/>
  <c r="BM163" i="3"/>
  <c r="AQ162" i="3"/>
  <c r="DY162" i="3" s="1"/>
  <c r="BB162" i="3" s="1"/>
  <c r="BA162" i="3" s="1"/>
  <c r="AZ162" i="3" s="1"/>
  <c r="AQ179" i="3"/>
  <c r="DY179" i="3" s="1"/>
  <c r="BB179" i="3" s="1"/>
  <c r="BA179" i="3" s="1"/>
  <c r="AZ179" i="3" s="1"/>
  <c r="AQ221" i="3"/>
  <c r="DY221" i="3" s="1"/>
  <c r="BB221" i="3" s="1"/>
  <c r="BA221" i="3" s="1"/>
  <c r="AZ221" i="3" s="1"/>
  <c r="AQ127" i="3"/>
  <c r="DY127" i="3" s="1"/>
  <c r="BB127" i="3" s="1"/>
  <c r="BA127" i="3" s="1"/>
  <c r="AZ127" i="3" s="1"/>
  <c r="AQ178" i="3"/>
  <c r="DY178" i="3" s="1"/>
  <c r="BB178" i="3" s="1"/>
  <c r="BA178" i="3" s="1"/>
  <c r="AZ178" i="3" s="1"/>
  <c r="AQ203" i="3"/>
  <c r="DY203" i="3" s="1"/>
  <c r="BB203" i="3" s="1"/>
  <c r="BA203" i="3" s="1"/>
  <c r="AZ203" i="3" s="1"/>
  <c r="AQ149" i="3"/>
  <c r="DY149" i="3" s="1"/>
  <c r="BB149" i="3" s="1"/>
  <c r="BA149" i="3" s="1"/>
  <c r="AZ149" i="3" s="1"/>
  <c r="AQ159" i="3"/>
  <c r="DY159" i="3" s="1"/>
  <c r="BB159" i="3" s="1"/>
  <c r="BA159" i="3" s="1"/>
  <c r="AZ159" i="3" s="1"/>
  <c r="AQ167" i="3"/>
  <c r="DY167" i="3" s="1"/>
  <c r="BB167" i="3" s="1"/>
  <c r="BA167" i="3" s="1"/>
  <c r="AZ167" i="3" s="1"/>
  <c r="AQ176" i="3"/>
  <c r="DY176" i="3" s="1"/>
  <c r="BB176" i="3" s="1"/>
  <c r="BA176" i="3" s="1"/>
  <c r="AZ176" i="3" s="1"/>
  <c r="AQ184" i="3"/>
  <c r="DY184" i="3" s="1"/>
  <c r="BB184" i="3" s="1"/>
  <c r="BA184" i="3" s="1"/>
  <c r="AZ184" i="3" s="1"/>
  <c r="AM194" i="3"/>
  <c r="AQ193" i="3"/>
  <c r="DY193" i="3" s="1"/>
  <c r="BB193" i="3" s="1"/>
  <c r="BA193" i="3" s="1"/>
  <c r="AZ193" i="3" s="1"/>
  <c r="AM202" i="3"/>
  <c r="AQ201" i="3"/>
  <c r="DY201" i="3" s="1"/>
  <c r="BB201" i="3" s="1"/>
  <c r="BA201" i="3" s="1"/>
  <c r="AZ201" i="3" s="1"/>
  <c r="AQ209" i="3"/>
  <c r="DY209" i="3" s="1"/>
  <c r="BB209" i="3" s="1"/>
  <c r="BA209" i="3" s="1"/>
  <c r="AZ209" i="3" s="1"/>
  <c r="BM218" i="3"/>
  <c r="AQ217" i="3"/>
  <c r="DY217" i="3" s="1"/>
  <c r="BB217" i="3" s="1"/>
  <c r="BA217" i="3" s="1"/>
  <c r="AZ217" i="3" s="1"/>
  <c r="AQ204" i="3"/>
  <c r="DY204" i="3" s="1"/>
  <c r="BB204" i="3" s="1"/>
  <c r="BA204" i="3" s="1"/>
  <c r="AZ204" i="3" s="1"/>
  <c r="AQ153" i="3"/>
  <c r="DY153" i="3" s="1"/>
  <c r="BB153" i="3" s="1"/>
  <c r="BA153" i="3" s="1"/>
  <c r="AZ153" i="3" s="1"/>
  <c r="AM220" i="3"/>
  <c r="AQ219" i="3"/>
  <c r="DY219" i="3" s="1"/>
  <c r="BB219" i="3" s="1"/>
  <c r="BA219" i="3" s="1"/>
  <c r="AZ219" i="3" s="1"/>
  <c r="AQ141" i="3"/>
  <c r="DY141" i="3" s="1"/>
  <c r="BB141" i="3" s="1"/>
  <c r="BA141" i="3" s="1"/>
  <c r="AZ141" i="3" s="1"/>
  <c r="AQ124" i="3"/>
  <c r="DY124" i="3" s="1"/>
  <c r="BB124" i="3" s="1"/>
  <c r="BA124" i="3" s="1"/>
  <c r="AZ124" i="3" s="1"/>
  <c r="AM133" i="3"/>
  <c r="AQ132" i="3"/>
  <c r="DY132" i="3" s="1"/>
  <c r="BB132" i="3" s="1"/>
  <c r="BA132" i="3" s="1"/>
  <c r="AZ132" i="3" s="1"/>
  <c r="AM141" i="3"/>
  <c r="AQ140" i="3"/>
  <c r="DY140" i="3" s="1"/>
  <c r="BB140" i="3" s="1"/>
  <c r="BA140" i="3" s="1"/>
  <c r="AZ140" i="3" s="1"/>
  <c r="AM149" i="3"/>
  <c r="AQ148" i="3"/>
  <c r="DY148" i="3" s="1"/>
  <c r="BB148" i="3" s="1"/>
  <c r="BA148" i="3" s="1"/>
  <c r="AZ148" i="3" s="1"/>
  <c r="AQ158" i="3"/>
  <c r="DY158" i="3" s="1"/>
  <c r="BB158" i="3" s="1"/>
  <c r="BA158" i="3" s="1"/>
  <c r="AZ158" i="3" s="1"/>
  <c r="AQ166" i="3"/>
  <c r="DY166" i="3" s="1"/>
  <c r="BB166" i="3" s="1"/>
  <c r="BA166" i="3" s="1"/>
  <c r="AZ166" i="3" s="1"/>
  <c r="AQ174" i="3"/>
  <c r="DY174" i="3" s="1"/>
  <c r="BB174" i="3" s="1"/>
  <c r="BA174" i="3" s="1"/>
  <c r="AZ174" i="3" s="1"/>
  <c r="BM176" i="3"/>
  <c r="AQ175" i="3"/>
  <c r="DY175" i="3" s="1"/>
  <c r="BB175" i="3" s="1"/>
  <c r="BA175" i="3" s="1"/>
  <c r="AZ175" i="3" s="1"/>
  <c r="AM184" i="3"/>
  <c r="AQ183" i="3"/>
  <c r="DY183" i="3" s="1"/>
  <c r="BB183" i="3" s="1"/>
  <c r="BA183" i="3" s="1"/>
  <c r="AZ183" i="3" s="1"/>
  <c r="AM193" i="3"/>
  <c r="AQ192" i="3"/>
  <c r="DY192" i="3" s="1"/>
  <c r="BB192" i="3" s="1"/>
  <c r="BA192" i="3" s="1"/>
  <c r="AZ192" i="3" s="1"/>
  <c r="AQ200" i="3"/>
  <c r="DY200" i="3" s="1"/>
  <c r="BB200" i="3" s="1"/>
  <c r="BA200" i="3" s="1"/>
  <c r="AZ200" i="3" s="1"/>
  <c r="AM209" i="3"/>
  <c r="AQ208" i="3"/>
  <c r="DY208" i="3" s="1"/>
  <c r="BB208" i="3" s="1"/>
  <c r="BA208" i="3" s="1"/>
  <c r="AZ208" i="3" s="1"/>
  <c r="AM217" i="3"/>
  <c r="AQ216" i="3"/>
  <c r="DY216" i="3" s="1"/>
  <c r="BB216" i="3" s="1"/>
  <c r="BA216" i="3" s="1"/>
  <c r="AZ216" i="3" s="1"/>
  <c r="AM188" i="3"/>
  <c r="AQ187" i="3"/>
  <c r="DY187" i="3" s="1"/>
  <c r="BB187" i="3" s="1"/>
  <c r="BA187" i="3" s="1"/>
  <c r="AZ187" i="3" s="1"/>
  <c r="AQ212" i="3"/>
  <c r="DY212" i="3" s="1"/>
  <c r="BB212" i="3" s="1"/>
  <c r="BA212" i="3" s="1"/>
  <c r="AZ212" i="3" s="1"/>
  <c r="AQ186" i="3"/>
  <c r="DY186" i="3" s="1"/>
  <c r="BB186" i="3" s="1"/>
  <c r="BA186" i="3" s="1"/>
  <c r="AZ186" i="3" s="1"/>
  <c r="AQ125" i="3"/>
  <c r="DY125" i="3" s="1"/>
  <c r="BB125" i="3" s="1"/>
  <c r="BA125" i="3" s="1"/>
  <c r="AZ125" i="3" s="1"/>
  <c r="AM124" i="3"/>
  <c r="AQ123" i="3"/>
  <c r="AQ131" i="3"/>
  <c r="DY131" i="3" s="1"/>
  <c r="BB131" i="3" s="1"/>
  <c r="BA131" i="3" s="1"/>
  <c r="AZ131" i="3" s="1"/>
  <c r="AM140" i="3"/>
  <c r="AQ139" i="3"/>
  <c r="DY139" i="3" s="1"/>
  <c r="BB139" i="3" s="1"/>
  <c r="BA139" i="3" s="1"/>
  <c r="AZ139" i="3" s="1"/>
  <c r="AM148" i="3"/>
  <c r="AQ147" i="3"/>
  <c r="DY147" i="3" s="1"/>
  <c r="BB147" i="3" s="1"/>
  <c r="BA147" i="3" s="1"/>
  <c r="AZ147" i="3" s="1"/>
  <c r="AQ157" i="3"/>
  <c r="DY157" i="3" s="1"/>
  <c r="BB157" i="3" s="1"/>
  <c r="BA157" i="3" s="1"/>
  <c r="AZ157" i="3" s="1"/>
  <c r="AQ165" i="3"/>
  <c r="DY165" i="3" s="1"/>
  <c r="BB165" i="3" s="1"/>
  <c r="BA165" i="3" s="1"/>
  <c r="AZ165" i="3" s="1"/>
  <c r="AQ173" i="3"/>
  <c r="DY173" i="3" s="1"/>
  <c r="BB173" i="3" s="1"/>
  <c r="BA173" i="3" s="1"/>
  <c r="AZ173" i="3" s="1"/>
  <c r="AQ182" i="3"/>
  <c r="DY182" i="3" s="1"/>
  <c r="BB182" i="3" s="1"/>
  <c r="BA182" i="3" s="1"/>
  <c r="AZ182" i="3" s="1"/>
  <c r="AM192" i="3"/>
  <c r="AQ191" i="3"/>
  <c r="DY191" i="3" s="1"/>
  <c r="BB191" i="3" s="1"/>
  <c r="BA191" i="3" s="1"/>
  <c r="AZ191" i="3" s="1"/>
  <c r="BM200" i="3"/>
  <c r="AQ199" i="3"/>
  <c r="DY199" i="3" s="1"/>
  <c r="BB199" i="3" s="1"/>
  <c r="BA199" i="3" s="1"/>
  <c r="AZ199" i="3" s="1"/>
  <c r="AM208" i="3"/>
  <c r="AQ207" i="3"/>
  <c r="DY207" i="3" s="1"/>
  <c r="BB207" i="3" s="1"/>
  <c r="BA207" i="3" s="1"/>
  <c r="AZ207" i="3" s="1"/>
  <c r="AQ215" i="3"/>
  <c r="DY215" i="3" s="1"/>
  <c r="BB215" i="3" s="1"/>
  <c r="BA215" i="3" s="1"/>
  <c r="AZ215" i="3" s="1"/>
  <c r="AM197" i="3"/>
  <c r="AQ196" i="3"/>
  <c r="DY196" i="3" s="1"/>
  <c r="BB196" i="3" s="1"/>
  <c r="BA196" i="3" s="1"/>
  <c r="AZ196" i="3" s="1"/>
  <c r="AQ161" i="3"/>
  <c r="DY161" i="3" s="1"/>
  <c r="BB161" i="3" s="1"/>
  <c r="BA161" i="3" s="1"/>
  <c r="AZ161" i="3" s="1"/>
  <c r="AM212" i="3"/>
  <c r="AQ211" i="3"/>
  <c r="DY211" i="3" s="1"/>
  <c r="BB211" i="3" s="1"/>
  <c r="BA211" i="3" s="1"/>
  <c r="AZ211" i="3" s="1"/>
  <c r="AQ133" i="3"/>
  <c r="DY133" i="3" s="1"/>
  <c r="BB133" i="3" s="1"/>
  <c r="BA133" i="3" s="1"/>
  <c r="AZ133" i="3" s="1"/>
  <c r="AQ130" i="3"/>
  <c r="DY130" i="3" s="1"/>
  <c r="BB130" i="3" s="1"/>
  <c r="BA130" i="3" s="1"/>
  <c r="AZ130" i="3" s="1"/>
  <c r="AQ138" i="3"/>
  <c r="DY138" i="3" s="1"/>
  <c r="BB138" i="3" s="1"/>
  <c r="BA138" i="3" s="1"/>
  <c r="AZ138" i="3" s="1"/>
  <c r="AQ146" i="3"/>
  <c r="DY146" i="3" s="1"/>
  <c r="BB146" i="3" s="1"/>
  <c r="BA146" i="3" s="1"/>
  <c r="AZ146" i="3" s="1"/>
  <c r="AM157" i="3"/>
  <c r="AQ156" i="3"/>
  <c r="DY156" i="3" s="1"/>
  <c r="BB156" i="3" s="1"/>
  <c r="BA156" i="3" s="1"/>
  <c r="AZ156" i="3" s="1"/>
  <c r="BM165" i="3"/>
  <c r="AQ164" i="3"/>
  <c r="DY164" i="3" s="1"/>
  <c r="BB164" i="3" s="1"/>
  <c r="BA164" i="3" s="1"/>
  <c r="AZ164" i="3" s="1"/>
  <c r="AQ172" i="3"/>
  <c r="DY172" i="3" s="1"/>
  <c r="BB172" i="3" s="1"/>
  <c r="BA172" i="3" s="1"/>
  <c r="AZ172" i="3" s="1"/>
  <c r="AQ181" i="3"/>
  <c r="DY181" i="3" s="1"/>
  <c r="BB181" i="3" s="1"/>
  <c r="BA181" i="3" s="1"/>
  <c r="AZ181" i="3" s="1"/>
  <c r="AQ190" i="3"/>
  <c r="DY190" i="3" s="1"/>
  <c r="BB190" i="3" s="1"/>
  <c r="BA190" i="3" s="1"/>
  <c r="AZ190" i="3" s="1"/>
  <c r="AQ198" i="3"/>
  <c r="DY198" i="3" s="1"/>
  <c r="BB198" i="3" s="1"/>
  <c r="BA198" i="3" s="1"/>
  <c r="AZ198" i="3" s="1"/>
  <c r="AQ206" i="3"/>
  <c r="DY206" i="3" s="1"/>
  <c r="BB206" i="3" s="1"/>
  <c r="BA206" i="3" s="1"/>
  <c r="AZ206" i="3" s="1"/>
  <c r="AQ214" i="3"/>
  <c r="DY214" i="3" s="1"/>
  <c r="BB214" i="3" s="1"/>
  <c r="BA214" i="3" s="1"/>
  <c r="AZ214" i="3" s="1"/>
  <c r="AQ143" i="3"/>
  <c r="DY143" i="3" s="1"/>
  <c r="BB143" i="3" s="1"/>
  <c r="BA143" i="3" s="1"/>
  <c r="AZ143" i="3" s="1"/>
  <c r="AQ151" i="3"/>
  <c r="DY151" i="3" s="1"/>
  <c r="BB151" i="3" s="1"/>
  <c r="BA151" i="3" s="1"/>
  <c r="AZ151" i="3" s="1"/>
  <c r="AM170" i="3"/>
  <c r="AQ169" i="3"/>
  <c r="DY169" i="3" s="1"/>
  <c r="BB169" i="3" s="1"/>
  <c r="BA169" i="3" s="1"/>
  <c r="AZ169" i="3" s="1"/>
  <c r="AQ195" i="3"/>
  <c r="DY195" i="3" s="1"/>
  <c r="BB195" i="3" s="1"/>
  <c r="BA195" i="3" s="1"/>
  <c r="AZ195" i="3" s="1"/>
  <c r="AM130" i="3"/>
  <c r="AQ129" i="3"/>
  <c r="DY129" i="3" s="1"/>
  <c r="BB129" i="3" s="1"/>
  <c r="BA129" i="3" s="1"/>
  <c r="AZ129" i="3" s="1"/>
  <c r="AM138" i="3"/>
  <c r="AQ137" i="3"/>
  <c r="DY137" i="3" s="1"/>
  <c r="BB137" i="3" s="1"/>
  <c r="BA137" i="3" s="1"/>
  <c r="AZ137" i="3" s="1"/>
  <c r="AQ145" i="3"/>
  <c r="DY145" i="3" s="1"/>
  <c r="BB145" i="3" s="1"/>
  <c r="BA145" i="3" s="1"/>
  <c r="AZ145" i="3" s="1"/>
  <c r="AM156" i="3"/>
  <c r="AQ155" i="3"/>
  <c r="DY155" i="3" s="1"/>
  <c r="BB155" i="3" s="1"/>
  <c r="BA155" i="3" s="1"/>
  <c r="AZ155" i="3" s="1"/>
  <c r="AM164" i="3"/>
  <c r="AQ163" i="3"/>
  <c r="DY163" i="3" s="1"/>
  <c r="BB163" i="3" s="1"/>
  <c r="BA163" i="3" s="1"/>
  <c r="AZ163" i="3" s="1"/>
  <c r="AM172" i="3"/>
  <c r="AQ171" i="3"/>
  <c r="DY171" i="3" s="1"/>
  <c r="BB171" i="3" s="1"/>
  <c r="BA171" i="3" s="1"/>
  <c r="AZ171" i="3" s="1"/>
  <c r="AQ180" i="3"/>
  <c r="DY180" i="3" s="1"/>
  <c r="BB180" i="3" s="1"/>
  <c r="BA180" i="3" s="1"/>
  <c r="AZ180" i="3" s="1"/>
  <c r="AQ189" i="3"/>
  <c r="DY189" i="3" s="1"/>
  <c r="BB189" i="3" s="1"/>
  <c r="BA189" i="3" s="1"/>
  <c r="AZ189" i="3" s="1"/>
  <c r="BM198" i="3"/>
  <c r="AQ197" i="3"/>
  <c r="DY197" i="3" s="1"/>
  <c r="BB197" i="3" s="1"/>
  <c r="BA197" i="3" s="1"/>
  <c r="AZ197" i="3" s="1"/>
  <c r="AQ205" i="3"/>
  <c r="DY205" i="3" s="1"/>
  <c r="BB205" i="3" s="1"/>
  <c r="BA205" i="3" s="1"/>
  <c r="AZ205" i="3" s="1"/>
  <c r="AQ213" i="3"/>
  <c r="DY213" i="3" s="1"/>
  <c r="BB213" i="3" s="1"/>
  <c r="BA213" i="3" s="1"/>
  <c r="AZ213" i="3" s="1"/>
  <c r="AG356" i="3"/>
  <c r="AK356" i="3"/>
  <c r="AL356" i="3" s="1"/>
  <c r="AK423" i="3"/>
  <c r="AL423" i="3" s="1"/>
  <c r="AG372" i="3"/>
  <c r="CQ372" i="3" s="1"/>
  <c r="AV510" i="3"/>
  <c r="V510" i="3" s="1"/>
  <c r="AK515" i="3"/>
  <c r="AL515" i="3" s="1"/>
  <c r="AG515" i="3"/>
  <c r="CQ515" i="3" s="1"/>
  <c r="AV477" i="3"/>
  <c r="V477" i="3" s="1"/>
  <c r="AV485" i="3"/>
  <c r="V485" i="3" s="1"/>
  <c r="AV463" i="3"/>
  <c r="V463" i="3" s="1"/>
  <c r="AG455" i="3"/>
  <c r="AV455" i="3" s="1"/>
  <c r="V455" i="3" s="1"/>
  <c r="AK455" i="3"/>
  <c r="AL455" i="3" s="1"/>
  <c r="AK439" i="3"/>
  <c r="AL439" i="3" s="1"/>
  <c r="AG439" i="3"/>
  <c r="CQ439" i="3" s="1"/>
  <c r="AK459" i="3"/>
  <c r="AL459" i="3" s="1"/>
  <c r="AG459" i="3"/>
  <c r="CQ459" i="3" s="1"/>
  <c r="AG426" i="3"/>
  <c r="AV426" i="3" s="1"/>
  <c r="V426" i="3" s="1"/>
  <c r="AK426" i="3"/>
  <c r="AL426" i="3" s="1"/>
  <c r="AV504" i="3"/>
  <c r="V504" i="3" s="1"/>
  <c r="AV450" i="3"/>
  <c r="V450" i="3" s="1"/>
  <c r="AV489" i="3"/>
  <c r="V489" i="3" s="1"/>
  <c r="AG487" i="3"/>
  <c r="CQ487" i="3" s="1"/>
  <c r="AK487" i="3"/>
  <c r="AL487" i="3" s="1"/>
  <c r="AV472" i="3"/>
  <c r="V472" i="3" s="1"/>
  <c r="AG465" i="3"/>
  <c r="CQ465" i="3" s="1"/>
  <c r="AK465" i="3"/>
  <c r="AL465" i="3" s="1"/>
  <c r="AG446" i="3"/>
  <c r="CQ446" i="3" s="1"/>
  <c r="AK446" i="3"/>
  <c r="AL446" i="3" s="1"/>
  <c r="AG232" i="3"/>
  <c r="AK232" i="3"/>
  <c r="AL232" i="3" s="1"/>
  <c r="AV443" i="3"/>
  <c r="V443" i="3" s="1"/>
  <c r="AG475" i="3"/>
  <c r="AK475" i="3"/>
  <c r="AL475" i="3" s="1"/>
  <c r="AD195" i="3"/>
  <c r="AK268" i="3"/>
  <c r="AK522" i="3"/>
  <c r="AL522" i="3" s="1"/>
  <c r="AG522" i="3"/>
  <c r="CQ522" i="3" s="1"/>
  <c r="AG513" i="3"/>
  <c r="AV513" i="3" s="1"/>
  <c r="V513" i="3" s="1"/>
  <c r="AK513" i="3"/>
  <c r="AL513" i="3" s="1"/>
  <c r="AG503" i="3"/>
  <c r="CQ503" i="3" s="1"/>
  <c r="AK503" i="3"/>
  <c r="AL503" i="3" s="1"/>
  <c r="AG478" i="3"/>
  <c r="CQ478" i="3" s="1"/>
  <c r="AK478" i="3"/>
  <c r="AL478" i="3" s="1"/>
  <c r="AG483" i="3"/>
  <c r="AV483" i="3" s="1"/>
  <c r="V483" i="3" s="1"/>
  <c r="AK483" i="3"/>
  <c r="AL483" i="3" s="1"/>
  <c r="AV480" i="3"/>
  <c r="V480" i="3" s="1"/>
  <c r="AK472" i="3"/>
  <c r="AL472" i="3" s="1"/>
  <c r="AG472" i="3"/>
  <c r="CQ472" i="3" s="1"/>
  <c r="AG461" i="3"/>
  <c r="CQ461" i="3" s="1"/>
  <c r="AK461" i="3"/>
  <c r="AL461" i="3" s="1"/>
  <c r="AG456" i="3"/>
  <c r="AK456" i="3"/>
  <c r="AL456" i="3" s="1"/>
  <c r="AV449" i="3"/>
  <c r="V449" i="3" s="1"/>
  <c r="AG442" i="3"/>
  <c r="CQ442" i="3" s="1"/>
  <c r="AK442" i="3"/>
  <c r="AL442" i="3" s="1"/>
  <c r="AG434" i="3"/>
  <c r="CQ434" i="3" s="1"/>
  <c r="AK434" i="3"/>
  <c r="AL434" i="3" s="1"/>
  <c r="AK427" i="3"/>
  <c r="AL427" i="3" s="1"/>
  <c r="AG427" i="3"/>
  <c r="CQ427" i="3" s="1"/>
  <c r="AK443" i="3"/>
  <c r="AL443" i="3" s="1"/>
  <c r="AG443" i="3"/>
  <c r="CQ443" i="3" s="1"/>
  <c r="AG280" i="3"/>
  <c r="CQ280" i="3" s="1"/>
  <c r="AK280" i="3"/>
  <c r="AL280" i="3" s="1"/>
  <c r="AV431" i="3"/>
  <c r="V431" i="3" s="1"/>
  <c r="AG348" i="3"/>
  <c r="AV348" i="3" s="1"/>
  <c r="V348" i="3" s="1"/>
  <c r="AK348" i="3"/>
  <c r="AL348" i="3" s="1"/>
  <c r="AK501" i="3"/>
  <c r="AL501" i="3" s="1"/>
  <c r="AG501" i="3"/>
  <c r="AV487" i="3"/>
  <c r="V487" i="3" s="1"/>
  <c r="AV493" i="3"/>
  <c r="V493" i="3" s="1"/>
  <c r="AG452" i="3"/>
  <c r="AV452" i="3" s="1"/>
  <c r="V452" i="3" s="1"/>
  <c r="AK452" i="3"/>
  <c r="AL452" i="3" s="1"/>
  <c r="AG340" i="3"/>
  <c r="CQ340" i="3" s="1"/>
  <c r="AK340" i="3"/>
  <c r="AL340" i="3" s="1"/>
  <c r="AK383" i="3"/>
  <c r="AL383" i="3" s="1"/>
  <c r="AG521" i="3"/>
  <c r="AV521" i="3" s="1"/>
  <c r="V521" i="3" s="1"/>
  <c r="AK521" i="3"/>
  <c r="AL521" i="3" s="1"/>
  <c r="AV500" i="3"/>
  <c r="V500" i="3" s="1"/>
  <c r="AG509" i="3"/>
  <c r="CQ509" i="3" s="1"/>
  <c r="AK509" i="3"/>
  <c r="AL509" i="3" s="1"/>
  <c r="AV499" i="3"/>
  <c r="V499" i="3" s="1"/>
  <c r="AV498" i="3"/>
  <c r="V498" i="3" s="1"/>
  <c r="AG491" i="3"/>
  <c r="CQ491" i="3" s="1"/>
  <c r="AK491" i="3"/>
  <c r="AL491" i="3" s="1"/>
  <c r="AV481" i="3"/>
  <c r="V481" i="3" s="1"/>
  <c r="AV462" i="3"/>
  <c r="V462" i="3" s="1"/>
  <c r="AV446" i="3"/>
  <c r="V446" i="3" s="1"/>
  <c r="AV458" i="3"/>
  <c r="V458" i="3" s="1"/>
  <c r="AV432" i="3"/>
  <c r="V432" i="3" s="1"/>
  <c r="AG438" i="3"/>
  <c r="AV438" i="3" s="1"/>
  <c r="V438" i="3" s="1"/>
  <c r="AK438" i="3"/>
  <c r="AL438" i="3" s="1"/>
  <c r="AK431" i="3"/>
  <c r="AL431" i="3" s="1"/>
  <c r="AG431" i="3"/>
  <c r="CQ431" i="3" s="1"/>
  <c r="AG344" i="3"/>
  <c r="AK344" i="3"/>
  <c r="AL344" i="3" s="1"/>
  <c r="AG265" i="3"/>
  <c r="CQ265" i="3" s="1"/>
  <c r="AG516" i="3"/>
  <c r="CQ516" i="3" s="1"/>
  <c r="AK516" i="3"/>
  <c r="AL516" i="3" s="1"/>
  <c r="AG507" i="3"/>
  <c r="CQ507" i="3" s="1"/>
  <c r="AK507" i="3"/>
  <c r="AL507" i="3" s="1"/>
  <c r="AV484" i="3"/>
  <c r="V484" i="3" s="1"/>
  <c r="AK474" i="3"/>
  <c r="AL474" i="3" s="1"/>
  <c r="AG474" i="3"/>
  <c r="AK476" i="3"/>
  <c r="AL476" i="3" s="1"/>
  <c r="AG476" i="3"/>
  <c r="CQ476" i="3" s="1"/>
  <c r="AV471" i="3"/>
  <c r="V471" i="3" s="1"/>
  <c r="AV470" i="3"/>
  <c r="V470" i="3" s="1"/>
  <c r="AG466" i="3"/>
  <c r="CQ466" i="3" s="1"/>
  <c r="AK466" i="3"/>
  <c r="AL466" i="3" s="1"/>
  <c r="AV496" i="3"/>
  <c r="V496" i="3" s="1"/>
  <c r="AK447" i="3"/>
  <c r="AL447" i="3" s="1"/>
  <c r="AG447" i="3"/>
  <c r="CQ447" i="3" s="1"/>
  <c r="AG400" i="3"/>
  <c r="CQ400" i="3" s="1"/>
  <c r="AK400" i="3"/>
  <c r="AL400" i="3" s="1"/>
  <c r="AK512" i="3"/>
  <c r="AL512" i="3" s="1"/>
  <c r="AG512" i="3"/>
  <c r="CQ512" i="3" s="1"/>
  <c r="AV442" i="3"/>
  <c r="V442" i="3" s="1"/>
  <c r="AV427" i="3"/>
  <c r="V427" i="3" s="1"/>
  <c r="AK265" i="3"/>
  <c r="AL265" i="3" s="1"/>
  <c r="AV514" i="3"/>
  <c r="V514" i="3" s="1"/>
  <c r="AV495" i="3"/>
  <c r="V495" i="3" s="1"/>
  <c r="AV488" i="3"/>
  <c r="V488" i="3" s="1"/>
  <c r="AV492" i="3"/>
  <c r="V492" i="3" s="1"/>
  <c r="AV473" i="3"/>
  <c r="V473" i="3" s="1"/>
  <c r="AG479" i="3"/>
  <c r="AV479" i="3" s="1"/>
  <c r="V479" i="3" s="1"/>
  <c r="AK479" i="3"/>
  <c r="AL479" i="3" s="1"/>
  <c r="AG469" i="3"/>
  <c r="AK469" i="3"/>
  <c r="AL469" i="3" s="1"/>
  <c r="AV453" i="3"/>
  <c r="V453" i="3" s="1"/>
  <c r="AV444" i="3"/>
  <c r="V444" i="3" s="1"/>
  <c r="AV424" i="3"/>
  <c r="V424" i="3" s="1"/>
  <c r="AK518" i="3"/>
  <c r="AL518" i="3" s="1"/>
  <c r="AG518" i="3"/>
  <c r="AV518" i="3" s="1"/>
  <c r="V518" i="3" s="1"/>
  <c r="AV502" i="3"/>
  <c r="V502" i="3" s="1"/>
  <c r="AK484" i="3"/>
  <c r="AL484" i="3" s="1"/>
  <c r="AG484" i="3"/>
  <c r="CQ484" i="3" s="1"/>
  <c r="AG495" i="3"/>
  <c r="CQ495" i="3" s="1"/>
  <c r="AK495" i="3"/>
  <c r="AL495" i="3" s="1"/>
  <c r="AV467" i="3"/>
  <c r="V467" i="3" s="1"/>
  <c r="AG397" i="3"/>
  <c r="CQ397" i="3" s="1"/>
  <c r="AK397" i="3"/>
  <c r="AL397" i="3" s="1"/>
  <c r="AG430" i="3"/>
  <c r="CQ430" i="3" s="1"/>
  <c r="AK430" i="3"/>
  <c r="AL430" i="3" s="1"/>
  <c r="AK435" i="3"/>
  <c r="AL435" i="3" s="1"/>
  <c r="AG435" i="3"/>
  <c r="AV435" i="3" s="1"/>
  <c r="V435" i="3" s="1"/>
  <c r="AK422" i="3"/>
  <c r="AL422" i="3" s="1"/>
  <c r="AG422" i="3"/>
  <c r="CQ422" i="3" s="1"/>
  <c r="AG413" i="3"/>
  <c r="CQ413" i="3" s="1"/>
  <c r="AK413" i="3"/>
  <c r="AL413" i="3" s="1"/>
  <c r="AV401" i="3"/>
  <c r="V401" i="3" s="1"/>
  <c r="AV393" i="3"/>
  <c r="V393" i="3" s="1"/>
  <c r="AV382" i="3"/>
  <c r="V382" i="3" s="1"/>
  <c r="AK386" i="3"/>
  <c r="AL386" i="3" s="1"/>
  <c r="AG386" i="3"/>
  <c r="CQ386" i="3" s="1"/>
  <c r="AV377" i="3"/>
  <c r="V377" i="3" s="1"/>
  <c r="AG388" i="3"/>
  <c r="CQ388" i="3" s="1"/>
  <c r="AK388" i="3"/>
  <c r="AL388" i="3" s="1"/>
  <c r="AV369" i="3"/>
  <c r="V369" i="3" s="1"/>
  <c r="AV368" i="3"/>
  <c r="V368" i="3" s="1"/>
  <c r="AV364" i="3"/>
  <c r="V364" i="3" s="1"/>
  <c r="AK354" i="3"/>
  <c r="AL354" i="3" s="1"/>
  <c r="AG354" i="3"/>
  <c r="CQ354" i="3" s="1"/>
  <c r="AV341" i="3"/>
  <c r="V341" i="3" s="1"/>
  <c r="AK347" i="3"/>
  <c r="AL347" i="3" s="1"/>
  <c r="AG347" i="3"/>
  <c r="CQ347" i="3" s="1"/>
  <c r="AV298" i="3"/>
  <c r="V298" i="3" s="1"/>
  <c r="AG318" i="3"/>
  <c r="AK318" i="3"/>
  <c r="AL318" i="3" s="1"/>
  <c r="AG300" i="3"/>
  <c r="AK300" i="3"/>
  <c r="AL300" i="3" s="1"/>
  <c r="AK310" i="3"/>
  <c r="AL310" i="3" s="1"/>
  <c r="AG310" i="3"/>
  <c r="CQ310" i="3" s="1"/>
  <c r="AV279" i="3"/>
  <c r="V279" i="3" s="1"/>
  <c r="AG266" i="3"/>
  <c r="AK266" i="3"/>
  <c r="AL266" i="3" s="1"/>
  <c r="AG243" i="3"/>
  <c r="CQ243" i="3" s="1"/>
  <c r="AK243" i="3"/>
  <c r="AL243" i="3" s="1"/>
  <c r="AG257" i="3"/>
  <c r="AK257" i="3"/>
  <c r="AL257" i="3" s="1"/>
  <c r="AK398" i="3"/>
  <c r="AL398" i="3" s="1"/>
  <c r="AG398" i="3"/>
  <c r="AK374" i="3"/>
  <c r="AL374" i="3" s="1"/>
  <c r="AG374" i="3"/>
  <c r="CQ374" i="3" s="1"/>
  <c r="AG376" i="3"/>
  <c r="AV376" i="3" s="1"/>
  <c r="V376" i="3" s="1"/>
  <c r="AK376" i="3"/>
  <c r="AL376" i="3" s="1"/>
  <c r="AV357" i="3"/>
  <c r="V357" i="3" s="1"/>
  <c r="AV353" i="3"/>
  <c r="V353" i="3" s="1"/>
  <c r="AG341" i="3"/>
  <c r="CQ341" i="3" s="1"/>
  <c r="AK341" i="3"/>
  <c r="AL341" i="3" s="1"/>
  <c r="AV324" i="3"/>
  <c r="V324" i="3" s="1"/>
  <c r="AV319" i="3"/>
  <c r="V319" i="3" s="1"/>
  <c r="AV316" i="3"/>
  <c r="V316" i="3" s="1"/>
  <c r="AV308" i="3"/>
  <c r="V308" i="3" s="1"/>
  <c r="AV300" i="3"/>
  <c r="V300" i="3" s="1"/>
  <c r="AG337" i="3"/>
  <c r="CQ337" i="3" s="1"/>
  <c r="AK337" i="3"/>
  <c r="AL337" i="3" s="1"/>
  <c r="AV303" i="3"/>
  <c r="V303" i="3" s="1"/>
  <c r="AK290" i="3"/>
  <c r="AL290" i="3" s="1"/>
  <c r="AG290" i="3"/>
  <c r="CQ290" i="3" s="1"/>
  <c r="AV285" i="3"/>
  <c r="V285" i="3" s="1"/>
  <c r="AV315" i="3"/>
  <c r="V315" i="3" s="1"/>
  <c r="AG292" i="3"/>
  <c r="AK292" i="3"/>
  <c r="AL292" i="3" s="1"/>
  <c r="AG258" i="3"/>
  <c r="AK258" i="3"/>
  <c r="AL258" i="3" s="1"/>
  <c r="AG262" i="3"/>
  <c r="AK262" i="3"/>
  <c r="AL262" i="3" s="1"/>
  <c r="AV239" i="3"/>
  <c r="V239" i="3" s="1"/>
  <c r="AV235" i="3"/>
  <c r="V235" i="3" s="1"/>
  <c r="AV231" i="3"/>
  <c r="V231" i="3" s="1"/>
  <c r="AV258" i="3"/>
  <c r="V258" i="3" s="1"/>
  <c r="AF172" i="3"/>
  <c r="AV421" i="3"/>
  <c r="V421" i="3" s="1"/>
  <c r="AV416" i="3"/>
  <c r="V416" i="3" s="1"/>
  <c r="AV398" i="3"/>
  <c r="V398" i="3" s="1"/>
  <c r="AK406" i="3"/>
  <c r="AL406" i="3" s="1"/>
  <c r="AG406" i="3"/>
  <c r="CQ406" i="3" s="1"/>
  <c r="AV397" i="3"/>
  <c r="V397" i="3" s="1"/>
  <c r="AG384" i="3"/>
  <c r="CQ384" i="3" s="1"/>
  <c r="AK384" i="3"/>
  <c r="AL384" i="3" s="1"/>
  <c r="AV373" i="3"/>
  <c r="V373" i="3" s="1"/>
  <c r="AG353" i="3"/>
  <c r="CQ353" i="3" s="1"/>
  <c r="AK353" i="3"/>
  <c r="AL353" i="3" s="1"/>
  <c r="AV344" i="3"/>
  <c r="V344" i="3" s="1"/>
  <c r="AV338" i="3"/>
  <c r="V338" i="3" s="1"/>
  <c r="AV327" i="3"/>
  <c r="V327" i="3" s="1"/>
  <c r="AG330" i="3"/>
  <c r="CQ330" i="3" s="1"/>
  <c r="AK330" i="3"/>
  <c r="AL330" i="3" s="1"/>
  <c r="AG327" i="3"/>
  <c r="CQ327" i="3" s="1"/>
  <c r="AK327" i="3"/>
  <c r="AL327" i="3" s="1"/>
  <c r="AV317" i="3"/>
  <c r="V317" i="3" s="1"/>
  <c r="AV309" i="3"/>
  <c r="V309" i="3" s="1"/>
  <c r="AV295" i="3"/>
  <c r="V295" i="3" s="1"/>
  <c r="AG319" i="3"/>
  <c r="CQ319" i="3" s="1"/>
  <c r="AK319" i="3"/>
  <c r="AL319" i="3" s="1"/>
  <c r="AK306" i="3"/>
  <c r="AL306" i="3" s="1"/>
  <c r="AG306" i="3"/>
  <c r="AK299" i="3"/>
  <c r="AL299" i="3" s="1"/>
  <c r="AG299" i="3"/>
  <c r="AV297" i="3"/>
  <c r="V297" i="3" s="1"/>
  <c r="AG285" i="3"/>
  <c r="CQ285" i="3" s="1"/>
  <c r="AK285" i="3"/>
  <c r="AL285" i="3" s="1"/>
  <c r="AG261" i="3"/>
  <c r="AV261" i="3" s="1"/>
  <c r="V261" i="3" s="1"/>
  <c r="AK261" i="3"/>
  <c r="AL261" i="3" s="1"/>
  <c r="AG270" i="3"/>
  <c r="CQ270" i="3" s="1"/>
  <c r="AK270" i="3"/>
  <c r="AL270" i="3" s="1"/>
  <c r="AK246" i="3"/>
  <c r="AL246" i="3" s="1"/>
  <c r="AG246" i="3"/>
  <c r="AK418" i="3"/>
  <c r="AL418" i="3" s="1"/>
  <c r="AG418" i="3"/>
  <c r="AV418" i="3" s="1"/>
  <c r="V418" i="3" s="1"/>
  <c r="AG417" i="3"/>
  <c r="CQ417" i="3" s="1"/>
  <c r="AK417" i="3"/>
  <c r="AL417" i="3" s="1"/>
  <c r="AV404" i="3"/>
  <c r="V404" i="3" s="1"/>
  <c r="AV400" i="3"/>
  <c r="V400" i="3" s="1"/>
  <c r="AV395" i="3"/>
  <c r="V395" i="3" s="1"/>
  <c r="AG392" i="3"/>
  <c r="AV392" i="3" s="1"/>
  <c r="V392" i="3" s="1"/>
  <c r="AK392" i="3"/>
  <c r="AL392" i="3" s="1"/>
  <c r="AG396" i="3"/>
  <c r="AV396" i="3" s="1"/>
  <c r="V396" i="3" s="1"/>
  <c r="AK396" i="3"/>
  <c r="AL396" i="3" s="1"/>
  <c r="AV379" i="3"/>
  <c r="V379" i="3" s="1"/>
  <c r="AV388" i="3"/>
  <c r="V388" i="3" s="1"/>
  <c r="AK364" i="3"/>
  <c r="AL364" i="3" s="1"/>
  <c r="AG364" i="3"/>
  <c r="CQ364" i="3" s="1"/>
  <c r="AG361" i="3"/>
  <c r="AV361" i="3" s="1"/>
  <c r="V361" i="3" s="1"/>
  <c r="AK361" i="3"/>
  <c r="AL361" i="3" s="1"/>
  <c r="AV356" i="3"/>
  <c r="V356" i="3" s="1"/>
  <c r="AK343" i="3"/>
  <c r="AL343" i="3" s="1"/>
  <c r="AG343" i="3"/>
  <c r="AV343" i="3" s="1"/>
  <c r="V343" i="3" s="1"/>
  <c r="AG336" i="3"/>
  <c r="AV336" i="3" s="1"/>
  <c r="V336" i="3" s="1"/>
  <c r="AK336" i="3"/>
  <c r="AL336" i="3" s="1"/>
  <c r="AV311" i="3"/>
  <c r="V311" i="3" s="1"/>
  <c r="AK286" i="3"/>
  <c r="AL286" i="3" s="1"/>
  <c r="AG286" i="3"/>
  <c r="CQ286" i="3" s="1"/>
  <c r="AG293" i="3"/>
  <c r="CQ293" i="3" s="1"/>
  <c r="AK293" i="3"/>
  <c r="AL293" i="3" s="1"/>
  <c r="AV280" i="3"/>
  <c r="V280" i="3" s="1"/>
  <c r="AV296" i="3"/>
  <c r="V296" i="3" s="1"/>
  <c r="AG288" i="3"/>
  <c r="CQ288" i="3" s="1"/>
  <c r="AK288" i="3"/>
  <c r="AL288" i="3" s="1"/>
  <c r="AK275" i="3"/>
  <c r="AL275" i="3" s="1"/>
  <c r="AG275" i="3"/>
  <c r="AG267" i="3"/>
  <c r="AV267" i="3" s="1"/>
  <c r="V267" i="3" s="1"/>
  <c r="AK267" i="3"/>
  <c r="AL267" i="3" s="1"/>
  <c r="AV252" i="3"/>
  <c r="V252" i="3" s="1"/>
  <c r="AV238" i="3"/>
  <c r="V238" i="3" s="1"/>
  <c r="AV234" i="3"/>
  <c r="V234" i="3" s="1"/>
  <c r="AV230" i="3"/>
  <c r="V230" i="3" s="1"/>
  <c r="AG259" i="3"/>
  <c r="CQ259" i="3" s="1"/>
  <c r="AK259" i="3"/>
  <c r="AL259" i="3" s="1"/>
  <c r="AD152" i="3"/>
  <c r="AF197" i="3"/>
  <c r="AV413" i="3"/>
  <c r="V413" i="3" s="1"/>
  <c r="AV406" i="3"/>
  <c r="V406" i="3" s="1"/>
  <c r="AV389" i="3"/>
  <c r="V389" i="3" s="1"/>
  <c r="AK399" i="3"/>
  <c r="AL399" i="3" s="1"/>
  <c r="AG399" i="3"/>
  <c r="AV399" i="3" s="1"/>
  <c r="V399" i="3" s="1"/>
  <c r="AV378" i="3"/>
  <c r="V378" i="3" s="1"/>
  <c r="AV391" i="3"/>
  <c r="V391" i="3" s="1"/>
  <c r="AG380" i="3"/>
  <c r="AV380" i="3" s="1"/>
  <c r="V380" i="3" s="1"/>
  <c r="AK380" i="3"/>
  <c r="AL380" i="3" s="1"/>
  <c r="AV337" i="3"/>
  <c r="V337" i="3" s="1"/>
  <c r="AV355" i="3"/>
  <c r="V355" i="3" s="1"/>
  <c r="AV352" i="3"/>
  <c r="V352" i="3" s="1"/>
  <c r="AG326" i="3"/>
  <c r="CQ326" i="3" s="1"/>
  <c r="AK326" i="3"/>
  <c r="AL326" i="3" s="1"/>
  <c r="AG322" i="3"/>
  <c r="AK322" i="3"/>
  <c r="AL322" i="3" s="1"/>
  <c r="AV286" i="3"/>
  <c r="V286" i="3" s="1"/>
  <c r="AV262" i="3"/>
  <c r="V262" i="3" s="1"/>
  <c r="AV275" i="3"/>
  <c r="V275" i="3" s="1"/>
  <c r="AG255" i="3"/>
  <c r="CQ255" i="3" s="1"/>
  <c r="AK255" i="3"/>
  <c r="AL255" i="3" s="1"/>
  <c r="AV243" i="3"/>
  <c r="V243" i="3" s="1"/>
  <c r="AG256" i="3"/>
  <c r="AV256" i="3" s="1"/>
  <c r="V256" i="3" s="1"/>
  <c r="AK256" i="3"/>
  <c r="AL256" i="3" s="1"/>
  <c r="AV422" i="3"/>
  <c r="V422" i="3" s="1"/>
  <c r="AV420" i="3"/>
  <c r="V420" i="3" s="1"/>
  <c r="AV410" i="3"/>
  <c r="V410" i="3" s="1"/>
  <c r="AG401" i="3"/>
  <c r="CQ401" i="3" s="1"/>
  <c r="AK401" i="3"/>
  <c r="AL401" i="3" s="1"/>
  <c r="AK390" i="3"/>
  <c r="AL390" i="3" s="1"/>
  <c r="AG390" i="3"/>
  <c r="AV390" i="3" s="1"/>
  <c r="V390" i="3" s="1"/>
  <c r="AV384" i="3"/>
  <c r="V384" i="3" s="1"/>
  <c r="AG367" i="3"/>
  <c r="CQ367" i="3" s="1"/>
  <c r="AK367" i="3"/>
  <c r="AL367" i="3" s="1"/>
  <c r="AV360" i="3"/>
  <c r="V360" i="3" s="1"/>
  <c r="AV346" i="3"/>
  <c r="V346" i="3" s="1"/>
  <c r="AK351" i="3"/>
  <c r="AL351" i="3" s="1"/>
  <c r="AG351" i="3"/>
  <c r="CQ351" i="3" s="1"/>
  <c r="AG349" i="3"/>
  <c r="CQ349" i="3" s="1"/>
  <c r="AK349" i="3"/>
  <c r="AL349" i="3" s="1"/>
  <c r="AV354" i="3"/>
  <c r="V354" i="3" s="1"/>
  <c r="AK358" i="3"/>
  <c r="AL358" i="3" s="1"/>
  <c r="AG358" i="3"/>
  <c r="AV358" i="3" s="1"/>
  <c r="V358" i="3" s="1"/>
  <c r="AV333" i="3"/>
  <c r="V333" i="3" s="1"/>
  <c r="AK338" i="3"/>
  <c r="AL338" i="3" s="1"/>
  <c r="AG338" i="3"/>
  <c r="AV305" i="3"/>
  <c r="V305" i="3" s="1"/>
  <c r="AV312" i="3"/>
  <c r="V312" i="3" s="1"/>
  <c r="AV304" i="3"/>
  <c r="V304" i="3" s="1"/>
  <c r="AK339" i="3"/>
  <c r="AL339" i="3" s="1"/>
  <c r="AG339" i="3"/>
  <c r="CQ339" i="3" s="1"/>
  <c r="AK321" i="3"/>
  <c r="AL321" i="3" s="1"/>
  <c r="AG321" i="3"/>
  <c r="AV278" i="3"/>
  <c r="V278" i="3" s="1"/>
  <c r="AV294" i="3"/>
  <c r="V294" i="3" s="1"/>
  <c r="AV293" i="3"/>
  <c r="V293" i="3" s="1"/>
  <c r="AG289" i="3"/>
  <c r="CQ289" i="3" s="1"/>
  <c r="AK289" i="3"/>
  <c r="AL289" i="3" s="1"/>
  <c r="AG260" i="3"/>
  <c r="AV260" i="3" s="1"/>
  <c r="V260" i="3" s="1"/>
  <c r="AK260" i="3"/>
  <c r="AL260" i="3" s="1"/>
  <c r="AG242" i="3"/>
  <c r="CQ242" i="3" s="1"/>
  <c r="AK242" i="3"/>
  <c r="AL242" i="3" s="1"/>
  <c r="AG252" i="3"/>
  <c r="CQ252" i="3" s="1"/>
  <c r="AK252" i="3"/>
  <c r="AL252" i="3" s="1"/>
  <c r="AK248" i="3"/>
  <c r="AL248" i="3" s="1"/>
  <c r="AG248" i="3"/>
  <c r="CQ248" i="3" s="1"/>
  <c r="AV241" i="3"/>
  <c r="V241" i="3" s="1"/>
  <c r="AV237" i="3"/>
  <c r="V237" i="3" s="1"/>
  <c r="AV233" i="3"/>
  <c r="V233" i="3" s="1"/>
  <c r="AV229" i="3"/>
  <c r="V229" i="3" s="1"/>
  <c r="AG253" i="3"/>
  <c r="AK253" i="3"/>
  <c r="AL253" i="3" s="1"/>
  <c r="AK414" i="3"/>
  <c r="AL414" i="3" s="1"/>
  <c r="AG414" i="3"/>
  <c r="CQ414" i="3" s="1"/>
  <c r="AG421" i="3"/>
  <c r="CQ421" i="3" s="1"/>
  <c r="AK421" i="3"/>
  <c r="AL421" i="3" s="1"/>
  <c r="AV412" i="3"/>
  <c r="V412" i="3" s="1"/>
  <c r="AG405" i="3"/>
  <c r="AK405" i="3"/>
  <c r="AL405" i="3" s="1"/>
  <c r="AV370" i="3"/>
  <c r="V370" i="3" s="1"/>
  <c r="AG357" i="3"/>
  <c r="AK357" i="3"/>
  <c r="AL357" i="3" s="1"/>
  <c r="AV342" i="3"/>
  <c r="V342" i="3" s="1"/>
  <c r="AK355" i="3"/>
  <c r="AL355" i="3" s="1"/>
  <c r="AG355" i="3"/>
  <c r="AV349" i="3"/>
  <c r="V349" i="3" s="1"/>
  <c r="AV372" i="3"/>
  <c r="V372" i="3" s="1"/>
  <c r="AG331" i="3"/>
  <c r="CQ331" i="3" s="1"/>
  <c r="AK331" i="3"/>
  <c r="AL331" i="3" s="1"/>
  <c r="AV302" i="3"/>
  <c r="V302" i="3" s="1"/>
  <c r="AV313" i="3"/>
  <c r="V313" i="3" s="1"/>
  <c r="AK314" i="3"/>
  <c r="AL314" i="3" s="1"/>
  <c r="AG314" i="3"/>
  <c r="AK282" i="3"/>
  <c r="AL282" i="3" s="1"/>
  <c r="AG282" i="3"/>
  <c r="CQ282" i="3" s="1"/>
  <c r="AK302" i="3"/>
  <c r="AL302" i="3" s="1"/>
  <c r="AG302" i="3"/>
  <c r="CQ302" i="3" s="1"/>
  <c r="AV276" i="3"/>
  <c r="V276" i="3" s="1"/>
  <c r="AK279" i="3"/>
  <c r="AL279" i="3" s="1"/>
  <c r="AG279" i="3"/>
  <c r="AG251" i="3"/>
  <c r="AK251" i="3"/>
  <c r="AL251" i="3" s="1"/>
  <c r="AV247" i="3"/>
  <c r="V247" i="3" s="1"/>
  <c r="AG254" i="3"/>
  <c r="AK254" i="3"/>
  <c r="AL254" i="3" s="1"/>
  <c r="AV245" i="3"/>
  <c r="V245" i="3" s="1"/>
  <c r="AG263" i="3"/>
  <c r="AV263" i="3" s="1"/>
  <c r="V263" i="3" s="1"/>
  <c r="AK263" i="3"/>
  <c r="AL263" i="3" s="1"/>
  <c r="AG250" i="3"/>
  <c r="AV250" i="3" s="1"/>
  <c r="V250" i="3" s="1"/>
  <c r="AK250" i="3"/>
  <c r="AL250" i="3" s="1"/>
  <c r="AG244" i="3"/>
  <c r="AV244" i="3" s="1"/>
  <c r="V244" i="3" s="1"/>
  <c r="AK244" i="3"/>
  <c r="AL244" i="3" s="1"/>
  <c r="AV417" i="3"/>
  <c r="V417" i="3" s="1"/>
  <c r="AG409" i="3"/>
  <c r="CQ409" i="3" s="1"/>
  <c r="AK409" i="3"/>
  <c r="AL409" i="3" s="1"/>
  <c r="AK411" i="3"/>
  <c r="AL411" i="3" s="1"/>
  <c r="AG411" i="3"/>
  <c r="AV411" i="3" s="1"/>
  <c r="V411" i="3" s="1"/>
  <c r="AK402" i="3"/>
  <c r="AL402" i="3" s="1"/>
  <c r="AG402" i="3"/>
  <c r="CQ402" i="3" s="1"/>
  <c r="AV385" i="3"/>
  <c r="V385" i="3" s="1"/>
  <c r="AV374" i="3"/>
  <c r="V374" i="3" s="1"/>
  <c r="AV381" i="3"/>
  <c r="V381" i="3" s="1"/>
  <c r="AK371" i="3"/>
  <c r="AL371" i="3" s="1"/>
  <c r="AG371" i="3"/>
  <c r="CQ371" i="3" s="1"/>
  <c r="AV365" i="3"/>
  <c r="V365" i="3" s="1"/>
  <c r="AV387" i="3"/>
  <c r="V387" i="3" s="1"/>
  <c r="AV363" i="3"/>
  <c r="V363" i="3" s="1"/>
  <c r="AG345" i="3"/>
  <c r="AV345" i="3" s="1"/>
  <c r="V345" i="3" s="1"/>
  <c r="AK345" i="3"/>
  <c r="AL345" i="3" s="1"/>
  <c r="AV340" i="3"/>
  <c r="V340" i="3" s="1"/>
  <c r="AV318" i="3"/>
  <c r="V318" i="3" s="1"/>
  <c r="AV323" i="3"/>
  <c r="V323" i="3" s="1"/>
  <c r="AV290" i="3"/>
  <c r="V290" i="3" s="1"/>
  <c r="AG294" i="3"/>
  <c r="CQ294" i="3" s="1"/>
  <c r="AK294" i="3"/>
  <c r="AL294" i="3" s="1"/>
  <c r="AV292" i="3"/>
  <c r="V292" i="3" s="1"/>
  <c r="AV284" i="3"/>
  <c r="V284" i="3" s="1"/>
  <c r="AG277" i="3"/>
  <c r="CQ277" i="3" s="1"/>
  <c r="AK277" i="3"/>
  <c r="AL277" i="3" s="1"/>
  <c r="AG281" i="3"/>
  <c r="AV281" i="3" s="1"/>
  <c r="V281" i="3" s="1"/>
  <c r="AK281" i="3"/>
  <c r="AL281" i="3" s="1"/>
  <c r="AV240" i="3"/>
  <c r="V240" i="3" s="1"/>
  <c r="AV236" i="3"/>
  <c r="V236" i="3" s="1"/>
  <c r="AV232" i="3"/>
  <c r="V232" i="3" s="1"/>
  <c r="AV257" i="3"/>
  <c r="V257" i="3" s="1"/>
  <c r="AC138" i="3"/>
  <c r="AJ138" i="3" s="1"/>
  <c r="AF147" i="3"/>
  <c r="AF126" i="3"/>
  <c r="AD187" i="3"/>
  <c r="AC170" i="3"/>
  <c r="AJ170" i="3" s="1"/>
  <c r="AC148" i="3"/>
  <c r="AJ148" i="3" s="1"/>
  <c r="AF167" i="3"/>
  <c r="AF194" i="3"/>
  <c r="AF146" i="3"/>
  <c r="AD173" i="3"/>
  <c r="AF192" i="3"/>
  <c r="AC161" i="3"/>
  <c r="AJ161" i="3" s="1"/>
  <c r="AC172" i="3"/>
  <c r="AJ172" i="3" s="1"/>
  <c r="AD135" i="3"/>
  <c r="AF151" i="3"/>
  <c r="AF216" i="3"/>
  <c r="AC150" i="3"/>
  <c r="AJ150" i="3" s="1"/>
  <c r="AF154" i="3"/>
  <c r="AC162" i="3"/>
  <c r="AJ162" i="3" s="1"/>
  <c r="AF149" i="3"/>
  <c r="AF183" i="3"/>
  <c r="AD149" i="3"/>
  <c r="AC167" i="3"/>
  <c r="AJ167" i="3" s="1"/>
  <c r="AC183" i="3"/>
  <c r="AF204" i="3"/>
  <c r="AD209" i="3"/>
  <c r="AC212" i="3"/>
  <c r="AJ212" i="3" s="1"/>
  <c r="AD216" i="3"/>
  <c r="DX149" i="3"/>
  <c r="BL149" i="3" s="1"/>
  <c r="AD153" i="3"/>
  <c r="AD184" i="3"/>
  <c r="AD185" i="3"/>
  <c r="AC197" i="3"/>
  <c r="AJ197" i="3" s="1"/>
  <c r="AD150" i="3"/>
  <c r="AD151" i="3"/>
  <c r="AC152" i="3"/>
  <c r="AJ152" i="3" s="1"/>
  <c r="AD159" i="3"/>
  <c r="AF176" i="3"/>
  <c r="AD223" i="3"/>
  <c r="AC187" i="3"/>
  <c r="AJ187" i="3" s="1"/>
  <c r="AD197" i="3"/>
  <c r="AF124" i="3"/>
  <c r="AC132" i="3"/>
  <c r="AJ132" i="3" s="1"/>
  <c r="AD141" i="3"/>
  <c r="AF195" i="3"/>
  <c r="AD125" i="3"/>
  <c r="AF139" i="3"/>
  <c r="AF208" i="3"/>
  <c r="AC131" i="3"/>
  <c r="AJ131" i="3" s="1"/>
  <c r="AC163" i="3"/>
  <c r="AJ163" i="3" s="1"/>
  <c r="AD139" i="3"/>
  <c r="AF150" i="3"/>
  <c r="AF156" i="3"/>
  <c r="AD172" i="3"/>
  <c r="AC184" i="3"/>
  <c r="AJ184" i="3" s="1"/>
  <c r="AF187" i="3"/>
  <c r="DX192" i="3"/>
  <c r="BL192" i="3" s="1"/>
  <c r="AD198" i="3"/>
  <c r="AF207" i="3"/>
  <c r="AC208" i="3"/>
  <c r="AJ208" i="3" s="1"/>
  <c r="AD134" i="3"/>
  <c r="DX137" i="3"/>
  <c r="BL137" i="3" s="1"/>
  <c r="DX139" i="3"/>
  <c r="BL139" i="3" s="1"/>
  <c r="AC149" i="3"/>
  <c r="AJ149" i="3" s="1"/>
  <c r="AC153" i="3"/>
  <c r="AJ153" i="3" s="1"/>
  <c r="AC160" i="3"/>
  <c r="AJ160" i="3" s="1"/>
  <c r="AD201" i="3"/>
  <c r="AM186" i="3"/>
  <c r="AD138" i="3"/>
  <c r="AF164" i="3"/>
  <c r="DX136" i="3"/>
  <c r="BL136" i="3" s="1"/>
  <c r="AC139" i="3"/>
  <c r="AJ139" i="3" s="1"/>
  <c r="AF148" i="3"/>
  <c r="AF166" i="3"/>
  <c r="AF179" i="3"/>
  <c r="DX181" i="3"/>
  <c r="BL181" i="3" s="1"/>
  <c r="AD208" i="3"/>
  <c r="BM215" i="3"/>
  <c r="AM185" i="3"/>
  <c r="AD126" i="3"/>
  <c r="AD136" i="3"/>
  <c r="AC146" i="3"/>
  <c r="AJ146" i="3" s="1"/>
  <c r="AC151" i="3"/>
  <c r="AJ151" i="3" s="1"/>
  <c r="DX161" i="3"/>
  <c r="BL161" i="3" s="1"/>
  <c r="AD168" i="3"/>
  <c r="AD192" i="3"/>
  <c r="AF222" i="3"/>
  <c r="AC201" i="3"/>
  <c r="AJ201" i="3" s="1"/>
  <c r="AD203" i="3"/>
  <c r="AC221" i="3"/>
  <c r="AJ221" i="3" s="1"/>
  <c r="AF153" i="3"/>
  <c r="AF206" i="3"/>
  <c r="AC147" i="3"/>
  <c r="AJ147" i="3" s="1"/>
  <c r="AC159" i="3"/>
  <c r="AJ159" i="3" s="1"/>
  <c r="AF201" i="3"/>
  <c r="AC205" i="3"/>
  <c r="AJ205" i="3" s="1"/>
  <c r="AF212" i="3"/>
  <c r="AD145" i="3"/>
  <c r="AC145" i="3"/>
  <c r="AJ145" i="3" s="1"/>
  <c r="AF145" i="3"/>
  <c r="AM132" i="3"/>
  <c r="AF142" i="3"/>
  <c r="AF143" i="3"/>
  <c r="AD157" i="3"/>
  <c r="AC157" i="3"/>
  <c r="AJ157" i="3" s="1"/>
  <c r="AM177" i="3"/>
  <c r="AM201" i="3"/>
  <c r="AM134" i="3"/>
  <c r="AD155" i="3"/>
  <c r="AC155" i="3"/>
  <c r="AJ155" i="3" s="1"/>
  <c r="AM167" i="3"/>
  <c r="BM125" i="3"/>
  <c r="AM125" i="3"/>
  <c r="AF128" i="3"/>
  <c r="AC130" i="3"/>
  <c r="AJ130" i="3" s="1"/>
  <c r="AF135" i="3"/>
  <c r="AM145" i="3"/>
  <c r="AF157" i="3"/>
  <c r="AM179" i="3"/>
  <c r="AV179" i="3" s="1"/>
  <c r="V179" i="3" s="1"/>
  <c r="AD180" i="3"/>
  <c r="AC180" i="3"/>
  <c r="AF180" i="3"/>
  <c r="AM195" i="3"/>
  <c r="AF137" i="3"/>
  <c r="AC137" i="3"/>
  <c r="AJ137" i="3" s="1"/>
  <c r="AM160" i="3"/>
  <c r="AM144" i="3"/>
  <c r="AF155" i="3"/>
  <c r="DX125" i="3"/>
  <c r="BL125" i="3" s="1"/>
  <c r="AF144" i="3"/>
  <c r="AD144" i="3"/>
  <c r="AC144" i="3"/>
  <c r="AJ144" i="3" s="1"/>
  <c r="AD154" i="3"/>
  <c r="AC154" i="3"/>
  <c r="AJ154" i="3" s="1"/>
  <c r="DX160" i="3"/>
  <c r="BL160" i="3" s="1"/>
  <c r="AM162" i="3"/>
  <c r="BM162" i="3"/>
  <c r="BM126" i="3"/>
  <c r="AM126" i="3"/>
  <c r="AD158" i="3"/>
  <c r="AC158" i="3"/>
  <c r="AJ158" i="3" s="1"/>
  <c r="AF140" i="3"/>
  <c r="AC140" i="3"/>
  <c r="AJ140" i="3" s="1"/>
  <c r="AM173" i="3"/>
  <c r="BM173" i="3"/>
  <c r="AC129" i="3"/>
  <c r="AJ129" i="3" s="1"/>
  <c r="AD129" i="3"/>
  <c r="AF129" i="3"/>
  <c r="AF141" i="3"/>
  <c r="AC141" i="3"/>
  <c r="AJ141" i="3" s="1"/>
  <c r="AD156" i="3"/>
  <c r="AC156" i="3"/>
  <c r="AJ156" i="3" s="1"/>
  <c r="AD127" i="3"/>
  <c r="AF127" i="3"/>
  <c r="AF125" i="3"/>
  <c r="BM132" i="3"/>
  <c r="AM158" i="3"/>
  <c r="AM175" i="3"/>
  <c r="BM175" i="3"/>
  <c r="BM177" i="3"/>
  <c r="BM128" i="3"/>
  <c r="DX143" i="3"/>
  <c r="BL143" i="3" s="1"/>
  <c r="AD146" i="3"/>
  <c r="AD147" i="3"/>
  <c r="AD148" i="3"/>
  <c r="DX153" i="3"/>
  <c r="BL153" i="3" s="1"/>
  <c r="AD160" i="3"/>
  <c r="AD161" i="3"/>
  <c r="AD162" i="3"/>
  <c r="AD163" i="3"/>
  <c r="AM165" i="3"/>
  <c r="AD167" i="3"/>
  <c r="AD170" i="3"/>
  <c r="AM171" i="3"/>
  <c r="DX177" i="3"/>
  <c r="BL177" i="3" s="1"/>
  <c r="AM182" i="3"/>
  <c r="BM182" i="3"/>
  <c r="BM204" i="3"/>
  <c r="AM204" i="3"/>
  <c r="AM142" i="3"/>
  <c r="AM143" i="3"/>
  <c r="AM155" i="3"/>
  <c r="AM163" i="3"/>
  <c r="AM176" i="3"/>
  <c r="AM180" i="3"/>
  <c r="BM180" i="3"/>
  <c r="DX180" i="3"/>
  <c r="BL180" i="3" s="1"/>
  <c r="AM187" i="3"/>
  <c r="BM199" i="3"/>
  <c r="AM199" i="3"/>
  <c r="AF202" i="3"/>
  <c r="AM206" i="3"/>
  <c r="AM169" i="3"/>
  <c r="AM137" i="3"/>
  <c r="DX223" i="3"/>
  <c r="BL223" i="3" s="1"/>
  <c r="DX132" i="3"/>
  <c r="BL132" i="3" s="1"/>
  <c r="DX134" i="3"/>
  <c r="BL134" i="3" s="1"/>
  <c r="AC135" i="3"/>
  <c r="AJ135" i="3" s="1"/>
  <c r="AM136" i="3"/>
  <c r="AD137" i="3"/>
  <c r="AF138" i="3"/>
  <c r="AM139" i="3"/>
  <c r="AD140" i="3"/>
  <c r="AC142" i="3"/>
  <c r="AJ142" i="3" s="1"/>
  <c r="AC143" i="3"/>
  <c r="AJ143" i="3" s="1"/>
  <c r="AM147" i="3"/>
  <c r="DX150" i="3"/>
  <c r="BL150" i="3" s="1"/>
  <c r="AF158" i="3"/>
  <c r="AM159" i="3"/>
  <c r="AF160" i="3"/>
  <c r="AF161" i="3"/>
  <c r="AF162" i="3"/>
  <c r="AF163" i="3"/>
  <c r="DX164" i="3"/>
  <c r="BL164" i="3" s="1"/>
  <c r="AF170" i="3"/>
  <c r="AC176" i="3"/>
  <c r="AJ176" i="3" s="1"/>
  <c r="AD179" i="3"/>
  <c r="AF191" i="3"/>
  <c r="AD191" i="3"/>
  <c r="AC191" i="3"/>
  <c r="AJ191" i="3" s="1"/>
  <c r="AC193" i="3"/>
  <c r="AJ193" i="3" s="1"/>
  <c r="AF193" i="3"/>
  <c r="AD193" i="3"/>
  <c r="AM223" i="3"/>
  <c r="BM223" i="3"/>
  <c r="DY222" i="3"/>
  <c r="BB222" i="3" s="1"/>
  <c r="BA222" i="3" s="1"/>
  <c r="AZ222" i="3" s="1"/>
  <c r="DY223" i="3"/>
  <c r="BB223" i="3" s="1"/>
  <c r="BA223" i="3" s="1"/>
  <c r="AZ223" i="3" s="1"/>
  <c r="AM218" i="3"/>
  <c r="AM154" i="3"/>
  <c r="AM131" i="3"/>
  <c r="AD132" i="3"/>
  <c r="BM133" i="3"/>
  <c r="DX138" i="3"/>
  <c r="BL138" i="3" s="1"/>
  <c r="AD142" i="3"/>
  <c r="AD143" i="3"/>
  <c r="AM150" i="3"/>
  <c r="AD176" i="3"/>
  <c r="BM178" i="3"/>
  <c r="AM181" i="3"/>
  <c r="BM181" i="3"/>
  <c r="AM183" i="3"/>
  <c r="AM190" i="3"/>
  <c r="BM210" i="3"/>
  <c r="AD211" i="3"/>
  <c r="AC211" i="3"/>
  <c r="AJ211" i="3" s="1"/>
  <c r="AF211" i="3"/>
  <c r="DX216" i="3"/>
  <c r="BL216" i="3" s="1"/>
  <c r="AM153" i="3"/>
  <c r="DX126" i="3"/>
  <c r="BL126" i="3" s="1"/>
  <c r="BM130" i="3"/>
  <c r="DX135" i="3"/>
  <c r="BL135" i="3" s="1"/>
  <c r="AM151" i="3"/>
  <c r="AM152" i="3"/>
  <c r="DX152" i="3"/>
  <c r="BL152" i="3" s="1"/>
  <c r="AF159" i="3"/>
  <c r="AM166" i="3"/>
  <c r="AM168" i="3"/>
  <c r="AF173" i="3"/>
  <c r="AM174" i="3"/>
  <c r="AF175" i="3"/>
  <c r="AC200" i="3"/>
  <c r="AJ200" i="3" s="1"/>
  <c r="AM203" i="3"/>
  <c r="AM210" i="3"/>
  <c r="AM178" i="3"/>
  <c r="AM146" i="3"/>
  <c r="AM128" i="3"/>
  <c r="BM127" i="3"/>
  <c r="AM127" i="3"/>
  <c r="AM135" i="3"/>
  <c r="DX142" i="3"/>
  <c r="BL142" i="3" s="1"/>
  <c r="DX145" i="3"/>
  <c r="BL145" i="3" s="1"/>
  <c r="DX147" i="3"/>
  <c r="BL147" i="3" s="1"/>
  <c r="AF152" i="3"/>
  <c r="DX176" i="3"/>
  <c r="BL176" i="3" s="1"/>
  <c r="AD183" i="3"/>
  <c r="AM216" i="3"/>
  <c r="AC220" i="3"/>
  <c r="AJ220" i="3" s="1"/>
  <c r="AF220" i="3"/>
  <c r="DX193" i="3"/>
  <c r="BL193" i="3" s="1"/>
  <c r="AD204" i="3"/>
  <c r="DX219" i="3"/>
  <c r="BL219" i="3" s="1"/>
  <c r="DX221" i="3"/>
  <c r="BL221" i="3" s="1"/>
  <c r="AC223" i="3"/>
  <c r="AJ223" i="3" s="1"/>
  <c r="AM221" i="3"/>
  <c r="AM213" i="3"/>
  <c r="AM205" i="3"/>
  <c r="AM189" i="3"/>
  <c r="DX208" i="3"/>
  <c r="BL208" i="3" s="1"/>
  <c r="DX211" i="3"/>
  <c r="BL211" i="3" s="1"/>
  <c r="AF218" i="3"/>
  <c r="DX220" i="3"/>
  <c r="BL220" i="3" s="1"/>
  <c r="AM196" i="3"/>
  <c r="AC192" i="3"/>
  <c r="AJ192" i="3" s="1"/>
  <c r="AD194" i="3"/>
  <c r="AC207" i="3"/>
  <c r="AJ207" i="3" s="1"/>
  <c r="AD212" i="3"/>
  <c r="DX212" i="3"/>
  <c r="BL212" i="3" s="1"/>
  <c r="AF214" i="3"/>
  <c r="AC216" i="3"/>
  <c r="AJ216" i="3" s="1"/>
  <c r="AF221" i="3"/>
  <c r="AF223" i="3"/>
  <c r="AM219" i="3"/>
  <c r="AM211" i="3"/>
  <c r="AF184" i="3"/>
  <c r="DX187" i="3"/>
  <c r="BL187" i="3" s="1"/>
  <c r="AC195" i="3"/>
  <c r="AJ195" i="3" s="1"/>
  <c r="AC204" i="3"/>
  <c r="AJ204" i="3" s="1"/>
  <c r="AD207" i="3"/>
  <c r="DX209" i="3"/>
  <c r="BL209" i="3" s="1"/>
  <c r="DX218" i="3"/>
  <c r="BL218" i="3" s="1"/>
  <c r="BM219" i="3"/>
  <c r="AD220" i="3"/>
  <c r="AM200" i="3"/>
  <c r="BM214" i="3"/>
  <c r="DX215" i="3"/>
  <c r="BL215" i="3" s="1"/>
  <c r="AM215" i="3"/>
  <c r="AM207" i="3"/>
  <c r="AM191" i="3"/>
  <c r="AM222" i="3"/>
  <c r="AM214" i="3"/>
  <c r="AM198" i="3"/>
  <c r="AF130" i="3"/>
  <c r="DX130" i="3"/>
  <c r="BL130" i="3" s="1"/>
  <c r="DX131" i="3"/>
  <c r="BL131" i="3" s="1"/>
  <c r="DX155" i="3"/>
  <c r="BL155" i="3" s="1"/>
  <c r="DX128" i="3"/>
  <c r="BL128" i="3" s="1"/>
  <c r="BM131" i="3"/>
  <c r="BM129" i="3"/>
  <c r="DX129" i="3"/>
  <c r="BL129" i="3" s="1"/>
  <c r="DX133" i="3"/>
  <c r="BL133" i="3" s="1"/>
  <c r="DX140" i="3"/>
  <c r="BL140" i="3" s="1"/>
  <c r="DX148" i="3"/>
  <c r="BL148" i="3" s="1"/>
  <c r="AD124" i="3"/>
  <c r="DX124" i="3"/>
  <c r="BL124" i="3" s="1"/>
  <c r="AC128" i="3"/>
  <c r="AJ128" i="3" s="1"/>
  <c r="AC124" i="3"/>
  <c r="AJ124" i="3" s="1"/>
  <c r="AC125" i="3"/>
  <c r="AJ125" i="3" s="1"/>
  <c r="AC126" i="3"/>
  <c r="AJ126" i="3" s="1"/>
  <c r="AC127" i="3"/>
  <c r="AD128" i="3"/>
  <c r="AD131" i="3"/>
  <c r="AD133" i="3"/>
  <c r="AC133" i="3"/>
  <c r="AJ133" i="3" s="1"/>
  <c r="DX141" i="3"/>
  <c r="BL141" i="3" s="1"/>
  <c r="BM124" i="3"/>
  <c r="DX127" i="3"/>
  <c r="BL127" i="3" s="1"/>
  <c r="AD130" i="3"/>
  <c r="AF131" i="3"/>
  <c r="AF133" i="3"/>
  <c r="DX144" i="3"/>
  <c r="BL144" i="3" s="1"/>
  <c r="DX154" i="3"/>
  <c r="BL154" i="3" s="1"/>
  <c r="BM167" i="3"/>
  <c r="AC188" i="3"/>
  <c r="AJ188" i="3" s="1"/>
  <c r="AF188" i="3"/>
  <c r="AD188" i="3"/>
  <c r="AF134" i="3"/>
  <c r="DX146" i="3"/>
  <c r="BL146" i="3" s="1"/>
  <c r="DX156" i="3"/>
  <c r="BL156" i="3" s="1"/>
  <c r="BM134" i="3"/>
  <c r="BM135" i="3"/>
  <c r="BM140" i="3"/>
  <c r="BM141" i="3"/>
  <c r="DX157" i="3"/>
  <c r="BL157" i="3" s="1"/>
  <c r="DX163" i="3"/>
  <c r="BL163" i="3" s="1"/>
  <c r="BM139" i="3"/>
  <c r="BM142" i="3"/>
  <c r="DX158" i="3"/>
  <c r="BL158" i="3" s="1"/>
  <c r="AF165" i="3"/>
  <c r="AD165" i="3"/>
  <c r="AC165" i="3"/>
  <c r="AJ165" i="3" s="1"/>
  <c r="DX167" i="3"/>
  <c r="BL167" i="3" s="1"/>
  <c r="BM136" i="3"/>
  <c r="BM138" i="3"/>
  <c r="BM143" i="3"/>
  <c r="DX151" i="3"/>
  <c r="BL151" i="3" s="1"/>
  <c r="DX159" i="3"/>
  <c r="BL159" i="3" s="1"/>
  <c r="DX162" i="3"/>
  <c r="BL162" i="3" s="1"/>
  <c r="BM137" i="3"/>
  <c r="BM144" i="3"/>
  <c r="AC136" i="3"/>
  <c r="AJ136" i="3" s="1"/>
  <c r="AF174" i="3"/>
  <c r="AD174" i="3"/>
  <c r="AC174" i="3"/>
  <c r="AJ174" i="3" s="1"/>
  <c r="AF132" i="3"/>
  <c r="AC134" i="3"/>
  <c r="AJ134" i="3" s="1"/>
  <c r="AF136" i="3"/>
  <c r="DX169" i="3"/>
  <c r="BL169" i="3" s="1"/>
  <c r="DX178" i="3"/>
  <c r="BL178" i="3" s="1"/>
  <c r="BM145" i="3"/>
  <c r="BM146" i="3"/>
  <c r="BM147" i="3"/>
  <c r="BM148" i="3"/>
  <c r="BM149" i="3"/>
  <c r="BM150" i="3"/>
  <c r="BM151" i="3"/>
  <c r="BM152" i="3"/>
  <c r="BM153" i="3"/>
  <c r="BM154" i="3"/>
  <c r="BM155" i="3"/>
  <c r="BM156" i="3"/>
  <c r="BM157" i="3"/>
  <c r="BM158" i="3"/>
  <c r="BM159" i="3"/>
  <c r="BM160" i="3"/>
  <c r="BM161" i="3"/>
  <c r="BM166" i="3"/>
  <c r="AF168" i="3"/>
  <c r="AC168" i="3"/>
  <c r="AJ168" i="3" s="1"/>
  <c r="DX184" i="3"/>
  <c r="BL184" i="3" s="1"/>
  <c r="AC164" i="3"/>
  <c r="AJ164" i="3" s="1"/>
  <c r="AF169" i="3"/>
  <c r="AD169" i="3"/>
  <c r="AC169" i="3"/>
  <c r="AJ169" i="3" s="1"/>
  <c r="DX173" i="3"/>
  <c r="BL173" i="3" s="1"/>
  <c r="AD164" i="3"/>
  <c r="AD171" i="3"/>
  <c r="AC171" i="3"/>
  <c r="AJ171" i="3" s="1"/>
  <c r="AF171" i="3"/>
  <c r="DX171" i="3"/>
  <c r="BL171" i="3" s="1"/>
  <c r="AD166" i="3"/>
  <c r="AC166" i="3"/>
  <c r="AJ166" i="3" s="1"/>
  <c r="DX174" i="3"/>
  <c r="BL174" i="3" s="1"/>
  <c r="DX165" i="3"/>
  <c r="BL165" i="3" s="1"/>
  <c r="DX166" i="3"/>
  <c r="BL166" i="3" s="1"/>
  <c r="DX168" i="3"/>
  <c r="BL168" i="3" s="1"/>
  <c r="DX170" i="3"/>
  <c r="BL170" i="3" s="1"/>
  <c r="BM192" i="3"/>
  <c r="AD196" i="3"/>
  <c r="AF196" i="3"/>
  <c r="AC196" i="3"/>
  <c r="AJ196" i="3" s="1"/>
  <c r="BM171" i="3"/>
  <c r="AD175" i="3"/>
  <c r="AC175" i="3"/>
  <c r="AJ175" i="3" s="1"/>
  <c r="BM179" i="3"/>
  <c r="AF181" i="3"/>
  <c r="AD181" i="3"/>
  <c r="DX183" i="3"/>
  <c r="BL183" i="3" s="1"/>
  <c r="BM184" i="3"/>
  <c r="BM188" i="3"/>
  <c r="DX199" i="3"/>
  <c r="BL199" i="3" s="1"/>
  <c r="BM190" i="3"/>
  <c r="DX195" i="3"/>
  <c r="BL195" i="3" s="1"/>
  <c r="BM164" i="3"/>
  <c r="BM168" i="3"/>
  <c r="AC181" i="3"/>
  <c r="AJ181" i="3" s="1"/>
  <c r="AF182" i="3"/>
  <c r="AD182" i="3"/>
  <c r="AC182" i="3"/>
  <c r="AJ182" i="3" s="1"/>
  <c r="DX190" i="3"/>
  <c r="BL190" i="3" s="1"/>
  <c r="BM172" i="3"/>
  <c r="DX175" i="3"/>
  <c r="BL175" i="3" s="1"/>
  <c r="AF177" i="3"/>
  <c r="AD177" i="3"/>
  <c r="DX182" i="3"/>
  <c r="BL182" i="3" s="1"/>
  <c r="DX179" i="3"/>
  <c r="BL179" i="3" s="1"/>
  <c r="BM183" i="3"/>
  <c r="BM187" i="3"/>
  <c r="AH201" i="3"/>
  <c r="AI201" i="3" s="1"/>
  <c r="DX172" i="3"/>
  <c r="BL172" i="3" s="1"/>
  <c r="AC173" i="3"/>
  <c r="AC177" i="3"/>
  <c r="AJ177" i="3" s="1"/>
  <c r="AF178" i="3"/>
  <c r="AD178" i="3"/>
  <c r="AC178" i="3"/>
  <c r="AJ178" i="3" s="1"/>
  <c r="DX185" i="3"/>
  <c r="BL185" i="3" s="1"/>
  <c r="AC186" i="3"/>
  <c r="AJ186" i="3" s="1"/>
  <c r="AF186" i="3"/>
  <c r="AD186" i="3"/>
  <c r="AC185" i="3"/>
  <c r="AJ185" i="3" s="1"/>
  <c r="AD190" i="3"/>
  <c r="AC190" i="3"/>
  <c r="AJ190" i="3" s="1"/>
  <c r="DX189" i="3"/>
  <c r="BL189" i="3" s="1"/>
  <c r="BM194" i="3"/>
  <c r="BM185" i="3"/>
  <c r="DX186" i="3"/>
  <c r="BL186" i="3" s="1"/>
  <c r="BM170" i="3"/>
  <c r="BM174" i="3"/>
  <c r="AC179" i="3"/>
  <c r="AJ179" i="3" s="1"/>
  <c r="DX188" i="3"/>
  <c r="BL188" i="3" s="1"/>
  <c r="AF189" i="3"/>
  <c r="AD189" i="3"/>
  <c r="AC189" i="3"/>
  <c r="AJ189" i="3" s="1"/>
  <c r="BM193" i="3"/>
  <c r="AF185" i="3"/>
  <c r="AF190" i="3"/>
  <c r="DX198" i="3"/>
  <c r="BL198" i="3" s="1"/>
  <c r="AC199" i="3"/>
  <c r="AJ199" i="3" s="1"/>
  <c r="AF199" i="3"/>
  <c r="AD199" i="3"/>
  <c r="BM203" i="3"/>
  <c r="DX194" i="3"/>
  <c r="BL194" i="3" s="1"/>
  <c r="AC198" i="3"/>
  <c r="AF200" i="3"/>
  <c r="AD200" i="3"/>
  <c r="AD202" i="3"/>
  <c r="AC202" i="3"/>
  <c r="AJ202" i="3" s="1"/>
  <c r="DX191" i="3"/>
  <c r="BL191" i="3" s="1"/>
  <c r="BM197" i="3"/>
  <c r="DX200" i="3"/>
  <c r="BL200" i="3" s="1"/>
  <c r="AC203" i="3"/>
  <c r="AJ203" i="3" s="1"/>
  <c r="AF203" i="3"/>
  <c r="BM189" i="3"/>
  <c r="BM191" i="3"/>
  <c r="BM196" i="3"/>
  <c r="BM206" i="3"/>
  <c r="AC194" i="3"/>
  <c r="AJ194" i="3" s="1"/>
  <c r="DX196" i="3"/>
  <c r="BL196" i="3" s="1"/>
  <c r="DX197" i="3"/>
  <c r="BL197" i="3" s="1"/>
  <c r="DX203" i="3"/>
  <c r="BL203" i="3" s="1"/>
  <c r="DX205" i="3"/>
  <c r="BL205" i="3" s="1"/>
  <c r="AH208" i="3"/>
  <c r="AI208" i="3" s="1"/>
  <c r="DX201" i="3"/>
  <c r="BL201" i="3" s="1"/>
  <c r="AF198" i="3"/>
  <c r="BM208" i="3"/>
  <c r="AD215" i="3"/>
  <c r="AF215" i="3"/>
  <c r="AC215" i="3"/>
  <c r="AJ215" i="3" s="1"/>
  <c r="DX202" i="3"/>
  <c r="BL202" i="3" s="1"/>
  <c r="BM202" i="3"/>
  <c r="AD206" i="3"/>
  <c r="AC206" i="3"/>
  <c r="AJ206" i="3" s="1"/>
  <c r="DX206" i="3"/>
  <c r="BL206" i="3" s="1"/>
  <c r="BM207" i="3"/>
  <c r="AF213" i="3"/>
  <c r="AC213" i="3"/>
  <c r="AJ213" i="3" s="1"/>
  <c r="BM201" i="3"/>
  <c r="DX204" i="3"/>
  <c r="BL204" i="3" s="1"/>
  <c r="AF205" i="3"/>
  <c r="AD205" i="3"/>
  <c r="DX207" i="3"/>
  <c r="BL207" i="3" s="1"/>
  <c r="AF209" i="3"/>
  <c r="AF210" i="3"/>
  <c r="AD210" i="3"/>
  <c r="AC210" i="3"/>
  <c r="AJ210" i="3" s="1"/>
  <c r="DX210" i="3"/>
  <c r="BL210" i="3" s="1"/>
  <c r="BM211" i="3"/>
  <c r="BM212" i="3"/>
  <c r="AF217" i="3"/>
  <c r="AC217" i="3"/>
  <c r="AJ217" i="3" s="1"/>
  <c r="AD217" i="3"/>
  <c r="DX214" i="3"/>
  <c r="BL214" i="3" s="1"/>
  <c r="BM205" i="3"/>
  <c r="AC209" i="3"/>
  <c r="AJ209" i="3" s="1"/>
  <c r="DX213" i="3"/>
  <c r="BL213" i="3" s="1"/>
  <c r="BM216" i="3"/>
  <c r="DX217" i="3"/>
  <c r="BL217" i="3" s="1"/>
  <c r="AD219" i="3"/>
  <c r="AC219" i="3"/>
  <c r="AJ219" i="3" s="1"/>
  <c r="AF219" i="3"/>
  <c r="DX222" i="3"/>
  <c r="BL222" i="3" s="1"/>
  <c r="BM220" i="3"/>
  <c r="AD221" i="3"/>
  <c r="BM209" i="3"/>
  <c r="BM213" i="3"/>
  <c r="AC214" i="3"/>
  <c r="AJ214" i="3" s="1"/>
  <c r="BM217" i="3"/>
  <c r="AC218" i="3"/>
  <c r="AJ218" i="3" s="1"/>
  <c r="BM221" i="3"/>
  <c r="AC222" i="3"/>
  <c r="AJ222" i="3" s="1"/>
  <c r="AD214" i="3"/>
  <c r="AD218" i="3"/>
  <c r="AD222" i="3"/>
  <c r="BM222"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DQ63" i="3"/>
  <c r="DQ64" i="3"/>
  <c r="DQ65" i="3"/>
  <c r="DQ66" i="3"/>
  <c r="DQ67" i="3"/>
  <c r="DQ68" i="3"/>
  <c r="DQ69" i="3"/>
  <c r="DQ70" i="3"/>
  <c r="DQ71" i="3"/>
  <c r="DQ72" i="3"/>
  <c r="DQ73" i="3"/>
  <c r="DQ74" i="3"/>
  <c r="DQ75" i="3"/>
  <c r="DQ76" i="3"/>
  <c r="DQ77" i="3"/>
  <c r="DQ78" i="3"/>
  <c r="DQ79" i="3"/>
  <c r="DQ80" i="3"/>
  <c r="DQ81" i="3"/>
  <c r="DQ82" i="3"/>
  <c r="DQ83" i="3"/>
  <c r="DQ84" i="3"/>
  <c r="DQ85" i="3"/>
  <c r="DQ86" i="3"/>
  <c r="DQ87" i="3"/>
  <c r="DQ88" i="3"/>
  <c r="DQ89" i="3"/>
  <c r="DQ90" i="3"/>
  <c r="DQ91" i="3"/>
  <c r="DQ92" i="3"/>
  <c r="DQ93" i="3"/>
  <c r="DQ94" i="3"/>
  <c r="DQ95" i="3"/>
  <c r="DQ96" i="3"/>
  <c r="DQ97" i="3"/>
  <c r="DQ98" i="3"/>
  <c r="DQ99" i="3"/>
  <c r="DQ100" i="3"/>
  <c r="DQ101" i="3"/>
  <c r="DQ102" i="3"/>
  <c r="DQ103" i="3"/>
  <c r="DQ104" i="3"/>
  <c r="DQ105" i="3"/>
  <c r="DQ106" i="3"/>
  <c r="DQ107" i="3"/>
  <c r="DQ108" i="3"/>
  <c r="DQ109" i="3"/>
  <c r="DQ110" i="3"/>
  <c r="DQ111" i="3"/>
  <c r="DQ112" i="3"/>
  <c r="DQ113" i="3"/>
  <c r="DQ114" i="3"/>
  <c r="DQ115" i="3"/>
  <c r="DQ116" i="3"/>
  <c r="DQ117" i="3"/>
  <c r="DQ118" i="3"/>
  <c r="DQ119" i="3"/>
  <c r="DQ120" i="3"/>
  <c r="DQ121" i="3"/>
  <c r="DQ122" i="3"/>
  <c r="DQ123" i="3"/>
  <c r="DQ24" i="3"/>
  <c r="DI25" i="3"/>
  <c r="DI26" i="3"/>
  <c r="DI27" i="3"/>
  <c r="DI28" i="3"/>
  <c r="DI29" i="3"/>
  <c r="DI30" i="3"/>
  <c r="DI31" i="3"/>
  <c r="DI32" i="3"/>
  <c r="DI33" i="3"/>
  <c r="DI34" i="3"/>
  <c r="DI35" i="3"/>
  <c r="DI36" i="3"/>
  <c r="DI37" i="3"/>
  <c r="DI38" i="3"/>
  <c r="DI39" i="3"/>
  <c r="DI40" i="3"/>
  <c r="DI41" i="3"/>
  <c r="DI42" i="3"/>
  <c r="DI43" i="3"/>
  <c r="DI44" i="3"/>
  <c r="DI45" i="3"/>
  <c r="DI46" i="3"/>
  <c r="DI47" i="3"/>
  <c r="DI48" i="3"/>
  <c r="DI49" i="3"/>
  <c r="DI50" i="3"/>
  <c r="DI51" i="3"/>
  <c r="DI52" i="3"/>
  <c r="DI53" i="3"/>
  <c r="DI54" i="3"/>
  <c r="DI55" i="3"/>
  <c r="DI56" i="3"/>
  <c r="DI57" i="3"/>
  <c r="DI58" i="3"/>
  <c r="DI59" i="3"/>
  <c r="DI60" i="3"/>
  <c r="DI61" i="3"/>
  <c r="DI62" i="3"/>
  <c r="DI63" i="3"/>
  <c r="DI64" i="3"/>
  <c r="DI65" i="3"/>
  <c r="DI66" i="3"/>
  <c r="DI67" i="3"/>
  <c r="DI68" i="3"/>
  <c r="DI69" i="3"/>
  <c r="DI70" i="3"/>
  <c r="DI71" i="3"/>
  <c r="DI72" i="3"/>
  <c r="DI73" i="3"/>
  <c r="DI74" i="3"/>
  <c r="DI75" i="3"/>
  <c r="DI76" i="3"/>
  <c r="DI77" i="3"/>
  <c r="DI78" i="3"/>
  <c r="DI79" i="3"/>
  <c r="DI80" i="3"/>
  <c r="DI81" i="3"/>
  <c r="DI82" i="3"/>
  <c r="DI83" i="3"/>
  <c r="DI84" i="3"/>
  <c r="DI85" i="3"/>
  <c r="DI86" i="3"/>
  <c r="DI87" i="3"/>
  <c r="DI88" i="3"/>
  <c r="DI89" i="3"/>
  <c r="DI90" i="3"/>
  <c r="DI91" i="3"/>
  <c r="DI92" i="3"/>
  <c r="DI93" i="3"/>
  <c r="DI94" i="3"/>
  <c r="DI95" i="3"/>
  <c r="DI96" i="3"/>
  <c r="DI97" i="3"/>
  <c r="DI98" i="3"/>
  <c r="DI99" i="3"/>
  <c r="DI100" i="3"/>
  <c r="DI101" i="3"/>
  <c r="DI102" i="3"/>
  <c r="DI103" i="3"/>
  <c r="DI104" i="3"/>
  <c r="DI105" i="3"/>
  <c r="DI106" i="3"/>
  <c r="DI107" i="3"/>
  <c r="DI108" i="3"/>
  <c r="DI109" i="3"/>
  <c r="DI110" i="3"/>
  <c r="DI111" i="3"/>
  <c r="DI112" i="3"/>
  <c r="DI113" i="3"/>
  <c r="DI114" i="3"/>
  <c r="DI115" i="3"/>
  <c r="DI116" i="3"/>
  <c r="DI117" i="3"/>
  <c r="DI118" i="3"/>
  <c r="DI119" i="3"/>
  <c r="DI120" i="3"/>
  <c r="DI121" i="3"/>
  <c r="DI122" i="3"/>
  <c r="DI123" i="3"/>
  <c r="DI24" i="3"/>
  <c r="DF25" i="3"/>
  <c r="DF26" i="3"/>
  <c r="DF27" i="3"/>
  <c r="DF28" i="3"/>
  <c r="DF29" i="3"/>
  <c r="DF30" i="3"/>
  <c r="DF31" i="3"/>
  <c r="DF32" i="3"/>
  <c r="DF33" i="3"/>
  <c r="DF34" i="3"/>
  <c r="DF35" i="3"/>
  <c r="DF36" i="3"/>
  <c r="DF37" i="3"/>
  <c r="DF38" i="3"/>
  <c r="DF39" i="3"/>
  <c r="DF40" i="3"/>
  <c r="DF41" i="3"/>
  <c r="DF42" i="3"/>
  <c r="DF43" i="3"/>
  <c r="DF44" i="3"/>
  <c r="DF45" i="3"/>
  <c r="DF46" i="3"/>
  <c r="DF47" i="3"/>
  <c r="DF48" i="3"/>
  <c r="DF49" i="3"/>
  <c r="DF50" i="3"/>
  <c r="DF51" i="3"/>
  <c r="DF52" i="3"/>
  <c r="DF53" i="3"/>
  <c r="DF54" i="3"/>
  <c r="DF55" i="3"/>
  <c r="DF56" i="3"/>
  <c r="DF57" i="3"/>
  <c r="DF58" i="3"/>
  <c r="DF59" i="3"/>
  <c r="DF60" i="3"/>
  <c r="DF61" i="3"/>
  <c r="DF62" i="3"/>
  <c r="DF63" i="3"/>
  <c r="DF64" i="3"/>
  <c r="DF65" i="3"/>
  <c r="DF66" i="3"/>
  <c r="DF67" i="3"/>
  <c r="DF68" i="3"/>
  <c r="DF69" i="3"/>
  <c r="DF70" i="3"/>
  <c r="DF71" i="3"/>
  <c r="DF72" i="3"/>
  <c r="DF73" i="3"/>
  <c r="DF74" i="3"/>
  <c r="DF75" i="3"/>
  <c r="DF76" i="3"/>
  <c r="DF77" i="3"/>
  <c r="DF78" i="3"/>
  <c r="DF79" i="3"/>
  <c r="DF80" i="3"/>
  <c r="DF81" i="3"/>
  <c r="DF82" i="3"/>
  <c r="DF83" i="3"/>
  <c r="DF84" i="3"/>
  <c r="DF85" i="3"/>
  <c r="DF86" i="3"/>
  <c r="DF87" i="3"/>
  <c r="DF88" i="3"/>
  <c r="DF89" i="3"/>
  <c r="DF90" i="3"/>
  <c r="DF91" i="3"/>
  <c r="DF92" i="3"/>
  <c r="DF93" i="3"/>
  <c r="DF94" i="3"/>
  <c r="DF95" i="3"/>
  <c r="DF96" i="3"/>
  <c r="DF97" i="3"/>
  <c r="DF98" i="3"/>
  <c r="DF99" i="3"/>
  <c r="DF100" i="3"/>
  <c r="DF101" i="3"/>
  <c r="DF102" i="3"/>
  <c r="DF103" i="3"/>
  <c r="DF104" i="3"/>
  <c r="DF105" i="3"/>
  <c r="DF106" i="3"/>
  <c r="DF107" i="3"/>
  <c r="DF108" i="3"/>
  <c r="DF109" i="3"/>
  <c r="DF110" i="3"/>
  <c r="DF111" i="3"/>
  <c r="DF112" i="3"/>
  <c r="DF113" i="3"/>
  <c r="DF114" i="3"/>
  <c r="DF115" i="3"/>
  <c r="DF116" i="3"/>
  <c r="DF117" i="3"/>
  <c r="DF118" i="3"/>
  <c r="DF119" i="3"/>
  <c r="DF120" i="3"/>
  <c r="DF121" i="3"/>
  <c r="DF122" i="3"/>
  <c r="DF123" i="3"/>
  <c r="DF24" i="3"/>
  <c r="DD25" i="3"/>
  <c r="DD26" i="3"/>
  <c r="DD27" i="3"/>
  <c r="DD28" i="3"/>
  <c r="DD29" i="3"/>
  <c r="DD30" i="3"/>
  <c r="DD31" i="3"/>
  <c r="DD32" i="3"/>
  <c r="DD33" i="3"/>
  <c r="DD34" i="3"/>
  <c r="DD35" i="3"/>
  <c r="DD36" i="3"/>
  <c r="DD37" i="3"/>
  <c r="DD38" i="3"/>
  <c r="DD39" i="3"/>
  <c r="DD40" i="3"/>
  <c r="DD41" i="3"/>
  <c r="DD42" i="3"/>
  <c r="DD43" i="3"/>
  <c r="DD44" i="3"/>
  <c r="DD45" i="3"/>
  <c r="DD46" i="3"/>
  <c r="DD47" i="3"/>
  <c r="DD48" i="3"/>
  <c r="DD49" i="3"/>
  <c r="DD50" i="3"/>
  <c r="DD51" i="3"/>
  <c r="DD52" i="3"/>
  <c r="DD53" i="3"/>
  <c r="DD54" i="3"/>
  <c r="DD55" i="3"/>
  <c r="DD56" i="3"/>
  <c r="DD57" i="3"/>
  <c r="DD58" i="3"/>
  <c r="DD59" i="3"/>
  <c r="DD60" i="3"/>
  <c r="DD61" i="3"/>
  <c r="DD62" i="3"/>
  <c r="DD63" i="3"/>
  <c r="DD64" i="3"/>
  <c r="DD65" i="3"/>
  <c r="DD66" i="3"/>
  <c r="DD67" i="3"/>
  <c r="DD68" i="3"/>
  <c r="DD69" i="3"/>
  <c r="DD70" i="3"/>
  <c r="DD71" i="3"/>
  <c r="DD72" i="3"/>
  <c r="DD73" i="3"/>
  <c r="DD74" i="3"/>
  <c r="DD75" i="3"/>
  <c r="DD76" i="3"/>
  <c r="DD77" i="3"/>
  <c r="DD78" i="3"/>
  <c r="DD79" i="3"/>
  <c r="DD80" i="3"/>
  <c r="DD81" i="3"/>
  <c r="DD82" i="3"/>
  <c r="DD83" i="3"/>
  <c r="DD84" i="3"/>
  <c r="DD85" i="3"/>
  <c r="DD86" i="3"/>
  <c r="DD87" i="3"/>
  <c r="DD88" i="3"/>
  <c r="DD89" i="3"/>
  <c r="DD90" i="3"/>
  <c r="DD91" i="3"/>
  <c r="DD92" i="3"/>
  <c r="DD93" i="3"/>
  <c r="DD94" i="3"/>
  <c r="DD95" i="3"/>
  <c r="DD96" i="3"/>
  <c r="DD97" i="3"/>
  <c r="DD98" i="3"/>
  <c r="DD99" i="3"/>
  <c r="DD100" i="3"/>
  <c r="DD101" i="3"/>
  <c r="DD102" i="3"/>
  <c r="DD103" i="3"/>
  <c r="DD104" i="3"/>
  <c r="DD105" i="3"/>
  <c r="DD106" i="3"/>
  <c r="DD107" i="3"/>
  <c r="DD108" i="3"/>
  <c r="DD109" i="3"/>
  <c r="DD110" i="3"/>
  <c r="DD111" i="3"/>
  <c r="DD112" i="3"/>
  <c r="DD113" i="3"/>
  <c r="DD114" i="3"/>
  <c r="DD115" i="3"/>
  <c r="DD116" i="3"/>
  <c r="DD117" i="3"/>
  <c r="DD118" i="3"/>
  <c r="DD119" i="3"/>
  <c r="DD120" i="3"/>
  <c r="DD121" i="3"/>
  <c r="DD122" i="3"/>
  <c r="DD123" i="3"/>
  <c r="DD24" i="3"/>
  <c r="DC25" i="3"/>
  <c r="DC26" i="3"/>
  <c r="DC27" i="3"/>
  <c r="DC28" i="3"/>
  <c r="DC29" i="3"/>
  <c r="DC30" i="3"/>
  <c r="DC31" i="3"/>
  <c r="DC32" i="3"/>
  <c r="DC33" i="3"/>
  <c r="DC34" i="3"/>
  <c r="DC35" i="3"/>
  <c r="DC36" i="3"/>
  <c r="DC37" i="3"/>
  <c r="DC38" i="3"/>
  <c r="DC39" i="3"/>
  <c r="DC40" i="3"/>
  <c r="DC41" i="3"/>
  <c r="DC42" i="3"/>
  <c r="DC43" i="3"/>
  <c r="DC44" i="3"/>
  <c r="DC45" i="3"/>
  <c r="DC46" i="3"/>
  <c r="DC47" i="3"/>
  <c r="DC48" i="3"/>
  <c r="DC49" i="3"/>
  <c r="DC50" i="3"/>
  <c r="DC51" i="3"/>
  <c r="DC52" i="3"/>
  <c r="DC53" i="3"/>
  <c r="DC54" i="3"/>
  <c r="DC55" i="3"/>
  <c r="DC56" i="3"/>
  <c r="DC57" i="3"/>
  <c r="DC58" i="3"/>
  <c r="DC59" i="3"/>
  <c r="DC60" i="3"/>
  <c r="DC61" i="3"/>
  <c r="DC62" i="3"/>
  <c r="DC63" i="3"/>
  <c r="DC64" i="3"/>
  <c r="DC65" i="3"/>
  <c r="DC66" i="3"/>
  <c r="DC67" i="3"/>
  <c r="DC68" i="3"/>
  <c r="DC69" i="3"/>
  <c r="DC70" i="3"/>
  <c r="DC71" i="3"/>
  <c r="DC72" i="3"/>
  <c r="DC73" i="3"/>
  <c r="DC74" i="3"/>
  <c r="DC75" i="3"/>
  <c r="DC76" i="3"/>
  <c r="DC77" i="3"/>
  <c r="DC78" i="3"/>
  <c r="DC79" i="3"/>
  <c r="DC80" i="3"/>
  <c r="DC81" i="3"/>
  <c r="DC82" i="3"/>
  <c r="DC83" i="3"/>
  <c r="DC84" i="3"/>
  <c r="DC85" i="3"/>
  <c r="DC86" i="3"/>
  <c r="DC87" i="3"/>
  <c r="DC88" i="3"/>
  <c r="DC89" i="3"/>
  <c r="DC90" i="3"/>
  <c r="DC91" i="3"/>
  <c r="DC92" i="3"/>
  <c r="DC93" i="3"/>
  <c r="DC94" i="3"/>
  <c r="DC95" i="3"/>
  <c r="DC96" i="3"/>
  <c r="DC97" i="3"/>
  <c r="DC98" i="3"/>
  <c r="DC99" i="3"/>
  <c r="DC100" i="3"/>
  <c r="DC101" i="3"/>
  <c r="DC102" i="3"/>
  <c r="DC103" i="3"/>
  <c r="DC104" i="3"/>
  <c r="DC105" i="3"/>
  <c r="DC106" i="3"/>
  <c r="DC107" i="3"/>
  <c r="DC108" i="3"/>
  <c r="DC109" i="3"/>
  <c r="DC110" i="3"/>
  <c r="DC111" i="3"/>
  <c r="DC112" i="3"/>
  <c r="DC113" i="3"/>
  <c r="DC114" i="3"/>
  <c r="DC115" i="3"/>
  <c r="DC116" i="3"/>
  <c r="DC117" i="3"/>
  <c r="DC118" i="3"/>
  <c r="DC119" i="3"/>
  <c r="DC120" i="3"/>
  <c r="DC121" i="3"/>
  <c r="DC122" i="3"/>
  <c r="DC123" i="3"/>
  <c r="DC24" i="3"/>
  <c r="DB34" i="3"/>
  <c r="DB35" i="3"/>
  <c r="DB36" i="3"/>
  <c r="DB37" i="3"/>
  <c r="DB38" i="3"/>
  <c r="DB39" i="3"/>
  <c r="DB40" i="3"/>
  <c r="DB41" i="3"/>
  <c r="DB42" i="3"/>
  <c r="DB43" i="3"/>
  <c r="DB44" i="3"/>
  <c r="DB45" i="3"/>
  <c r="DB46" i="3"/>
  <c r="DB47" i="3"/>
  <c r="DB48" i="3"/>
  <c r="DB49" i="3"/>
  <c r="DB50" i="3"/>
  <c r="DB51" i="3"/>
  <c r="DB52" i="3"/>
  <c r="DB53" i="3"/>
  <c r="DB54" i="3"/>
  <c r="DB55" i="3"/>
  <c r="DB56" i="3"/>
  <c r="DB57" i="3"/>
  <c r="DB58" i="3"/>
  <c r="DB59" i="3"/>
  <c r="DB60" i="3"/>
  <c r="DB61" i="3"/>
  <c r="DB62" i="3"/>
  <c r="DB63" i="3"/>
  <c r="DB64" i="3"/>
  <c r="DB65" i="3"/>
  <c r="DB66" i="3"/>
  <c r="DB67" i="3"/>
  <c r="DB68" i="3"/>
  <c r="DB69" i="3"/>
  <c r="DB70" i="3"/>
  <c r="DB71" i="3"/>
  <c r="DB72" i="3"/>
  <c r="DB73" i="3"/>
  <c r="DB74" i="3"/>
  <c r="DB75" i="3"/>
  <c r="DB76" i="3"/>
  <c r="DB77" i="3"/>
  <c r="DB78" i="3"/>
  <c r="DB79" i="3"/>
  <c r="DB80" i="3"/>
  <c r="DB81" i="3"/>
  <c r="DB82" i="3"/>
  <c r="DB83" i="3"/>
  <c r="DB84" i="3"/>
  <c r="DB85" i="3"/>
  <c r="DB86" i="3"/>
  <c r="DB87" i="3"/>
  <c r="DB88" i="3"/>
  <c r="DB89" i="3"/>
  <c r="DB90" i="3"/>
  <c r="DB91" i="3"/>
  <c r="DB92" i="3"/>
  <c r="DB93" i="3"/>
  <c r="DB94" i="3"/>
  <c r="DB95" i="3"/>
  <c r="DB96" i="3"/>
  <c r="DB97" i="3"/>
  <c r="DB98" i="3"/>
  <c r="DB99" i="3"/>
  <c r="DB100" i="3"/>
  <c r="DB101" i="3"/>
  <c r="DB102" i="3"/>
  <c r="DB103" i="3"/>
  <c r="DB104" i="3"/>
  <c r="DB105" i="3"/>
  <c r="DB106" i="3"/>
  <c r="DB107" i="3"/>
  <c r="DB108" i="3"/>
  <c r="DB109" i="3"/>
  <c r="DB110" i="3"/>
  <c r="DB111" i="3"/>
  <c r="DB112" i="3"/>
  <c r="DB113" i="3"/>
  <c r="DB114" i="3"/>
  <c r="DB115" i="3"/>
  <c r="DB116" i="3"/>
  <c r="DB117" i="3"/>
  <c r="DB118" i="3"/>
  <c r="DB119" i="3"/>
  <c r="DB120" i="3"/>
  <c r="DB121" i="3"/>
  <c r="DB122" i="3"/>
  <c r="DB123" i="3"/>
  <c r="DA34" i="3"/>
  <c r="DA35" i="3"/>
  <c r="DA36" i="3"/>
  <c r="DA37" i="3"/>
  <c r="DA38" i="3"/>
  <c r="DA39" i="3"/>
  <c r="DA40" i="3"/>
  <c r="DA41" i="3"/>
  <c r="DA42" i="3"/>
  <c r="DA43" i="3"/>
  <c r="DA44" i="3"/>
  <c r="DA45" i="3"/>
  <c r="DA46" i="3"/>
  <c r="DA47" i="3"/>
  <c r="DA48" i="3"/>
  <c r="DA49" i="3"/>
  <c r="DA50" i="3"/>
  <c r="DA51" i="3"/>
  <c r="DA52" i="3"/>
  <c r="DA53" i="3"/>
  <c r="DA54" i="3"/>
  <c r="DA55" i="3"/>
  <c r="DA56" i="3"/>
  <c r="DA57" i="3"/>
  <c r="DA58" i="3"/>
  <c r="DA59" i="3"/>
  <c r="DA60" i="3"/>
  <c r="DA61" i="3"/>
  <c r="DA62" i="3"/>
  <c r="DA63" i="3"/>
  <c r="DA64" i="3"/>
  <c r="DA65" i="3"/>
  <c r="DA66" i="3"/>
  <c r="DA67" i="3"/>
  <c r="DA68" i="3"/>
  <c r="DA69" i="3"/>
  <c r="DA70" i="3"/>
  <c r="DA71" i="3"/>
  <c r="DA72" i="3"/>
  <c r="DA73" i="3"/>
  <c r="DA74" i="3"/>
  <c r="DA75" i="3"/>
  <c r="DA76" i="3"/>
  <c r="DA77" i="3"/>
  <c r="DA78" i="3"/>
  <c r="DA79" i="3"/>
  <c r="DA80" i="3"/>
  <c r="DA81" i="3"/>
  <c r="DA82" i="3"/>
  <c r="DA83" i="3"/>
  <c r="DA84" i="3"/>
  <c r="DA85" i="3"/>
  <c r="DA86" i="3"/>
  <c r="DA87" i="3"/>
  <c r="DA88" i="3"/>
  <c r="DA89" i="3"/>
  <c r="DA90" i="3"/>
  <c r="DA91" i="3"/>
  <c r="DA92" i="3"/>
  <c r="DA93" i="3"/>
  <c r="DA94" i="3"/>
  <c r="DA95" i="3"/>
  <c r="DA96" i="3"/>
  <c r="DA97" i="3"/>
  <c r="DA98" i="3"/>
  <c r="DA99" i="3"/>
  <c r="DA100" i="3"/>
  <c r="DA101" i="3"/>
  <c r="DA102" i="3"/>
  <c r="DA103" i="3"/>
  <c r="DA104" i="3"/>
  <c r="DA105" i="3"/>
  <c r="DA106" i="3"/>
  <c r="DA107" i="3"/>
  <c r="DA108" i="3"/>
  <c r="DA109" i="3"/>
  <c r="DA110" i="3"/>
  <c r="DA111" i="3"/>
  <c r="DA112" i="3"/>
  <c r="DA113" i="3"/>
  <c r="DA114" i="3"/>
  <c r="DA115" i="3"/>
  <c r="DA116" i="3"/>
  <c r="DA117" i="3"/>
  <c r="DA118" i="3"/>
  <c r="DA119" i="3"/>
  <c r="DA120" i="3"/>
  <c r="DA121" i="3"/>
  <c r="DA122" i="3"/>
  <c r="DA123" i="3"/>
  <c r="DA25" i="3"/>
  <c r="DA26" i="3"/>
  <c r="DA27" i="3"/>
  <c r="DA28" i="3"/>
  <c r="DA29" i="3"/>
  <c r="DA30" i="3"/>
  <c r="DA31" i="3"/>
  <c r="DA32" i="3"/>
  <c r="DA33" i="3"/>
  <c r="DB25" i="3"/>
  <c r="DB26" i="3"/>
  <c r="DB27" i="3"/>
  <c r="DB28" i="3"/>
  <c r="DB29" i="3"/>
  <c r="DB30" i="3"/>
  <c r="DB31" i="3"/>
  <c r="DB32" i="3"/>
  <c r="DB33" i="3"/>
  <c r="DB24" i="3"/>
  <c r="DA24" i="3"/>
  <c r="AK194" i="3" l="1"/>
  <c r="AL194" i="3" s="1"/>
  <c r="AG192" i="3"/>
  <c r="AK172" i="3"/>
  <c r="AL172" i="3" s="1"/>
  <c r="AK125" i="3"/>
  <c r="AL125" i="3"/>
  <c r="AK153" i="3"/>
  <c r="AL153" i="3" s="1"/>
  <c r="AG149" i="3"/>
  <c r="AK135" i="3"/>
  <c r="AL135" i="3" s="1"/>
  <c r="AK152" i="3"/>
  <c r="AL152" i="3" s="1"/>
  <c r="AK195" i="3"/>
  <c r="AL195" i="3"/>
  <c r="AG170" i="3"/>
  <c r="AG168" i="3"/>
  <c r="AG134" i="3"/>
  <c r="AK211" i="3"/>
  <c r="AL211" i="3" s="1"/>
  <c r="AL130" i="3"/>
  <c r="CQ127" i="3"/>
  <c r="AJ127" i="3"/>
  <c r="AG183" i="3"/>
  <c r="AK191" i="3"/>
  <c r="AL191" i="3"/>
  <c r="AK140" i="3"/>
  <c r="AL140" i="3" s="1"/>
  <c r="AG129" i="3"/>
  <c r="AG201" i="3"/>
  <c r="AK151" i="3"/>
  <c r="AL151" i="3" s="1"/>
  <c r="AG176" i="3"/>
  <c r="AG138" i="3"/>
  <c r="AK163" i="3"/>
  <c r="AL163" i="3" s="1"/>
  <c r="AG198" i="3"/>
  <c r="AK150" i="3"/>
  <c r="AL150" i="3" s="1"/>
  <c r="AG209" i="3"/>
  <c r="AK173" i="3"/>
  <c r="AL173" i="3" s="1"/>
  <c r="CQ173" i="3"/>
  <c r="AJ173" i="3"/>
  <c r="AK141" i="3"/>
  <c r="AL141" i="3"/>
  <c r="AL199" i="3"/>
  <c r="AG179" i="3"/>
  <c r="AG127" i="3"/>
  <c r="CQ180" i="3"/>
  <c r="AJ180" i="3"/>
  <c r="AK203" i="3"/>
  <c r="AL203" i="3" s="1"/>
  <c r="AK197" i="3"/>
  <c r="AL197" i="3" s="1"/>
  <c r="AG187" i="3"/>
  <c r="AK220" i="3"/>
  <c r="AL220" i="3" s="1"/>
  <c r="AG212" i="3"/>
  <c r="AG204" i="3"/>
  <c r="AK137" i="3"/>
  <c r="AL137" i="3"/>
  <c r="AL161" i="3"/>
  <c r="AG180" i="3"/>
  <c r="AK126" i="3"/>
  <c r="AL126" i="3" s="1"/>
  <c r="AG185" i="3"/>
  <c r="CQ183" i="3"/>
  <c r="AJ183" i="3"/>
  <c r="AG208" i="3"/>
  <c r="AK159" i="3"/>
  <c r="AL159" i="3" s="1"/>
  <c r="CQ198" i="3"/>
  <c r="AJ198" i="3"/>
  <c r="AK216" i="3"/>
  <c r="AL216" i="3" s="1"/>
  <c r="AG132" i="3"/>
  <c r="AG193" i="3"/>
  <c r="AK223" i="3"/>
  <c r="AL223" i="3" s="1"/>
  <c r="AG184" i="3"/>
  <c r="AK213" i="3"/>
  <c r="AL213" i="3" s="1"/>
  <c r="AG195" i="3"/>
  <c r="AY473" i="3"/>
  <c r="AY521" i="3"/>
  <c r="AY483" i="3"/>
  <c r="AY450" i="3"/>
  <c r="AY454" i="3"/>
  <c r="AY436" i="3"/>
  <c r="AY515" i="3"/>
  <c r="AY264" i="3"/>
  <c r="AY335" i="3"/>
  <c r="AY419" i="3"/>
  <c r="AY366" i="3"/>
  <c r="AY284" i="3"/>
  <c r="AY304" i="3"/>
  <c r="AY280" i="3"/>
  <c r="AY232" i="3"/>
  <c r="AY292" i="3"/>
  <c r="AY345" i="3"/>
  <c r="AY385" i="3"/>
  <c r="AY370" i="3"/>
  <c r="AY293" i="3"/>
  <c r="AY312" i="3"/>
  <c r="AY384" i="3"/>
  <c r="AY380" i="3"/>
  <c r="AY261" i="3"/>
  <c r="AY258" i="3"/>
  <c r="AY353" i="3"/>
  <c r="AY341" i="3"/>
  <c r="AY377" i="3"/>
  <c r="AY467" i="3"/>
  <c r="AY424" i="3"/>
  <c r="AY492" i="3"/>
  <c r="AY470" i="3"/>
  <c r="AY504" i="3"/>
  <c r="AY455" i="3"/>
  <c r="AY383" i="3"/>
  <c r="AY425" i="3"/>
  <c r="AY523" i="3"/>
  <c r="AY271" i="3"/>
  <c r="AY460" i="3"/>
  <c r="AY519" i="3"/>
  <c r="AY423" i="3"/>
  <c r="AY249" i="3"/>
  <c r="AY374" i="3"/>
  <c r="AY343" i="3"/>
  <c r="AY236" i="3"/>
  <c r="AY363" i="3"/>
  <c r="AY244" i="3"/>
  <c r="AY247" i="3"/>
  <c r="AY372" i="3"/>
  <c r="AY294" i="3"/>
  <c r="AY305" i="3"/>
  <c r="AY390" i="3"/>
  <c r="AY256" i="3"/>
  <c r="AY391" i="3"/>
  <c r="AY267" i="3"/>
  <c r="AY356" i="3"/>
  <c r="AY396" i="3"/>
  <c r="AY418" i="3"/>
  <c r="AY327" i="3"/>
  <c r="AY397" i="3"/>
  <c r="AY231" i="3"/>
  <c r="AY300" i="3"/>
  <c r="AY357" i="3"/>
  <c r="AY444" i="3"/>
  <c r="AY488" i="3"/>
  <c r="AY471" i="3"/>
  <c r="AY438" i="3"/>
  <c r="AY498" i="3"/>
  <c r="AY463" i="3"/>
  <c r="AY468" i="3"/>
  <c r="AY268" i="3"/>
  <c r="AY394" i="3"/>
  <c r="AY428" i="3"/>
  <c r="AY379" i="3"/>
  <c r="AY240" i="3"/>
  <c r="AY387" i="3"/>
  <c r="AY349" i="3"/>
  <c r="AY229" i="3"/>
  <c r="AY278" i="3"/>
  <c r="AY243" i="3"/>
  <c r="AY378" i="3"/>
  <c r="AY295" i="3"/>
  <c r="AY338" i="3"/>
  <c r="AY235" i="3"/>
  <c r="AY315" i="3"/>
  <c r="AY308" i="3"/>
  <c r="AY435" i="3"/>
  <c r="AY453" i="3"/>
  <c r="AY495" i="3"/>
  <c r="AY432" i="3"/>
  <c r="AY499" i="3"/>
  <c r="AY348" i="3"/>
  <c r="AY426" i="3"/>
  <c r="AY485" i="3"/>
  <c r="AY464" i="3"/>
  <c r="AY512" i="3"/>
  <c r="AY269" i="3"/>
  <c r="AY328" i="3"/>
  <c r="AY228" i="3"/>
  <c r="AY417" i="3"/>
  <c r="AY422" i="3"/>
  <c r="AY413" i="3"/>
  <c r="AY290" i="3"/>
  <c r="AY365" i="3"/>
  <c r="AY411" i="3"/>
  <c r="AY250" i="3"/>
  <c r="AY412" i="3"/>
  <c r="AY233" i="3"/>
  <c r="AY399" i="3"/>
  <c r="AY361" i="3"/>
  <c r="AY392" i="3"/>
  <c r="AY297" i="3"/>
  <c r="AY309" i="3"/>
  <c r="AY344" i="3"/>
  <c r="AY239" i="3"/>
  <c r="AY285" i="3"/>
  <c r="AY316" i="3"/>
  <c r="AY376" i="3"/>
  <c r="AY364" i="3"/>
  <c r="AY382" i="3"/>
  <c r="AY514" i="3"/>
  <c r="AY458" i="3"/>
  <c r="AY431" i="3"/>
  <c r="AY472" i="3"/>
  <c r="AY477" i="3"/>
  <c r="AY506" i="3"/>
  <c r="AY441" i="3"/>
  <c r="AY224" i="3"/>
  <c r="AY225" i="3"/>
  <c r="AY354" i="3"/>
  <c r="AY252" i="3"/>
  <c r="AY281" i="3"/>
  <c r="AY323" i="3"/>
  <c r="AY237" i="3"/>
  <c r="AY333" i="3"/>
  <c r="AY346" i="3"/>
  <c r="AY352" i="3"/>
  <c r="AY230" i="3"/>
  <c r="AY311" i="3"/>
  <c r="AY395" i="3"/>
  <c r="AY317" i="3"/>
  <c r="AY398" i="3"/>
  <c r="AY319" i="3"/>
  <c r="AY368" i="3"/>
  <c r="AY393" i="3"/>
  <c r="AY446" i="3"/>
  <c r="AY452" i="3"/>
  <c r="AY443" i="3"/>
  <c r="AY511" i="3"/>
  <c r="AY226" i="3"/>
  <c r="AY482" i="3"/>
  <c r="AY457" i="3"/>
  <c r="AY283" i="3"/>
  <c r="AY257" i="3"/>
  <c r="AY179" i="3"/>
  <c r="AY318" i="3"/>
  <c r="AY263" i="3"/>
  <c r="AY313" i="3"/>
  <c r="AY342" i="3"/>
  <c r="AY241" i="3"/>
  <c r="AY260" i="3"/>
  <c r="AY358" i="3"/>
  <c r="AY360" i="3"/>
  <c r="AY410" i="3"/>
  <c r="AY275" i="3"/>
  <c r="AY355" i="3"/>
  <c r="AY389" i="3"/>
  <c r="AY234" i="3"/>
  <c r="AY400" i="3"/>
  <c r="AY416" i="3"/>
  <c r="AY324" i="3"/>
  <c r="AY298" i="3"/>
  <c r="AY369" i="3"/>
  <c r="AY401" i="3"/>
  <c r="AY502" i="3"/>
  <c r="AY427" i="3"/>
  <c r="AY496" i="3"/>
  <c r="AY462" i="3"/>
  <c r="AY500" i="3"/>
  <c r="AY493" i="3"/>
  <c r="AY480" i="3"/>
  <c r="AY513" i="3"/>
  <c r="AY497" i="3"/>
  <c r="AY362" i="3"/>
  <c r="AY448" i="3"/>
  <c r="AY273" i="3"/>
  <c r="AY451" i="3"/>
  <c r="AY490" i="3"/>
  <c r="AY286" i="3"/>
  <c r="AY340" i="3"/>
  <c r="AY381" i="3"/>
  <c r="AY245" i="3"/>
  <c r="AY276" i="3"/>
  <c r="AY302" i="3"/>
  <c r="AY420" i="3"/>
  <c r="AY262" i="3"/>
  <c r="AY337" i="3"/>
  <c r="AY406" i="3"/>
  <c r="AY238" i="3"/>
  <c r="AY296" i="3"/>
  <c r="AY336" i="3"/>
  <c r="AY388" i="3"/>
  <c r="AY404" i="3"/>
  <c r="AY373" i="3"/>
  <c r="AY421" i="3"/>
  <c r="AY303" i="3"/>
  <c r="AY279" i="3"/>
  <c r="AY518" i="3"/>
  <c r="AY479" i="3"/>
  <c r="AY442" i="3"/>
  <c r="AY484" i="3"/>
  <c r="AY481" i="3"/>
  <c r="AY487" i="3"/>
  <c r="AY449" i="3"/>
  <c r="AY489" i="3"/>
  <c r="AY510" i="3"/>
  <c r="AY508" i="3"/>
  <c r="AY403" i="3"/>
  <c r="AY520" i="3"/>
  <c r="AY494" i="3"/>
  <c r="AY440" i="3"/>
  <c r="AY332" i="3"/>
  <c r="AY517" i="3"/>
  <c r="AY486" i="3"/>
  <c r="AG213" i="3"/>
  <c r="AG216" i="3"/>
  <c r="AG173" i="3"/>
  <c r="AK187" i="3"/>
  <c r="AL187" i="3" s="1"/>
  <c r="AG203" i="3"/>
  <c r="AG141" i="3"/>
  <c r="AG163" i="3"/>
  <c r="AK134" i="3"/>
  <c r="AL134" i="3" s="1"/>
  <c r="AK201" i="3"/>
  <c r="AL201" i="3" s="1"/>
  <c r="AK180" i="3"/>
  <c r="AL180" i="3" s="1"/>
  <c r="CQ266" i="3"/>
  <c r="AV266" i="3"/>
  <c r="V266" i="3" s="1"/>
  <c r="AV414" i="3"/>
  <c r="V414" i="3" s="1"/>
  <c r="AV320" i="3"/>
  <c r="V320" i="3" s="1"/>
  <c r="AV248" i="3"/>
  <c r="V248" i="3" s="1"/>
  <c r="CQ456" i="3"/>
  <c r="AV456" i="3"/>
  <c r="V456" i="3" s="1"/>
  <c r="AV433" i="3"/>
  <c r="V433" i="3" s="1"/>
  <c r="CQ452" i="3"/>
  <c r="CQ396" i="3"/>
  <c r="CQ521" i="3"/>
  <c r="AV371" i="3"/>
  <c r="V371" i="3" s="1"/>
  <c r="AV288" i="3"/>
  <c r="V288" i="3" s="1"/>
  <c r="AV386" i="3"/>
  <c r="V386" i="3" s="1"/>
  <c r="AV259" i="3"/>
  <c r="V259" i="3" s="1"/>
  <c r="AV367" i="3"/>
  <c r="V367" i="3" s="1"/>
  <c r="AV466" i="3"/>
  <c r="V466" i="3" s="1"/>
  <c r="AV434" i="3"/>
  <c r="V434" i="3" s="1"/>
  <c r="AV265" i="3"/>
  <c r="V265" i="3" s="1"/>
  <c r="CQ392" i="3"/>
  <c r="CQ513" i="3"/>
  <c r="CQ518" i="3"/>
  <c r="AV301" i="3"/>
  <c r="V301" i="3" s="1"/>
  <c r="AV277" i="3"/>
  <c r="V277" i="3" s="1"/>
  <c r="CQ246" i="3"/>
  <c r="AV246" i="3"/>
  <c r="V246" i="3" s="1"/>
  <c r="AV375" i="3"/>
  <c r="V375" i="3" s="1"/>
  <c r="AV459" i="3"/>
  <c r="V459" i="3" s="1"/>
  <c r="AV330" i="3"/>
  <c r="V330" i="3" s="1"/>
  <c r="CQ258" i="3"/>
  <c r="AV430" i="3"/>
  <c r="V430" i="3" s="1"/>
  <c r="AV255" i="3"/>
  <c r="V255" i="3" s="1"/>
  <c r="CQ281" i="3"/>
  <c r="CQ244" i="3"/>
  <c r="CQ267" i="3"/>
  <c r="AV331" i="3"/>
  <c r="V331" i="3" s="1"/>
  <c r="AV282" i="3"/>
  <c r="V282" i="3" s="1"/>
  <c r="AV447" i="3"/>
  <c r="V447" i="3" s="1"/>
  <c r="AV491" i="3"/>
  <c r="V491" i="3" s="1"/>
  <c r="AV347" i="3"/>
  <c r="V347" i="3" s="1"/>
  <c r="AV478" i="3"/>
  <c r="V478" i="3" s="1"/>
  <c r="CQ344" i="3"/>
  <c r="AV461" i="3"/>
  <c r="V461" i="3" s="1"/>
  <c r="CQ358" i="3"/>
  <c r="AV465" i="3"/>
  <c r="V465" i="3" s="1"/>
  <c r="CQ300" i="3"/>
  <c r="AV509" i="3"/>
  <c r="V509" i="3" s="1"/>
  <c r="CQ437" i="3"/>
  <c r="AV437" i="3"/>
  <c r="V437" i="3" s="1"/>
  <c r="CQ348" i="3"/>
  <c r="CQ343" i="3"/>
  <c r="CQ163" i="3"/>
  <c r="AV223" i="3"/>
  <c r="V223" i="3" s="1"/>
  <c r="AK149" i="3"/>
  <c r="AL149" i="3" s="1"/>
  <c r="AV351" i="3"/>
  <c r="V351" i="3" s="1"/>
  <c r="AV289" i="3"/>
  <c r="V289" i="3" s="1"/>
  <c r="AV270" i="3"/>
  <c r="V270" i="3" s="1"/>
  <c r="AV476" i="3"/>
  <c r="V476" i="3" s="1"/>
  <c r="AV439" i="3"/>
  <c r="V439" i="3" s="1"/>
  <c r="AV415" i="3"/>
  <c r="V415" i="3" s="1"/>
  <c r="AV242" i="3"/>
  <c r="V242" i="3" s="1"/>
  <c r="CQ376" i="3"/>
  <c r="CQ208" i="3"/>
  <c r="AG125" i="3"/>
  <c r="AV350" i="3"/>
  <c r="V350" i="3" s="1"/>
  <c r="CQ299" i="3"/>
  <c r="CQ455" i="3"/>
  <c r="AV310" i="3"/>
  <c r="V310" i="3" s="1"/>
  <c r="AV402" i="3"/>
  <c r="V402" i="3" s="1"/>
  <c r="AV339" i="3"/>
  <c r="V339" i="3" s="1"/>
  <c r="CQ405" i="3"/>
  <c r="AV405" i="3"/>
  <c r="V405" i="3" s="1"/>
  <c r="AV409" i="3"/>
  <c r="V409" i="3" s="1"/>
  <c r="AV507" i="3"/>
  <c r="V507" i="3" s="1"/>
  <c r="AV503" i="3"/>
  <c r="V503" i="3" s="1"/>
  <c r="AV522" i="3"/>
  <c r="V522" i="3" s="1"/>
  <c r="AV516" i="3"/>
  <c r="V516" i="3" s="1"/>
  <c r="CQ232" i="3"/>
  <c r="AV326" i="3"/>
  <c r="V326" i="3" s="1"/>
  <c r="CQ209" i="3"/>
  <c r="CQ213" i="3"/>
  <c r="CQ261" i="3"/>
  <c r="CQ338" i="3"/>
  <c r="CQ263" i="3"/>
  <c r="CQ357" i="3"/>
  <c r="CQ398" i="3"/>
  <c r="CQ314" i="3"/>
  <c r="CQ250" i="3"/>
  <c r="CQ256" i="3"/>
  <c r="AK209" i="3"/>
  <c r="AL209" i="3" s="1"/>
  <c r="CQ306" i="3"/>
  <c r="CQ475" i="3"/>
  <c r="CQ321" i="3"/>
  <c r="CQ292" i="3"/>
  <c r="CQ479" i="3"/>
  <c r="CQ260" i="3"/>
  <c r="CQ279" i="3"/>
  <c r="CQ187" i="3"/>
  <c r="CQ385" i="3"/>
  <c r="CQ125" i="3"/>
  <c r="CQ216" i="3"/>
  <c r="CQ141" i="3"/>
  <c r="CQ483" i="3"/>
  <c r="CQ361" i="3"/>
  <c r="CQ318" i="3"/>
  <c r="CQ179" i="3"/>
  <c r="AG172" i="3"/>
  <c r="CQ172" i="3" s="1"/>
  <c r="CQ322" i="3"/>
  <c r="CQ418" i="3"/>
  <c r="CQ257" i="3"/>
  <c r="CQ380" i="3"/>
  <c r="CQ399" i="3"/>
  <c r="CQ275" i="3"/>
  <c r="AK212" i="3"/>
  <c r="AL212" i="3" s="1"/>
  <c r="CQ212" i="3"/>
  <c r="CQ438" i="3"/>
  <c r="CQ355" i="3"/>
  <c r="CQ262" i="3"/>
  <c r="CQ411" i="3"/>
  <c r="CQ336" i="3"/>
  <c r="CQ426" i="3"/>
  <c r="AV161" i="3"/>
  <c r="V161" i="3" s="1"/>
  <c r="CQ134" i="3"/>
  <c r="CQ251" i="3"/>
  <c r="AV251" i="3"/>
  <c r="V251" i="3" s="1"/>
  <c r="CQ138" i="3"/>
  <c r="CQ407" i="3"/>
  <c r="AV407" i="3"/>
  <c r="V407" i="3" s="1"/>
  <c r="CQ325" i="3"/>
  <c r="AV325" i="3"/>
  <c r="V325" i="3" s="1"/>
  <c r="CQ227" i="3"/>
  <c r="AV227" i="3"/>
  <c r="V227" i="3" s="1"/>
  <c r="CQ287" i="3"/>
  <c r="AV287" i="3"/>
  <c r="V287" i="3" s="1"/>
  <c r="AV334" i="3"/>
  <c r="V334" i="3" s="1"/>
  <c r="CQ501" i="3"/>
  <c r="AV501" i="3"/>
  <c r="V501" i="3" s="1"/>
  <c r="AV274" i="3"/>
  <c r="V274" i="3" s="1"/>
  <c r="AV307" i="3"/>
  <c r="V307" i="3" s="1"/>
  <c r="AV475" i="3"/>
  <c r="V475" i="3" s="1"/>
  <c r="AV306" i="3"/>
  <c r="V306" i="3" s="1"/>
  <c r="CQ408" i="3"/>
  <c r="AV408" i="3"/>
  <c r="V408" i="3" s="1"/>
  <c r="CQ505" i="3"/>
  <c r="AV505" i="3"/>
  <c r="V505" i="3" s="1"/>
  <c r="AV314" i="3"/>
  <c r="V314" i="3" s="1"/>
  <c r="CQ253" i="3"/>
  <c r="AV253" i="3"/>
  <c r="V253" i="3" s="1"/>
  <c r="AV272" i="3"/>
  <c r="V272" i="3" s="1"/>
  <c r="AV322" i="3"/>
  <c r="V322" i="3" s="1"/>
  <c r="CQ469" i="3"/>
  <c r="AV469" i="3"/>
  <c r="V469" i="3" s="1"/>
  <c r="AV187" i="3"/>
  <c r="V187" i="3" s="1"/>
  <c r="AV321" i="3"/>
  <c r="V321" i="3" s="1"/>
  <c r="AV299" i="3"/>
  <c r="V299" i="3" s="1"/>
  <c r="CQ474" i="3"/>
  <c r="AV474" i="3"/>
  <c r="V474" i="3" s="1"/>
  <c r="CQ254" i="3"/>
  <c r="AV254" i="3"/>
  <c r="V254" i="3" s="1"/>
  <c r="CQ329" i="3"/>
  <c r="AV329" i="3"/>
  <c r="V329" i="3" s="1"/>
  <c r="CQ193" i="3"/>
  <c r="CQ168" i="3"/>
  <c r="CQ151" i="3"/>
  <c r="CQ184" i="3"/>
  <c r="CQ204" i="3"/>
  <c r="CQ176" i="3"/>
  <c r="CQ170" i="3"/>
  <c r="CQ203" i="3"/>
  <c r="CQ195" i="3"/>
  <c r="CQ192" i="3"/>
  <c r="CQ158" i="3"/>
  <c r="AV157" i="3"/>
  <c r="V157" i="3" s="1"/>
  <c r="CQ185" i="3"/>
  <c r="CQ136" i="3"/>
  <c r="AV159" i="3"/>
  <c r="V159" i="3" s="1"/>
  <c r="CQ201" i="3"/>
  <c r="CQ149" i="3"/>
  <c r="CQ132" i="3"/>
  <c r="AV186" i="3"/>
  <c r="V186" i="3" s="1"/>
  <c r="AV163" i="3"/>
  <c r="V163" i="3" s="1"/>
  <c r="AV180" i="3"/>
  <c r="V180" i="3" s="1"/>
  <c r="AV173" i="3"/>
  <c r="V173" i="3" s="1"/>
  <c r="AG135" i="3"/>
  <c r="AG197" i="3"/>
  <c r="AG150" i="3"/>
  <c r="CQ150" i="3" s="1"/>
  <c r="AG152" i="3"/>
  <c r="AG159" i="3"/>
  <c r="AG191" i="3"/>
  <c r="AG151" i="3"/>
  <c r="AK179" i="3"/>
  <c r="AL179" i="3" s="1"/>
  <c r="AK183" i="3"/>
  <c r="AL183" i="3" s="1"/>
  <c r="AK138" i="3"/>
  <c r="AL138" i="3" s="1"/>
  <c r="AK170" i="3"/>
  <c r="AL170" i="3" s="1"/>
  <c r="AK168" i="3"/>
  <c r="AL168" i="3" s="1"/>
  <c r="AG153" i="3"/>
  <c r="AV153" i="3" s="1"/>
  <c r="V153" i="3" s="1"/>
  <c r="AK198" i="3"/>
  <c r="AL198" i="3" s="1"/>
  <c r="AK208" i="3"/>
  <c r="AL208" i="3" s="1"/>
  <c r="AK184" i="3"/>
  <c r="AL184" i="3" s="1"/>
  <c r="AK185" i="3"/>
  <c r="AL185" i="3" s="1"/>
  <c r="AV134" i="3"/>
  <c r="V134" i="3" s="1"/>
  <c r="AK193" i="3"/>
  <c r="AL193" i="3" s="1"/>
  <c r="AV165" i="3"/>
  <c r="V165" i="3" s="1"/>
  <c r="AG211" i="3"/>
  <c r="AG223" i="3"/>
  <c r="CQ223" i="3" s="1"/>
  <c r="AK192" i="3"/>
  <c r="AL192" i="3" s="1"/>
  <c r="AK132" i="3"/>
  <c r="AL132" i="3" s="1"/>
  <c r="AK139" i="3"/>
  <c r="AL139" i="3" s="1"/>
  <c r="AG139" i="3"/>
  <c r="AV139" i="3" s="1"/>
  <c r="V139" i="3" s="1"/>
  <c r="AG126" i="3"/>
  <c r="CQ126" i="3" s="1"/>
  <c r="AK136" i="3"/>
  <c r="AL136" i="3" s="1"/>
  <c r="AG136" i="3"/>
  <c r="AG220" i="3"/>
  <c r="AG194" i="3"/>
  <c r="AK127" i="3"/>
  <c r="AL127" i="3" s="1"/>
  <c r="AG142" i="3"/>
  <c r="AV142" i="3" s="1"/>
  <c r="V142" i="3" s="1"/>
  <c r="AK142" i="3"/>
  <c r="AL142" i="3" s="1"/>
  <c r="AK129" i="3"/>
  <c r="AL129" i="3" s="1"/>
  <c r="AG147" i="3"/>
  <c r="AK147" i="3"/>
  <c r="AL147" i="3" s="1"/>
  <c r="AG148" i="3"/>
  <c r="CQ148" i="3" s="1"/>
  <c r="AK148" i="3"/>
  <c r="AL148" i="3" s="1"/>
  <c r="AG137" i="3"/>
  <c r="CQ137" i="3" s="1"/>
  <c r="AG162" i="3"/>
  <c r="AV162" i="3" s="1"/>
  <c r="V162" i="3" s="1"/>
  <c r="AK162" i="3"/>
  <c r="AL162" i="3" s="1"/>
  <c r="AG146" i="3"/>
  <c r="CQ146" i="3" s="1"/>
  <c r="AK146" i="3"/>
  <c r="AL146" i="3" s="1"/>
  <c r="AG156" i="3"/>
  <c r="AV156" i="3" s="1"/>
  <c r="V156" i="3" s="1"/>
  <c r="AK156" i="3"/>
  <c r="AL156" i="3" s="1"/>
  <c r="AG158" i="3"/>
  <c r="AK158" i="3"/>
  <c r="AL158" i="3" s="1"/>
  <c r="AK176" i="3"/>
  <c r="AL176" i="3" s="1"/>
  <c r="AK204" i="3"/>
  <c r="AL204" i="3" s="1"/>
  <c r="AG161" i="3"/>
  <c r="AK161" i="3"/>
  <c r="AV191" i="3"/>
  <c r="V191" i="3" s="1"/>
  <c r="AK207" i="3"/>
  <c r="AL207" i="3" s="1"/>
  <c r="AG207" i="3"/>
  <c r="AG160" i="3"/>
  <c r="CQ160" i="3" s="1"/>
  <c r="AK160" i="3"/>
  <c r="AL160" i="3" s="1"/>
  <c r="AG157" i="3"/>
  <c r="AK157" i="3"/>
  <c r="AL157" i="3" s="1"/>
  <c r="AK144" i="3"/>
  <c r="AL144" i="3" s="1"/>
  <c r="AG144" i="3"/>
  <c r="AV144" i="3" s="1"/>
  <c r="V144" i="3" s="1"/>
  <c r="AG155" i="3"/>
  <c r="AK155" i="3"/>
  <c r="AL155" i="3" s="1"/>
  <c r="AG140" i="3"/>
  <c r="AV140" i="3" s="1"/>
  <c r="V140" i="3" s="1"/>
  <c r="AG143" i="3"/>
  <c r="CQ143" i="3" s="1"/>
  <c r="AK143" i="3"/>
  <c r="AL143" i="3" s="1"/>
  <c r="AG167" i="3"/>
  <c r="CQ167" i="3" s="1"/>
  <c r="AK167" i="3"/>
  <c r="AL167" i="3" s="1"/>
  <c r="AG154" i="3"/>
  <c r="CQ154" i="3" s="1"/>
  <c r="AK154" i="3"/>
  <c r="AL154" i="3" s="1"/>
  <c r="AG145" i="3"/>
  <c r="CQ145" i="3" s="1"/>
  <c r="AK145" i="3"/>
  <c r="AL145" i="3" s="1"/>
  <c r="AK218" i="3"/>
  <c r="AL218" i="3" s="1"/>
  <c r="AG218" i="3"/>
  <c r="AV197" i="3"/>
  <c r="V197" i="3" s="1"/>
  <c r="AV168" i="3"/>
  <c r="V168" i="3" s="1"/>
  <c r="AV183" i="3"/>
  <c r="V183" i="3" s="1"/>
  <c r="AK175" i="3"/>
  <c r="AL175" i="3" s="1"/>
  <c r="AG175" i="3"/>
  <c r="AG164" i="3"/>
  <c r="AK164" i="3"/>
  <c r="AL164" i="3" s="1"/>
  <c r="AG169" i="3"/>
  <c r="CQ169" i="3" s="1"/>
  <c r="AK169" i="3"/>
  <c r="AL169" i="3" s="1"/>
  <c r="AK190" i="3"/>
  <c r="AL190" i="3" s="1"/>
  <c r="AG190" i="3"/>
  <c r="CQ190" i="3" s="1"/>
  <c r="AG177" i="3"/>
  <c r="CQ177" i="3" s="1"/>
  <c r="AK177" i="3"/>
  <c r="AL177" i="3" s="1"/>
  <c r="AG181" i="3"/>
  <c r="AV181" i="3" s="1"/>
  <c r="V181" i="3" s="1"/>
  <c r="AK181" i="3"/>
  <c r="AL181" i="3" s="1"/>
  <c r="AV154" i="3"/>
  <c r="V154" i="3" s="1"/>
  <c r="AV150" i="3"/>
  <c r="V150" i="3" s="1"/>
  <c r="AV137" i="3"/>
  <c r="V137" i="3" s="1"/>
  <c r="AV128" i="3"/>
  <c r="V128" i="3" s="1"/>
  <c r="AK214" i="3"/>
  <c r="AL214" i="3" s="1"/>
  <c r="AG214" i="3"/>
  <c r="AV214" i="3" s="1"/>
  <c r="V214" i="3" s="1"/>
  <c r="AV213" i="3"/>
  <c r="V213" i="3" s="1"/>
  <c r="AK186" i="3"/>
  <c r="AL186" i="3" s="1"/>
  <c r="AG186" i="3"/>
  <c r="AK178" i="3"/>
  <c r="AL178" i="3" s="1"/>
  <c r="AG178" i="3"/>
  <c r="AV178" i="3" s="1"/>
  <c r="V178" i="3" s="1"/>
  <c r="AV143" i="3"/>
  <c r="V143" i="3" s="1"/>
  <c r="AK165" i="3"/>
  <c r="AL165" i="3" s="1"/>
  <c r="AG165" i="3"/>
  <c r="AV135" i="3"/>
  <c r="V135" i="3" s="1"/>
  <c r="AG188" i="3"/>
  <c r="AK188" i="3"/>
  <c r="AL188" i="3" s="1"/>
  <c r="AK130" i="3"/>
  <c r="AG130" i="3"/>
  <c r="AG133" i="3"/>
  <c r="AK133" i="3"/>
  <c r="AL133" i="3" s="1"/>
  <c r="AK128" i="3"/>
  <c r="AL128" i="3" s="1"/>
  <c r="AG128" i="3"/>
  <c r="CQ128" i="3" s="1"/>
  <c r="AG124" i="3"/>
  <c r="CQ124" i="3" s="1"/>
  <c r="AK124" i="3"/>
  <c r="AL124" i="3" s="1"/>
  <c r="AV201" i="3"/>
  <c r="V201" i="3" s="1"/>
  <c r="AK202" i="3"/>
  <c r="AL202" i="3" s="1"/>
  <c r="AG202" i="3"/>
  <c r="CQ202" i="3" s="1"/>
  <c r="AG200" i="3"/>
  <c r="CQ200" i="3" s="1"/>
  <c r="AK200" i="3"/>
  <c r="AL200" i="3" s="1"/>
  <c r="AV193" i="3"/>
  <c r="V193" i="3" s="1"/>
  <c r="AV149" i="3"/>
  <c r="V149" i="3" s="1"/>
  <c r="AV145" i="3"/>
  <c r="V145" i="3" s="1"/>
  <c r="AV220" i="3"/>
  <c r="V220" i="3" s="1"/>
  <c r="AK219" i="3"/>
  <c r="AL219" i="3" s="1"/>
  <c r="AG219" i="3"/>
  <c r="AV219" i="3" s="1"/>
  <c r="V219" i="3" s="1"/>
  <c r="AV212" i="3"/>
  <c r="V212" i="3" s="1"/>
  <c r="AK206" i="3"/>
  <c r="AL206" i="3" s="1"/>
  <c r="AG206" i="3"/>
  <c r="CQ206" i="3" s="1"/>
  <c r="AV208" i="3"/>
  <c r="V208" i="3" s="1"/>
  <c r="AV206" i="3"/>
  <c r="V206" i="3" s="1"/>
  <c r="AK189" i="3"/>
  <c r="AL189" i="3" s="1"/>
  <c r="AG189" i="3"/>
  <c r="CQ189" i="3" s="1"/>
  <c r="AK182" i="3"/>
  <c r="AL182" i="3" s="1"/>
  <c r="AG182" i="3"/>
  <c r="CQ182" i="3" s="1"/>
  <c r="AV164" i="3"/>
  <c r="V164" i="3" s="1"/>
  <c r="AK171" i="3"/>
  <c r="AL171" i="3" s="1"/>
  <c r="AG171" i="3"/>
  <c r="CQ171" i="3" s="1"/>
  <c r="AV127" i="3"/>
  <c r="V127" i="3" s="1"/>
  <c r="AV131" i="3"/>
  <c r="V131" i="3" s="1"/>
  <c r="AV217" i="3"/>
  <c r="V217" i="3" s="1"/>
  <c r="AG205" i="3"/>
  <c r="AV205" i="3" s="1"/>
  <c r="V205" i="3" s="1"/>
  <c r="AK205" i="3"/>
  <c r="AL205" i="3" s="1"/>
  <c r="AV207" i="3"/>
  <c r="V207" i="3" s="1"/>
  <c r="AG215" i="3"/>
  <c r="CQ215" i="3" s="1"/>
  <c r="AK215" i="3"/>
  <c r="AL215" i="3" s="1"/>
  <c r="AV203" i="3"/>
  <c r="V203" i="3" s="1"/>
  <c r="AV188" i="3"/>
  <c r="V188" i="3" s="1"/>
  <c r="AV160" i="3"/>
  <c r="V160" i="3" s="1"/>
  <c r="AV152" i="3"/>
  <c r="V152" i="3" s="1"/>
  <c r="AG174" i="3"/>
  <c r="AV174" i="3" s="1"/>
  <c r="V174" i="3" s="1"/>
  <c r="AK174" i="3"/>
  <c r="AL174" i="3" s="1"/>
  <c r="AV209" i="3"/>
  <c r="V209" i="3" s="1"/>
  <c r="AV198" i="3"/>
  <c r="V198" i="3" s="1"/>
  <c r="AV189" i="3"/>
  <c r="V189" i="3" s="1"/>
  <c r="AG196" i="3"/>
  <c r="CQ196" i="3" s="1"/>
  <c r="AK196" i="3"/>
  <c r="AL196" i="3" s="1"/>
  <c r="AK166" i="3"/>
  <c r="AL166" i="3" s="1"/>
  <c r="AG166" i="3"/>
  <c r="AV167" i="3"/>
  <c r="V167" i="3" s="1"/>
  <c r="AV125" i="3"/>
  <c r="V125" i="3" s="1"/>
  <c r="AK131" i="3"/>
  <c r="AL131" i="3" s="1"/>
  <c r="AG131" i="3"/>
  <c r="CQ131" i="3" s="1"/>
  <c r="AK222" i="3"/>
  <c r="AL222" i="3" s="1"/>
  <c r="AG222" i="3"/>
  <c r="CQ222" i="3" s="1"/>
  <c r="AV221" i="3"/>
  <c r="V221" i="3" s="1"/>
  <c r="AG221" i="3"/>
  <c r="AK221" i="3"/>
  <c r="AL221" i="3" s="1"/>
  <c r="AV216" i="3"/>
  <c r="V216" i="3" s="1"/>
  <c r="AG217" i="3"/>
  <c r="CQ217" i="3" s="1"/>
  <c r="AK217" i="3"/>
  <c r="AL217" i="3" s="1"/>
  <c r="AK210" i="3"/>
  <c r="AL210" i="3" s="1"/>
  <c r="AG210" i="3"/>
  <c r="AK199" i="3"/>
  <c r="AG199" i="3"/>
  <c r="AV185" i="3"/>
  <c r="V185" i="3" s="1"/>
  <c r="AV194" i="3"/>
  <c r="V194" i="3" s="1"/>
  <c r="AV192" i="3"/>
  <c r="V192" i="3" s="1"/>
  <c r="AV155" i="3"/>
  <c r="V155" i="3" s="1"/>
  <c r="AV151" i="3"/>
  <c r="V151" i="3" s="1"/>
  <c r="AV147" i="3"/>
  <c r="V147" i="3" s="1"/>
  <c r="AV138" i="3"/>
  <c r="V138" i="3" s="1"/>
  <c r="AV141" i="3"/>
  <c r="V141" i="3" s="1"/>
  <c r="AY221" i="3" l="1"/>
  <c r="AY143" i="3"/>
  <c r="AY289" i="3"/>
  <c r="AY178" i="3"/>
  <c r="AY137" i="3"/>
  <c r="AY168" i="3"/>
  <c r="AY144" i="3"/>
  <c r="AY191" i="3"/>
  <c r="AY156" i="3"/>
  <c r="AY474" i="3"/>
  <c r="AY505" i="3"/>
  <c r="AY274" i="3"/>
  <c r="AY325" i="3"/>
  <c r="AY339" i="3"/>
  <c r="AY351" i="3"/>
  <c r="AY347" i="3"/>
  <c r="AY255" i="3"/>
  <c r="AY277" i="3"/>
  <c r="AY367" i="3"/>
  <c r="AY266" i="3"/>
  <c r="AY437" i="3"/>
  <c r="AY131" i="3"/>
  <c r="AY220" i="3"/>
  <c r="AY201" i="3"/>
  <c r="AY150" i="3"/>
  <c r="AY197" i="3"/>
  <c r="AY469" i="3"/>
  <c r="AY501" i="3"/>
  <c r="AY516" i="3"/>
  <c r="AY402" i="3"/>
  <c r="AY509" i="3"/>
  <c r="AY491" i="3"/>
  <c r="AY430" i="3"/>
  <c r="AY301" i="3"/>
  <c r="AY259" i="3"/>
  <c r="AY138" i="3"/>
  <c r="AY152" i="3"/>
  <c r="AY314" i="3"/>
  <c r="AY326" i="3"/>
  <c r="AY466" i="3"/>
  <c r="AY188" i="3"/>
  <c r="AY155" i="3"/>
  <c r="AY189" i="3"/>
  <c r="AY203" i="3"/>
  <c r="AY127" i="3"/>
  <c r="AY206" i="3"/>
  <c r="AY145" i="3"/>
  <c r="AY154" i="3"/>
  <c r="AY153" i="3"/>
  <c r="AY159" i="3"/>
  <c r="AY157" i="3"/>
  <c r="AY299" i="3"/>
  <c r="AY408" i="3"/>
  <c r="AY407" i="3"/>
  <c r="AY522" i="3"/>
  <c r="AY242" i="3"/>
  <c r="AY223" i="3"/>
  <c r="AY447" i="3"/>
  <c r="AY386" i="3"/>
  <c r="AY433" i="3"/>
  <c r="AY205" i="3"/>
  <c r="AY128" i="3"/>
  <c r="AY147" i="3"/>
  <c r="AY149" i="3"/>
  <c r="AY165" i="3"/>
  <c r="AY173" i="3"/>
  <c r="AY321" i="3"/>
  <c r="AY322" i="3"/>
  <c r="AY334" i="3"/>
  <c r="AY503" i="3"/>
  <c r="AY310" i="3"/>
  <c r="AY415" i="3"/>
  <c r="AY465" i="3"/>
  <c r="AY282" i="3"/>
  <c r="AY330" i="3"/>
  <c r="AY288" i="3"/>
  <c r="AY456" i="3"/>
  <c r="AY219" i="3"/>
  <c r="AY208" i="3"/>
  <c r="AY194" i="3"/>
  <c r="AY216" i="3"/>
  <c r="AY125" i="3"/>
  <c r="AY209" i="3"/>
  <c r="AY193" i="3"/>
  <c r="AY135" i="3"/>
  <c r="AY213" i="3"/>
  <c r="AY181" i="3"/>
  <c r="AY140" i="3"/>
  <c r="AY162" i="3"/>
  <c r="AY142" i="3"/>
  <c r="AY139" i="3"/>
  <c r="AY180" i="3"/>
  <c r="AY329" i="3"/>
  <c r="AY187" i="3"/>
  <c r="AY272" i="3"/>
  <c r="AY306" i="3"/>
  <c r="AY287" i="3"/>
  <c r="AY507" i="3"/>
  <c r="AY439" i="3"/>
  <c r="AY331" i="3"/>
  <c r="AY459" i="3"/>
  <c r="AY371" i="3"/>
  <c r="AY478" i="3"/>
  <c r="AY414" i="3"/>
  <c r="AY217" i="3"/>
  <c r="AY192" i="3"/>
  <c r="AY198" i="3"/>
  <c r="AY185" i="3"/>
  <c r="AY167" i="3"/>
  <c r="AY164" i="3"/>
  <c r="AY134" i="3"/>
  <c r="AY163" i="3"/>
  <c r="AY253" i="3"/>
  <c r="AY475" i="3"/>
  <c r="AY409" i="3"/>
  <c r="AY476" i="3"/>
  <c r="AY461" i="3"/>
  <c r="AY375" i="3"/>
  <c r="AY265" i="3"/>
  <c r="AY248" i="3"/>
  <c r="AY183" i="3"/>
  <c r="AY160" i="3"/>
  <c r="AY151" i="3"/>
  <c r="AY207" i="3"/>
  <c r="AY214" i="3"/>
  <c r="AY141" i="3"/>
  <c r="AY174" i="3"/>
  <c r="AY212" i="3"/>
  <c r="AY186" i="3"/>
  <c r="AY254" i="3"/>
  <c r="AY307" i="3"/>
  <c r="AY227" i="3"/>
  <c r="AY251" i="3"/>
  <c r="AY161" i="3"/>
  <c r="AY405" i="3"/>
  <c r="AY350" i="3"/>
  <c r="AY270" i="3"/>
  <c r="AY246" i="3"/>
  <c r="AY434" i="3"/>
  <c r="AY320" i="3"/>
  <c r="AV169" i="3"/>
  <c r="V169" i="3" s="1"/>
  <c r="AV190" i="3"/>
  <c r="V190" i="3" s="1"/>
  <c r="CQ144" i="3"/>
  <c r="CQ140" i="3"/>
  <c r="CQ155" i="3"/>
  <c r="AV171" i="3"/>
  <c r="V171" i="3" s="1"/>
  <c r="AV172" i="3"/>
  <c r="V172" i="3" s="1"/>
  <c r="AV200" i="3"/>
  <c r="V200" i="3" s="1"/>
  <c r="AV177" i="3"/>
  <c r="V177" i="3" s="1"/>
  <c r="AV146" i="3"/>
  <c r="V146" i="3" s="1"/>
  <c r="AV124" i="3"/>
  <c r="V124" i="3" s="1"/>
  <c r="AV148" i="3"/>
  <c r="V148" i="3" s="1"/>
  <c r="AV184" i="3"/>
  <c r="V184" i="3" s="1"/>
  <c r="AV170" i="3"/>
  <c r="V170" i="3" s="1"/>
  <c r="CQ162" i="3"/>
  <c r="AV195" i="3"/>
  <c r="V195" i="3" s="1"/>
  <c r="AV202" i="3"/>
  <c r="V202" i="3" s="1"/>
  <c r="AV196" i="3"/>
  <c r="V196" i="3" s="1"/>
  <c r="AV126" i="3"/>
  <c r="V126" i="3" s="1"/>
  <c r="AV136" i="3"/>
  <c r="V136" i="3" s="1"/>
  <c r="AV158" i="3"/>
  <c r="V158" i="3" s="1"/>
  <c r="AV215" i="3"/>
  <c r="V215" i="3" s="1"/>
  <c r="AV182" i="3"/>
  <c r="V182" i="3" s="1"/>
  <c r="AV222" i="3"/>
  <c r="V222" i="3" s="1"/>
  <c r="CQ159" i="3"/>
  <c r="CQ157" i="3"/>
  <c r="CQ139" i="3"/>
  <c r="CQ175" i="3"/>
  <c r="CQ205" i="3"/>
  <c r="CQ161" i="3"/>
  <c r="CQ165" i="3"/>
  <c r="CQ221" i="3"/>
  <c r="CQ133" i="3"/>
  <c r="CQ197" i="3"/>
  <c r="CQ181" i="3"/>
  <c r="CQ194" i="3"/>
  <c r="CQ214" i="3"/>
  <c r="CQ174" i="3"/>
  <c r="CQ164" i="3"/>
  <c r="CQ199" i="3"/>
  <c r="CQ142" i="3"/>
  <c r="CQ186" i="3"/>
  <c r="CQ166" i="3"/>
  <c r="CQ156" i="3"/>
  <c r="CQ191" i="3"/>
  <c r="CQ152" i="3"/>
  <c r="CQ135" i="3"/>
  <c r="CQ207" i="3"/>
  <c r="CQ219" i="3"/>
  <c r="CQ178" i="3"/>
  <c r="CQ220" i="3"/>
  <c r="CQ153" i="3"/>
  <c r="CQ210" i="3"/>
  <c r="CQ218" i="3"/>
  <c r="CQ147" i="3"/>
  <c r="CQ188" i="3"/>
  <c r="AV204" i="3"/>
  <c r="V204" i="3" s="1"/>
  <c r="AV218" i="3"/>
  <c r="V218" i="3" s="1"/>
  <c r="AV199" i="3"/>
  <c r="V199" i="3" s="1"/>
  <c r="AV176" i="3"/>
  <c r="V176" i="3" s="1"/>
  <c r="AV133" i="3"/>
  <c r="V133" i="3" s="1"/>
  <c r="CQ130" i="3"/>
  <c r="AV130" i="3"/>
  <c r="V130" i="3" s="1"/>
  <c r="AV132" i="3"/>
  <c r="V132" i="3" s="1"/>
  <c r="AV166" i="3"/>
  <c r="V166" i="3" s="1"/>
  <c r="CQ129" i="3"/>
  <c r="AV129" i="3"/>
  <c r="V129" i="3" s="1"/>
  <c r="CQ211" i="3"/>
  <c r="AV211" i="3"/>
  <c r="V211" i="3" s="1"/>
  <c r="AV175" i="3"/>
  <c r="V175" i="3" s="1"/>
  <c r="AV210" i="3"/>
  <c r="V210" i="3" s="1"/>
  <c r="CL25" i="3"/>
  <c r="CL26" i="3"/>
  <c r="CL27" i="3"/>
  <c r="CL28" i="3"/>
  <c r="CL29" i="3"/>
  <c r="CL30" i="3"/>
  <c r="CL31" i="3"/>
  <c r="CL32" i="3"/>
  <c r="CL33" i="3"/>
  <c r="CL34" i="3"/>
  <c r="CL35" i="3"/>
  <c r="CL36" i="3"/>
  <c r="CL37" i="3"/>
  <c r="CL38" i="3"/>
  <c r="CL39" i="3"/>
  <c r="CL40" i="3"/>
  <c r="CL41" i="3"/>
  <c r="CL42" i="3"/>
  <c r="CL43" i="3"/>
  <c r="CL44" i="3"/>
  <c r="CL45" i="3"/>
  <c r="CL46" i="3"/>
  <c r="CL47" i="3"/>
  <c r="CL48" i="3"/>
  <c r="CL49" i="3"/>
  <c r="CL50" i="3"/>
  <c r="CL51" i="3"/>
  <c r="CL52" i="3"/>
  <c r="CL53" i="3"/>
  <c r="CL54" i="3"/>
  <c r="CL55" i="3"/>
  <c r="CL56" i="3"/>
  <c r="CL57" i="3"/>
  <c r="CL58" i="3"/>
  <c r="CL59" i="3"/>
  <c r="CL60" i="3"/>
  <c r="CL61" i="3"/>
  <c r="CL62" i="3"/>
  <c r="CL63" i="3"/>
  <c r="CL64" i="3"/>
  <c r="CL65" i="3"/>
  <c r="CL66" i="3"/>
  <c r="CL67" i="3"/>
  <c r="CL68" i="3"/>
  <c r="CL69" i="3"/>
  <c r="CL70" i="3"/>
  <c r="CL71" i="3"/>
  <c r="CL72" i="3"/>
  <c r="CL73" i="3"/>
  <c r="CL74" i="3"/>
  <c r="CL75" i="3"/>
  <c r="CL76" i="3"/>
  <c r="CL77" i="3"/>
  <c r="CL78" i="3"/>
  <c r="CL79" i="3"/>
  <c r="CL80" i="3"/>
  <c r="CL81" i="3"/>
  <c r="CL82" i="3"/>
  <c r="CL83" i="3"/>
  <c r="CL84" i="3"/>
  <c r="CL85" i="3"/>
  <c r="CL86" i="3"/>
  <c r="CL87" i="3"/>
  <c r="CL88" i="3"/>
  <c r="CL89" i="3"/>
  <c r="CL90" i="3"/>
  <c r="CL91" i="3"/>
  <c r="CL92" i="3"/>
  <c r="CL93" i="3"/>
  <c r="CL94" i="3"/>
  <c r="CL95" i="3"/>
  <c r="CL96" i="3"/>
  <c r="CL97" i="3"/>
  <c r="CL98" i="3"/>
  <c r="CL99" i="3"/>
  <c r="CL100" i="3"/>
  <c r="CL101" i="3"/>
  <c r="CL102" i="3"/>
  <c r="CL103" i="3"/>
  <c r="CL104" i="3"/>
  <c r="CL105" i="3"/>
  <c r="CL106" i="3"/>
  <c r="CL107" i="3"/>
  <c r="CL108" i="3"/>
  <c r="CL109" i="3"/>
  <c r="CL110" i="3"/>
  <c r="CL111" i="3"/>
  <c r="CL112" i="3"/>
  <c r="CL113" i="3"/>
  <c r="CL114" i="3"/>
  <c r="CL115" i="3"/>
  <c r="CL116" i="3"/>
  <c r="CL117" i="3"/>
  <c r="CL118" i="3"/>
  <c r="CL119" i="3"/>
  <c r="CL120" i="3"/>
  <c r="CL121" i="3"/>
  <c r="CL122" i="3"/>
  <c r="CL123"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68" i="3"/>
  <c r="AN69" i="3"/>
  <c r="AN70" i="3"/>
  <c r="AN71" i="3"/>
  <c r="AN72" i="3"/>
  <c r="AN73" i="3"/>
  <c r="AN74" i="3"/>
  <c r="AN75" i="3"/>
  <c r="AN76" i="3"/>
  <c r="AN77" i="3"/>
  <c r="AN78" i="3"/>
  <c r="AN79" i="3"/>
  <c r="AN80" i="3"/>
  <c r="AN81" i="3"/>
  <c r="AN82" i="3"/>
  <c r="AN83" i="3"/>
  <c r="AN84" i="3"/>
  <c r="AN85" i="3"/>
  <c r="AN86" i="3"/>
  <c r="AN87" i="3"/>
  <c r="AN88" i="3"/>
  <c r="AN89" i="3"/>
  <c r="AN90" i="3"/>
  <c r="AN91" i="3"/>
  <c r="AN92" i="3"/>
  <c r="AN93" i="3"/>
  <c r="AN94" i="3"/>
  <c r="AN95" i="3"/>
  <c r="AN96" i="3"/>
  <c r="AN97" i="3"/>
  <c r="AN98" i="3"/>
  <c r="AN99" i="3"/>
  <c r="AN100" i="3"/>
  <c r="AN101" i="3"/>
  <c r="AN102" i="3"/>
  <c r="AN103" i="3"/>
  <c r="AN104" i="3"/>
  <c r="AN105" i="3"/>
  <c r="AN106" i="3"/>
  <c r="AN107" i="3"/>
  <c r="AN108" i="3"/>
  <c r="AN109" i="3"/>
  <c r="AN110" i="3"/>
  <c r="AN111" i="3"/>
  <c r="AN112" i="3"/>
  <c r="AN113" i="3"/>
  <c r="AN114" i="3"/>
  <c r="AN115" i="3"/>
  <c r="AN116" i="3"/>
  <c r="AN117" i="3"/>
  <c r="AN118" i="3"/>
  <c r="AN119" i="3"/>
  <c r="AN120" i="3"/>
  <c r="AN121" i="3"/>
  <c r="AN122" i="3"/>
  <c r="AN123" i="3"/>
  <c r="AQ122" i="3" s="1"/>
  <c r="AN24" i="3"/>
  <c r="AM24" i="3" s="1"/>
  <c r="CL24" i="3"/>
  <c r="AY132" i="3" l="1"/>
  <c r="AY222" i="3"/>
  <c r="AY195" i="3"/>
  <c r="AY200" i="3"/>
  <c r="AY190" i="3"/>
  <c r="AY166" i="3"/>
  <c r="AY210" i="3"/>
  <c r="AY130" i="3"/>
  <c r="AY182" i="3"/>
  <c r="AY172" i="3"/>
  <c r="AY218" i="3"/>
  <c r="AY202" i="3"/>
  <c r="AY175" i="3"/>
  <c r="AY215" i="3"/>
  <c r="AY170" i="3"/>
  <c r="AY171" i="3"/>
  <c r="AY211" i="3"/>
  <c r="AY133" i="3"/>
  <c r="AY158" i="3"/>
  <c r="AY184" i="3"/>
  <c r="AY146" i="3"/>
  <c r="AY177" i="3"/>
  <c r="AY176" i="3"/>
  <c r="AY136" i="3"/>
  <c r="AY148" i="3"/>
  <c r="AY196" i="3"/>
  <c r="AY204" i="3"/>
  <c r="AY169" i="3"/>
  <c r="AY129" i="3"/>
  <c r="AY199" i="3"/>
  <c r="AY126" i="3"/>
  <c r="AY124" i="3"/>
  <c r="AQ120" i="3"/>
  <c r="AQ112" i="3"/>
  <c r="AQ88" i="3"/>
  <c r="AQ56" i="3"/>
  <c r="AQ32" i="3"/>
  <c r="AQ119" i="3"/>
  <c r="AQ111" i="3"/>
  <c r="AQ103" i="3"/>
  <c r="AQ95" i="3"/>
  <c r="AQ87" i="3"/>
  <c r="AQ79" i="3"/>
  <c r="AQ71" i="3"/>
  <c r="AQ63" i="3"/>
  <c r="AQ55" i="3"/>
  <c r="AQ47" i="3"/>
  <c r="AQ39" i="3"/>
  <c r="AQ31" i="3"/>
  <c r="AQ72" i="3"/>
  <c r="AQ40" i="3"/>
  <c r="AQ24" i="3"/>
  <c r="AQ118" i="3"/>
  <c r="AQ110" i="3"/>
  <c r="AQ102" i="3"/>
  <c r="AQ94" i="3"/>
  <c r="AQ86" i="3"/>
  <c r="AQ78" i="3"/>
  <c r="AQ70" i="3"/>
  <c r="AQ62" i="3"/>
  <c r="AQ54" i="3"/>
  <c r="AQ46" i="3"/>
  <c r="AQ38" i="3"/>
  <c r="AQ30" i="3"/>
  <c r="AQ85" i="3"/>
  <c r="AQ61" i="3"/>
  <c r="AQ53" i="3"/>
  <c r="AQ45" i="3"/>
  <c r="AQ37" i="3"/>
  <c r="AQ29" i="3"/>
  <c r="AQ64" i="3"/>
  <c r="AQ109" i="3"/>
  <c r="AQ77" i="3"/>
  <c r="AQ108" i="3"/>
  <c r="AQ100" i="3"/>
  <c r="AQ92" i="3"/>
  <c r="AQ84" i="3"/>
  <c r="AQ76" i="3"/>
  <c r="AQ68" i="3"/>
  <c r="AQ60" i="3"/>
  <c r="AQ52" i="3"/>
  <c r="AQ44" i="3"/>
  <c r="AQ36" i="3"/>
  <c r="AQ28" i="3"/>
  <c r="AQ104" i="3"/>
  <c r="AQ48" i="3"/>
  <c r="AQ101" i="3"/>
  <c r="AQ69" i="3"/>
  <c r="AQ115" i="3"/>
  <c r="AQ107" i="3"/>
  <c r="AQ99" i="3"/>
  <c r="AQ91" i="3"/>
  <c r="AQ83" i="3"/>
  <c r="AQ75" i="3"/>
  <c r="AQ67" i="3"/>
  <c r="AQ59" i="3"/>
  <c r="AQ51" i="3"/>
  <c r="AQ43" i="3"/>
  <c r="AQ35" i="3"/>
  <c r="AQ27" i="3"/>
  <c r="AQ80" i="3"/>
  <c r="AQ117" i="3"/>
  <c r="AQ93" i="3"/>
  <c r="AQ116" i="3"/>
  <c r="AQ114" i="3"/>
  <c r="AQ106" i="3"/>
  <c r="AQ98" i="3"/>
  <c r="AQ90" i="3"/>
  <c r="AQ82" i="3"/>
  <c r="AQ74" i="3"/>
  <c r="AQ66" i="3"/>
  <c r="AQ58" i="3"/>
  <c r="AQ50" i="3"/>
  <c r="AQ42" i="3"/>
  <c r="AQ34" i="3"/>
  <c r="AQ26" i="3"/>
  <c r="AQ96" i="3"/>
  <c r="AQ121" i="3"/>
  <c r="AQ113" i="3"/>
  <c r="AQ105" i="3"/>
  <c r="AQ97" i="3"/>
  <c r="AQ89" i="3"/>
  <c r="AQ81" i="3"/>
  <c r="AQ73" i="3"/>
  <c r="AQ65" i="3"/>
  <c r="AQ57" i="3"/>
  <c r="AQ49" i="3"/>
  <c r="AQ41" i="3"/>
  <c r="AQ33" i="3"/>
  <c r="AQ25" i="3"/>
  <c r="AM111" i="3"/>
  <c r="AM71" i="3"/>
  <c r="AM31" i="3"/>
  <c r="AM102" i="3"/>
  <c r="AM78" i="3"/>
  <c r="AM70" i="3"/>
  <c r="AM62" i="3"/>
  <c r="AM54" i="3"/>
  <c r="AM46" i="3"/>
  <c r="AM38" i="3"/>
  <c r="AM30" i="3"/>
  <c r="AM117" i="3"/>
  <c r="AM109" i="3"/>
  <c r="AM101" i="3"/>
  <c r="AM93" i="3"/>
  <c r="AM85" i="3"/>
  <c r="AM77" i="3"/>
  <c r="AM69" i="3"/>
  <c r="AM61" i="3"/>
  <c r="AM53" i="3"/>
  <c r="AM45" i="3"/>
  <c r="AM37" i="3"/>
  <c r="AM29" i="3"/>
  <c r="AM119" i="3"/>
  <c r="AM79" i="3"/>
  <c r="AM39" i="3"/>
  <c r="AM92" i="3"/>
  <c r="AM60" i="3"/>
  <c r="AM28" i="3"/>
  <c r="AM115" i="3"/>
  <c r="AM99" i="3"/>
  <c r="AM83" i="3"/>
  <c r="AM75" i="3"/>
  <c r="AM67" i="3"/>
  <c r="AM59" i="3"/>
  <c r="AM51" i="3"/>
  <c r="AM43" i="3"/>
  <c r="AM35" i="3"/>
  <c r="AM27" i="3"/>
  <c r="AM87" i="3"/>
  <c r="AM47" i="3"/>
  <c r="AM118" i="3"/>
  <c r="AM86" i="3"/>
  <c r="AM100" i="3"/>
  <c r="AM68" i="3"/>
  <c r="AM36" i="3"/>
  <c r="AM123" i="3"/>
  <c r="AM107" i="3"/>
  <c r="AM91" i="3"/>
  <c r="AM122" i="3"/>
  <c r="AM114" i="3"/>
  <c r="AM106" i="3"/>
  <c r="AM98" i="3"/>
  <c r="AM90" i="3"/>
  <c r="AM82" i="3"/>
  <c r="AM74" i="3"/>
  <c r="AM66" i="3"/>
  <c r="AM58" i="3"/>
  <c r="AM50" i="3"/>
  <c r="AM42" i="3"/>
  <c r="AM34" i="3"/>
  <c r="AM26" i="3"/>
  <c r="AM103" i="3"/>
  <c r="AM55" i="3"/>
  <c r="AM94" i="3"/>
  <c r="AM108" i="3"/>
  <c r="AM76" i="3"/>
  <c r="AM44" i="3"/>
  <c r="AM113" i="3"/>
  <c r="AM97" i="3"/>
  <c r="AM81" i="3"/>
  <c r="AM65" i="3"/>
  <c r="AM49" i="3"/>
  <c r="AM41" i="3"/>
  <c r="AM33" i="3"/>
  <c r="AM25" i="3"/>
  <c r="AM95" i="3"/>
  <c r="AM63" i="3"/>
  <c r="AM110" i="3"/>
  <c r="AM116" i="3"/>
  <c r="AM84" i="3"/>
  <c r="AM52" i="3"/>
  <c r="AM121" i="3"/>
  <c r="AM105" i="3"/>
  <c r="AM89" i="3"/>
  <c r="AM73" i="3"/>
  <c r="AM57" i="3"/>
  <c r="AM120" i="3"/>
  <c r="AM112" i="3"/>
  <c r="AM104" i="3"/>
  <c r="AM96" i="3"/>
  <c r="AM88" i="3"/>
  <c r="AM80" i="3"/>
  <c r="AM72" i="3"/>
  <c r="AM64" i="3"/>
  <c r="AM56" i="3"/>
  <c r="AM48" i="3"/>
  <c r="AM40" i="3"/>
  <c r="AM32" i="3"/>
  <c r="DL25" i="3"/>
  <c r="DL26" i="3"/>
  <c r="DL27" i="3"/>
  <c r="DL28" i="3"/>
  <c r="DL29" i="3"/>
  <c r="DL30" i="3"/>
  <c r="DL31" i="3"/>
  <c r="DL32" i="3"/>
  <c r="DL33" i="3"/>
  <c r="DL34" i="3"/>
  <c r="DL35" i="3"/>
  <c r="DL36" i="3"/>
  <c r="DL37" i="3"/>
  <c r="DL38" i="3"/>
  <c r="DL39" i="3"/>
  <c r="DL40" i="3"/>
  <c r="DL41" i="3"/>
  <c r="DL42" i="3"/>
  <c r="DL43" i="3"/>
  <c r="DL44" i="3"/>
  <c r="DL45" i="3"/>
  <c r="DL46" i="3"/>
  <c r="DL47" i="3"/>
  <c r="DL48" i="3"/>
  <c r="DL49" i="3"/>
  <c r="DL50" i="3"/>
  <c r="DL51" i="3"/>
  <c r="DL52" i="3"/>
  <c r="DL53" i="3"/>
  <c r="DL54" i="3"/>
  <c r="DL55" i="3"/>
  <c r="DL56" i="3"/>
  <c r="DL57" i="3"/>
  <c r="DL58" i="3"/>
  <c r="DL59" i="3"/>
  <c r="DL60" i="3"/>
  <c r="DL61" i="3"/>
  <c r="DL62" i="3"/>
  <c r="DL63" i="3"/>
  <c r="DL64" i="3"/>
  <c r="DL65" i="3"/>
  <c r="DL66" i="3"/>
  <c r="DL67" i="3"/>
  <c r="DL68" i="3"/>
  <c r="DL69" i="3"/>
  <c r="DL70" i="3"/>
  <c r="DL71" i="3"/>
  <c r="DL72" i="3"/>
  <c r="DL73" i="3"/>
  <c r="DL74" i="3"/>
  <c r="DL75" i="3"/>
  <c r="DL76" i="3"/>
  <c r="DL77" i="3"/>
  <c r="DL78" i="3"/>
  <c r="DL79" i="3"/>
  <c r="DL80" i="3"/>
  <c r="DL81" i="3"/>
  <c r="DL82" i="3"/>
  <c r="DL83" i="3"/>
  <c r="DL84" i="3"/>
  <c r="DL85" i="3"/>
  <c r="DL86" i="3"/>
  <c r="DL87" i="3"/>
  <c r="DL88" i="3"/>
  <c r="DL89" i="3"/>
  <c r="DL90" i="3"/>
  <c r="DL91" i="3"/>
  <c r="DL92" i="3"/>
  <c r="DL93" i="3"/>
  <c r="DL94" i="3"/>
  <c r="DL95" i="3"/>
  <c r="DL96" i="3"/>
  <c r="DL97" i="3"/>
  <c r="DL98" i="3"/>
  <c r="DL99" i="3"/>
  <c r="DL100" i="3"/>
  <c r="DL101" i="3"/>
  <c r="DL102" i="3"/>
  <c r="DL103" i="3"/>
  <c r="DL104" i="3"/>
  <c r="DL105" i="3"/>
  <c r="DL106" i="3"/>
  <c r="DL107" i="3"/>
  <c r="DL108" i="3"/>
  <c r="DL109" i="3"/>
  <c r="DL110" i="3"/>
  <c r="DL111" i="3"/>
  <c r="DL112" i="3"/>
  <c r="DL113" i="3"/>
  <c r="DL114" i="3"/>
  <c r="DL115" i="3"/>
  <c r="DL116" i="3"/>
  <c r="DL117" i="3"/>
  <c r="DL118" i="3"/>
  <c r="DL119" i="3"/>
  <c r="DL120" i="3"/>
  <c r="DL121" i="3"/>
  <c r="DL122" i="3"/>
  <c r="DL123" i="3"/>
  <c r="DL24" i="3"/>
  <c r="DT25" i="3"/>
  <c r="DT26" i="3"/>
  <c r="DT27" i="3"/>
  <c r="DT28" i="3"/>
  <c r="DT29" i="3"/>
  <c r="DT30" i="3"/>
  <c r="DT31" i="3"/>
  <c r="DT32" i="3"/>
  <c r="DT33" i="3"/>
  <c r="DT34" i="3"/>
  <c r="DT35" i="3"/>
  <c r="DT36" i="3"/>
  <c r="DT37" i="3"/>
  <c r="DT38" i="3"/>
  <c r="DT24" i="3"/>
  <c r="DT39" i="3"/>
  <c r="DT40" i="3"/>
  <c r="DT41" i="3"/>
  <c r="DT42" i="3"/>
  <c r="DT43" i="3"/>
  <c r="DT44" i="3"/>
  <c r="DT45" i="3"/>
  <c r="DT46" i="3"/>
  <c r="DT47" i="3"/>
  <c r="DT48" i="3"/>
  <c r="DT49" i="3"/>
  <c r="DT50" i="3"/>
  <c r="DT51" i="3"/>
  <c r="DT52" i="3"/>
  <c r="DT53" i="3"/>
  <c r="DT54" i="3"/>
  <c r="DT55" i="3"/>
  <c r="DT56" i="3"/>
  <c r="DT57" i="3"/>
  <c r="DT58" i="3"/>
  <c r="DT59" i="3"/>
  <c r="DT60" i="3"/>
  <c r="DT61" i="3"/>
  <c r="DT62" i="3"/>
  <c r="DT63" i="3"/>
  <c r="DT64" i="3"/>
  <c r="DT65" i="3"/>
  <c r="DT66" i="3"/>
  <c r="DT67" i="3"/>
  <c r="DT68" i="3"/>
  <c r="DT69" i="3"/>
  <c r="DT70" i="3"/>
  <c r="DT71" i="3"/>
  <c r="DT72" i="3"/>
  <c r="DT73" i="3"/>
  <c r="DT74" i="3"/>
  <c r="DT75" i="3"/>
  <c r="DT76" i="3"/>
  <c r="DT77" i="3"/>
  <c r="DT78" i="3"/>
  <c r="DT79" i="3"/>
  <c r="DT80" i="3"/>
  <c r="DT81" i="3"/>
  <c r="DT82" i="3"/>
  <c r="DT83" i="3"/>
  <c r="DT84" i="3"/>
  <c r="DT85" i="3"/>
  <c r="DT86" i="3"/>
  <c r="DT87" i="3"/>
  <c r="DT88" i="3"/>
  <c r="DT89" i="3"/>
  <c r="DT90" i="3"/>
  <c r="DT91" i="3"/>
  <c r="DT92" i="3"/>
  <c r="DT93" i="3"/>
  <c r="DT94" i="3"/>
  <c r="DT95" i="3"/>
  <c r="DT96" i="3"/>
  <c r="DT97" i="3"/>
  <c r="DT98" i="3"/>
  <c r="DT99" i="3"/>
  <c r="DT100" i="3"/>
  <c r="DT101" i="3"/>
  <c r="DT102" i="3"/>
  <c r="DT103" i="3"/>
  <c r="DT104" i="3"/>
  <c r="DT105" i="3"/>
  <c r="DT106" i="3"/>
  <c r="DT107" i="3"/>
  <c r="DT108" i="3"/>
  <c r="DT109" i="3"/>
  <c r="DT110" i="3"/>
  <c r="DT111" i="3"/>
  <c r="DT112" i="3"/>
  <c r="DT113" i="3"/>
  <c r="DT114" i="3"/>
  <c r="DT115" i="3"/>
  <c r="DT116" i="3"/>
  <c r="DT117" i="3"/>
  <c r="DT118" i="3"/>
  <c r="DT119" i="3"/>
  <c r="DT120" i="3"/>
  <c r="DT121" i="3"/>
  <c r="DT122" i="3"/>
  <c r="DT123" i="3"/>
  <c r="AK540" i="3" l="1"/>
  <c r="T539" i="3"/>
  <c r="U539" i="3"/>
  <c r="DM28" i="15" l="1"/>
  <c r="DM29" i="15"/>
  <c r="DM30" i="15"/>
  <c r="DM31" i="15"/>
  <c r="DM32" i="15"/>
  <c r="DM33" i="15"/>
  <c r="DM34" i="15"/>
  <c r="DM35" i="15"/>
  <c r="DM36" i="15"/>
  <c r="DM37" i="15"/>
  <c r="DM38" i="15"/>
  <c r="DM39" i="15"/>
  <c r="DM40" i="15"/>
  <c r="DM41" i="15"/>
  <c r="DM42" i="15"/>
  <c r="DM43" i="15"/>
  <c r="DM44" i="15"/>
  <c r="DM45" i="15"/>
  <c r="DM46" i="15"/>
  <c r="DM47" i="15"/>
  <c r="DM48" i="15"/>
  <c r="DM49" i="15"/>
  <c r="DM50" i="15"/>
  <c r="DM51" i="15"/>
  <c r="DM52" i="15"/>
  <c r="DM53" i="15"/>
  <c r="DM54" i="15"/>
  <c r="DM55" i="15"/>
  <c r="DM56" i="15"/>
  <c r="DM57" i="15"/>
  <c r="DM58" i="15"/>
  <c r="DM59" i="15"/>
  <c r="DM60" i="15"/>
  <c r="DM61" i="15"/>
  <c r="DM62" i="15"/>
  <c r="DM63" i="15"/>
  <c r="DM64" i="15"/>
  <c r="DM65" i="15"/>
  <c r="DM26" i="15"/>
  <c r="DM27" i="15"/>
  <c r="DK27" i="15" l="1"/>
  <c r="DK28" i="15"/>
  <c r="DK29" i="15"/>
  <c r="DK30" i="15"/>
  <c r="DK31" i="15"/>
  <c r="DK32" i="15"/>
  <c r="DK33" i="15"/>
  <c r="DK34" i="15"/>
  <c r="DK35" i="15"/>
  <c r="DK36" i="15"/>
  <c r="DK37" i="15"/>
  <c r="DK38" i="15"/>
  <c r="DK39" i="15"/>
  <c r="DK40" i="15"/>
  <c r="DK41" i="15"/>
  <c r="DK42" i="15"/>
  <c r="DK43" i="15"/>
  <c r="DK44" i="15"/>
  <c r="DK45" i="15"/>
  <c r="DK46" i="15"/>
  <c r="DK47" i="15"/>
  <c r="DK48" i="15"/>
  <c r="DK49" i="15"/>
  <c r="DK50" i="15"/>
  <c r="DK51" i="15"/>
  <c r="DK52" i="15"/>
  <c r="DK53" i="15"/>
  <c r="DK54" i="15"/>
  <c r="DK55" i="15"/>
  <c r="DK56" i="15"/>
  <c r="DK57" i="15"/>
  <c r="DK58" i="15"/>
  <c r="DK59" i="15"/>
  <c r="DK60" i="15"/>
  <c r="DK61" i="15"/>
  <c r="DK62" i="15"/>
  <c r="DK63" i="15"/>
  <c r="DK64" i="15"/>
  <c r="DK65" i="15"/>
  <c r="DK26" i="15"/>
  <c r="CM26" i="15"/>
  <c r="DV25" i="3" l="1"/>
  <c r="DV26" i="3"/>
  <c r="DV27" i="3"/>
  <c r="DV28" i="3"/>
  <c r="DV29" i="3"/>
  <c r="DV30" i="3"/>
  <c r="DV31" i="3"/>
  <c r="DV32" i="3"/>
  <c r="DV33" i="3"/>
  <c r="DV34" i="3"/>
  <c r="DV35" i="3"/>
  <c r="DV36" i="3"/>
  <c r="DV37" i="3"/>
  <c r="DV38" i="3"/>
  <c r="DV39" i="3"/>
  <c r="DV40" i="3"/>
  <c r="DV41" i="3"/>
  <c r="DV42" i="3"/>
  <c r="DV43" i="3"/>
  <c r="DV44" i="3"/>
  <c r="DV45" i="3"/>
  <c r="DV46" i="3"/>
  <c r="DV47" i="3"/>
  <c r="DV48" i="3"/>
  <c r="DV49" i="3"/>
  <c r="DV50" i="3"/>
  <c r="DV51" i="3"/>
  <c r="DV52" i="3"/>
  <c r="DV53" i="3"/>
  <c r="DV54" i="3"/>
  <c r="DV55" i="3"/>
  <c r="DV56" i="3"/>
  <c r="DV57" i="3"/>
  <c r="DV58" i="3"/>
  <c r="DV59" i="3"/>
  <c r="DV60" i="3"/>
  <c r="DV61" i="3"/>
  <c r="DV62" i="3"/>
  <c r="DV63" i="3"/>
  <c r="DV64" i="3"/>
  <c r="DV65" i="3"/>
  <c r="DV66" i="3"/>
  <c r="DV67" i="3"/>
  <c r="DV68" i="3"/>
  <c r="DV69" i="3"/>
  <c r="DV70" i="3"/>
  <c r="DV71" i="3"/>
  <c r="DV72" i="3"/>
  <c r="DV73" i="3"/>
  <c r="DV74" i="3"/>
  <c r="DV75" i="3"/>
  <c r="DV76" i="3"/>
  <c r="DV77" i="3"/>
  <c r="DV78" i="3"/>
  <c r="DV79" i="3"/>
  <c r="DV80" i="3"/>
  <c r="DV81" i="3"/>
  <c r="DV82" i="3"/>
  <c r="DV83" i="3"/>
  <c r="DV84" i="3"/>
  <c r="DV85" i="3"/>
  <c r="DV86" i="3"/>
  <c r="DV87" i="3"/>
  <c r="DV88" i="3"/>
  <c r="DV89" i="3"/>
  <c r="DV90" i="3"/>
  <c r="DV91" i="3"/>
  <c r="DV92" i="3"/>
  <c r="DV93" i="3"/>
  <c r="DV94" i="3"/>
  <c r="DV95" i="3"/>
  <c r="DV96" i="3"/>
  <c r="DV97" i="3"/>
  <c r="DV98" i="3"/>
  <c r="DV99" i="3"/>
  <c r="DV100" i="3"/>
  <c r="DV101" i="3"/>
  <c r="DV102" i="3"/>
  <c r="DV103" i="3"/>
  <c r="DV104" i="3"/>
  <c r="DV105" i="3"/>
  <c r="DV106" i="3"/>
  <c r="DV107" i="3"/>
  <c r="DV108" i="3"/>
  <c r="DV109" i="3"/>
  <c r="DV110" i="3"/>
  <c r="DV111" i="3"/>
  <c r="DV112" i="3"/>
  <c r="DV113" i="3"/>
  <c r="DV114" i="3"/>
  <c r="DV115" i="3"/>
  <c r="DV116" i="3"/>
  <c r="DV117" i="3"/>
  <c r="DV118" i="3"/>
  <c r="DV119" i="3"/>
  <c r="DV120" i="3"/>
  <c r="DV121" i="3"/>
  <c r="DV122" i="3"/>
  <c r="DV123" i="3"/>
  <c r="DV24" i="3"/>
  <c r="DN25" i="3"/>
  <c r="DN26" i="3"/>
  <c r="DN27" i="3"/>
  <c r="DN28" i="3"/>
  <c r="DN29" i="3"/>
  <c r="DN30" i="3"/>
  <c r="DN31" i="3"/>
  <c r="DN32" i="3"/>
  <c r="DN33" i="3"/>
  <c r="DN34" i="3"/>
  <c r="DN35" i="3"/>
  <c r="DN36" i="3"/>
  <c r="DN37" i="3"/>
  <c r="DN38" i="3"/>
  <c r="DN39" i="3"/>
  <c r="DN40" i="3"/>
  <c r="DN41" i="3"/>
  <c r="DN42" i="3"/>
  <c r="DN43" i="3"/>
  <c r="DN44" i="3"/>
  <c r="DN45" i="3"/>
  <c r="DN46" i="3"/>
  <c r="DN47" i="3"/>
  <c r="DN48" i="3"/>
  <c r="DN49" i="3"/>
  <c r="DN50" i="3"/>
  <c r="DN51" i="3"/>
  <c r="DN52" i="3"/>
  <c r="DN53" i="3"/>
  <c r="DN54" i="3"/>
  <c r="DN55" i="3"/>
  <c r="DN56" i="3"/>
  <c r="DN57" i="3"/>
  <c r="DN58" i="3"/>
  <c r="DN59" i="3"/>
  <c r="DN60" i="3"/>
  <c r="DN61" i="3"/>
  <c r="DN62" i="3"/>
  <c r="DN63" i="3"/>
  <c r="DN64" i="3"/>
  <c r="DN65" i="3"/>
  <c r="DN66" i="3"/>
  <c r="DN67" i="3"/>
  <c r="DN68" i="3"/>
  <c r="DN69" i="3"/>
  <c r="DN70" i="3"/>
  <c r="DN71" i="3"/>
  <c r="DN72" i="3"/>
  <c r="DN73" i="3"/>
  <c r="DN74" i="3"/>
  <c r="DN75" i="3"/>
  <c r="DN76" i="3"/>
  <c r="DN77" i="3"/>
  <c r="DN78" i="3"/>
  <c r="DN79" i="3"/>
  <c r="DN80" i="3"/>
  <c r="DN81" i="3"/>
  <c r="DN82" i="3"/>
  <c r="DN83" i="3"/>
  <c r="DN84" i="3"/>
  <c r="DN85" i="3"/>
  <c r="DN86" i="3"/>
  <c r="DN87" i="3"/>
  <c r="DN88" i="3"/>
  <c r="DN89" i="3"/>
  <c r="DN90" i="3"/>
  <c r="DN91" i="3"/>
  <c r="DN92" i="3"/>
  <c r="DN93" i="3"/>
  <c r="DN94" i="3"/>
  <c r="DN95" i="3"/>
  <c r="DN96" i="3"/>
  <c r="DN97" i="3"/>
  <c r="DN98" i="3"/>
  <c r="DN99" i="3"/>
  <c r="DN100" i="3"/>
  <c r="DN101" i="3"/>
  <c r="DN102" i="3"/>
  <c r="DN103" i="3"/>
  <c r="DN104" i="3"/>
  <c r="DN105" i="3"/>
  <c r="DN106" i="3"/>
  <c r="DN107" i="3"/>
  <c r="DN108" i="3"/>
  <c r="DN109" i="3"/>
  <c r="DN110" i="3"/>
  <c r="DN111" i="3"/>
  <c r="DN112" i="3"/>
  <c r="DN113" i="3"/>
  <c r="DN114" i="3"/>
  <c r="DN115" i="3"/>
  <c r="DN116" i="3"/>
  <c r="DN117" i="3"/>
  <c r="DN118" i="3"/>
  <c r="DN119" i="3"/>
  <c r="DN120" i="3"/>
  <c r="DN121" i="3"/>
  <c r="DN122" i="3"/>
  <c r="DN123" i="3"/>
  <c r="DN24" i="3"/>
  <c r="EA27" i="15"/>
  <c r="EA28" i="15"/>
  <c r="EA29" i="15"/>
  <c r="EA30" i="15"/>
  <c r="EA31" i="15"/>
  <c r="EA32" i="15"/>
  <c r="EA33" i="15"/>
  <c r="EA34" i="15"/>
  <c r="EA35" i="15"/>
  <c r="EA36" i="15"/>
  <c r="EA37" i="15"/>
  <c r="EA38" i="15"/>
  <c r="EA39" i="15"/>
  <c r="EA40" i="15"/>
  <c r="EA41" i="15"/>
  <c r="EA42" i="15"/>
  <c r="EA43" i="15"/>
  <c r="EA44" i="15"/>
  <c r="EA45" i="15"/>
  <c r="EA46" i="15"/>
  <c r="EA47" i="15"/>
  <c r="EA48" i="15"/>
  <c r="EA49" i="15"/>
  <c r="EA50" i="15"/>
  <c r="EA51" i="15"/>
  <c r="EA52" i="15"/>
  <c r="EA53" i="15"/>
  <c r="EA54" i="15"/>
  <c r="EA55" i="15"/>
  <c r="EA56" i="15"/>
  <c r="EA57" i="15"/>
  <c r="EA58" i="15"/>
  <c r="EA59" i="15"/>
  <c r="EA60" i="15"/>
  <c r="EA61" i="15"/>
  <c r="EA62" i="15"/>
  <c r="EA63" i="15"/>
  <c r="EA64" i="15"/>
  <c r="EA65" i="15"/>
  <c r="EA26" i="15"/>
  <c r="DP27" i="15"/>
  <c r="DP28" i="15"/>
  <c r="DP29" i="15"/>
  <c r="DP30" i="15"/>
  <c r="DP31" i="15"/>
  <c r="DP32" i="15"/>
  <c r="DP33" i="15"/>
  <c r="DP34" i="15"/>
  <c r="DP35" i="15"/>
  <c r="DP36" i="15"/>
  <c r="DP37" i="15"/>
  <c r="DP38" i="15"/>
  <c r="DP39" i="15"/>
  <c r="DP40" i="15"/>
  <c r="DP41" i="15"/>
  <c r="DP42" i="15"/>
  <c r="DP43" i="15"/>
  <c r="DP44" i="15"/>
  <c r="DP45" i="15"/>
  <c r="DP46" i="15"/>
  <c r="DP47" i="15"/>
  <c r="DP48" i="15"/>
  <c r="DP49" i="15"/>
  <c r="DP50" i="15"/>
  <c r="DP51" i="15"/>
  <c r="DP52" i="15"/>
  <c r="DP53" i="15"/>
  <c r="DP54" i="15"/>
  <c r="DP55" i="15"/>
  <c r="DP56" i="15"/>
  <c r="DP57" i="15"/>
  <c r="DP58" i="15"/>
  <c r="DP59" i="15"/>
  <c r="DP60" i="15"/>
  <c r="DP61" i="15"/>
  <c r="DP62" i="15"/>
  <c r="DP63" i="15"/>
  <c r="DP64" i="15"/>
  <c r="DP65" i="15"/>
  <c r="DP26" i="15"/>
  <c r="CO25" i="3" l="1"/>
  <c r="CO26" i="3"/>
  <c r="CO27" i="3"/>
  <c r="CO28" i="3"/>
  <c r="CO29" i="3"/>
  <c r="CO30" i="3"/>
  <c r="CO31" i="3"/>
  <c r="CO32" i="3"/>
  <c r="CO33" i="3"/>
  <c r="CO34" i="3"/>
  <c r="CO35" i="3"/>
  <c r="CO36" i="3"/>
  <c r="CO37" i="3"/>
  <c r="CO38" i="3"/>
  <c r="CO39" i="3"/>
  <c r="CO40" i="3"/>
  <c r="CO41" i="3"/>
  <c r="CO42" i="3"/>
  <c r="CO43" i="3"/>
  <c r="CO44" i="3"/>
  <c r="CO45" i="3"/>
  <c r="CO46" i="3"/>
  <c r="CO47" i="3"/>
  <c r="CO48" i="3"/>
  <c r="CO49" i="3"/>
  <c r="CO50" i="3"/>
  <c r="CO51" i="3"/>
  <c r="CO52" i="3"/>
  <c r="CO53" i="3"/>
  <c r="CO54" i="3"/>
  <c r="CO55" i="3"/>
  <c r="CO56" i="3"/>
  <c r="CO57" i="3"/>
  <c r="CO58" i="3"/>
  <c r="CO59" i="3"/>
  <c r="CO60" i="3"/>
  <c r="CO61" i="3"/>
  <c r="CO62" i="3"/>
  <c r="CO63" i="3"/>
  <c r="CO64" i="3"/>
  <c r="CO65" i="3"/>
  <c r="CO66" i="3"/>
  <c r="CO67" i="3"/>
  <c r="CO68" i="3"/>
  <c r="CO69" i="3"/>
  <c r="CO70" i="3"/>
  <c r="CO71" i="3"/>
  <c r="CO72" i="3"/>
  <c r="CO73" i="3"/>
  <c r="CO74" i="3"/>
  <c r="CO75" i="3"/>
  <c r="CO76" i="3"/>
  <c r="CO77" i="3"/>
  <c r="CO78" i="3"/>
  <c r="CO79" i="3"/>
  <c r="CO80" i="3"/>
  <c r="CO81" i="3"/>
  <c r="CO82" i="3"/>
  <c r="CO83" i="3"/>
  <c r="CO84" i="3"/>
  <c r="CO85" i="3"/>
  <c r="CO86" i="3"/>
  <c r="CO87" i="3"/>
  <c r="CO88" i="3"/>
  <c r="CO89" i="3"/>
  <c r="CO90" i="3"/>
  <c r="CO91" i="3"/>
  <c r="CO92" i="3"/>
  <c r="CO93" i="3"/>
  <c r="CO94" i="3"/>
  <c r="CO95" i="3"/>
  <c r="CO96" i="3"/>
  <c r="CO97" i="3"/>
  <c r="CO98" i="3"/>
  <c r="CO99" i="3"/>
  <c r="CO100" i="3"/>
  <c r="CO101" i="3"/>
  <c r="CO102" i="3"/>
  <c r="CO103" i="3"/>
  <c r="CO104" i="3"/>
  <c r="CO105" i="3"/>
  <c r="CO106" i="3"/>
  <c r="CO107" i="3"/>
  <c r="CO108" i="3"/>
  <c r="CO109" i="3"/>
  <c r="CO110" i="3"/>
  <c r="CO111" i="3"/>
  <c r="CO112" i="3"/>
  <c r="CO113" i="3"/>
  <c r="CO114" i="3"/>
  <c r="CO115" i="3"/>
  <c r="CO116" i="3"/>
  <c r="CO117" i="3"/>
  <c r="CO118" i="3"/>
  <c r="CO119" i="3"/>
  <c r="CO120" i="3"/>
  <c r="CO121" i="3"/>
  <c r="CO122" i="3"/>
  <c r="CO123" i="3"/>
  <c r="CN25" i="3"/>
  <c r="CN26" i="3"/>
  <c r="CN27" i="3"/>
  <c r="CN28" i="3"/>
  <c r="CN29" i="3"/>
  <c r="CN30" i="3"/>
  <c r="CN31" i="3"/>
  <c r="CN32" i="3"/>
  <c r="CN33" i="3"/>
  <c r="CN34" i="3"/>
  <c r="CN35" i="3"/>
  <c r="CN36" i="3"/>
  <c r="CN37" i="3"/>
  <c r="CN38" i="3"/>
  <c r="CN39" i="3"/>
  <c r="CN40" i="3"/>
  <c r="CN41" i="3"/>
  <c r="CN42" i="3"/>
  <c r="CN43" i="3"/>
  <c r="CN44" i="3"/>
  <c r="CN45" i="3"/>
  <c r="CN46" i="3"/>
  <c r="CN47" i="3"/>
  <c r="CN48" i="3"/>
  <c r="CN49" i="3"/>
  <c r="CN50" i="3"/>
  <c r="CN51" i="3"/>
  <c r="CN52" i="3"/>
  <c r="CN53" i="3"/>
  <c r="CN54" i="3"/>
  <c r="CN55" i="3"/>
  <c r="CN56" i="3"/>
  <c r="CN57" i="3"/>
  <c r="CN58" i="3"/>
  <c r="CN59" i="3"/>
  <c r="CN60" i="3"/>
  <c r="CN61" i="3"/>
  <c r="CN62" i="3"/>
  <c r="CN63" i="3"/>
  <c r="CN64" i="3"/>
  <c r="CN65" i="3"/>
  <c r="CN66" i="3"/>
  <c r="CN67" i="3"/>
  <c r="CN68" i="3"/>
  <c r="CN69" i="3"/>
  <c r="CN70" i="3"/>
  <c r="CN71" i="3"/>
  <c r="CN72" i="3"/>
  <c r="CN73" i="3"/>
  <c r="CN74" i="3"/>
  <c r="CN75" i="3"/>
  <c r="CN76" i="3"/>
  <c r="CN77" i="3"/>
  <c r="CN78" i="3"/>
  <c r="CN79" i="3"/>
  <c r="CN80" i="3"/>
  <c r="CN81" i="3"/>
  <c r="CN82" i="3"/>
  <c r="CN83" i="3"/>
  <c r="CN84" i="3"/>
  <c r="CN85" i="3"/>
  <c r="CN86" i="3"/>
  <c r="CN87" i="3"/>
  <c r="CN88" i="3"/>
  <c r="CN89" i="3"/>
  <c r="CN90" i="3"/>
  <c r="CN91" i="3"/>
  <c r="CN92" i="3"/>
  <c r="CN93" i="3"/>
  <c r="CN94" i="3"/>
  <c r="CN95" i="3"/>
  <c r="CN96" i="3"/>
  <c r="CN97" i="3"/>
  <c r="CN98" i="3"/>
  <c r="CN99" i="3"/>
  <c r="CN100" i="3"/>
  <c r="CN101" i="3"/>
  <c r="CN102" i="3"/>
  <c r="CN103" i="3"/>
  <c r="CN104" i="3"/>
  <c r="CN105" i="3"/>
  <c r="CN106" i="3"/>
  <c r="CN107" i="3"/>
  <c r="CN108" i="3"/>
  <c r="CN109" i="3"/>
  <c r="CN110" i="3"/>
  <c r="CN111" i="3"/>
  <c r="CN112" i="3"/>
  <c r="CN113" i="3"/>
  <c r="CN114" i="3"/>
  <c r="CN115" i="3"/>
  <c r="CN116" i="3"/>
  <c r="CN117" i="3"/>
  <c r="CN118" i="3"/>
  <c r="CN119" i="3"/>
  <c r="CN120" i="3"/>
  <c r="CN121" i="3"/>
  <c r="CN122" i="3"/>
  <c r="CN123" i="3"/>
  <c r="CO24" i="3"/>
  <c r="CN24" i="3"/>
  <c r="Y25" i="3" l="1"/>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24" i="3"/>
  <c r="AU25" i="3"/>
  <c r="AT25" i="3" s="1"/>
  <c r="AU26" i="3"/>
  <c r="AT26" i="3" s="1"/>
  <c r="AU27" i="3"/>
  <c r="AT27" i="3" s="1"/>
  <c r="AU28" i="3"/>
  <c r="AT28" i="3" s="1"/>
  <c r="AU29" i="3"/>
  <c r="AT29" i="3" s="1"/>
  <c r="AU30" i="3"/>
  <c r="AT30" i="3" s="1"/>
  <c r="AU31" i="3"/>
  <c r="AT31" i="3" s="1"/>
  <c r="AU32" i="3"/>
  <c r="AT32" i="3" s="1"/>
  <c r="AU33" i="3"/>
  <c r="AT33" i="3" s="1"/>
  <c r="AU34" i="3"/>
  <c r="AT34" i="3" s="1"/>
  <c r="AU35" i="3"/>
  <c r="AT35" i="3" s="1"/>
  <c r="AU36" i="3"/>
  <c r="AT36" i="3" s="1"/>
  <c r="AU37" i="3"/>
  <c r="AT37" i="3" s="1"/>
  <c r="AU38" i="3"/>
  <c r="AT38" i="3" s="1"/>
  <c r="AU39" i="3"/>
  <c r="AT39" i="3" s="1"/>
  <c r="AU40" i="3"/>
  <c r="AT40" i="3" s="1"/>
  <c r="AU41" i="3"/>
  <c r="AT41" i="3" s="1"/>
  <c r="AU42" i="3"/>
  <c r="AT42" i="3" s="1"/>
  <c r="AU43" i="3"/>
  <c r="AT43" i="3" s="1"/>
  <c r="AU44" i="3"/>
  <c r="AT44" i="3" s="1"/>
  <c r="AU45" i="3"/>
  <c r="AT45" i="3" s="1"/>
  <c r="AU46" i="3"/>
  <c r="AT46" i="3" s="1"/>
  <c r="AU47" i="3"/>
  <c r="AT47" i="3" s="1"/>
  <c r="AU48" i="3"/>
  <c r="AT48" i="3" s="1"/>
  <c r="AU49" i="3"/>
  <c r="AT49" i="3" s="1"/>
  <c r="AU50" i="3"/>
  <c r="AT50" i="3" s="1"/>
  <c r="AU51" i="3"/>
  <c r="AT51" i="3" s="1"/>
  <c r="AU52" i="3"/>
  <c r="AT52" i="3" s="1"/>
  <c r="AU53" i="3"/>
  <c r="AT53" i="3" s="1"/>
  <c r="AU54" i="3"/>
  <c r="AT54" i="3" s="1"/>
  <c r="AU55" i="3"/>
  <c r="AT55" i="3" s="1"/>
  <c r="AU56" i="3"/>
  <c r="AT56" i="3" s="1"/>
  <c r="AU57" i="3"/>
  <c r="AT57" i="3" s="1"/>
  <c r="AU58" i="3"/>
  <c r="AT58" i="3" s="1"/>
  <c r="AU59" i="3"/>
  <c r="AT59" i="3" s="1"/>
  <c r="AU60" i="3"/>
  <c r="AT60" i="3" s="1"/>
  <c r="AU61" i="3"/>
  <c r="AT61" i="3" s="1"/>
  <c r="AU62" i="3"/>
  <c r="AT62" i="3" s="1"/>
  <c r="AU63" i="3"/>
  <c r="AT63" i="3" s="1"/>
  <c r="AU64" i="3"/>
  <c r="AT64" i="3" s="1"/>
  <c r="AU65" i="3"/>
  <c r="AT65" i="3" s="1"/>
  <c r="AU66" i="3"/>
  <c r="AT66" i="3" s="1"/>
  <c r="AU67" i="3"/>
  <c r="AT67" i="3" s="1"/>
  <c r="AU68" i="3"/>
  <c r="AT68" i="3" s="1"/>
  <c r="AU69" i="3"/>
  <c r="AT69" i="3" s="1"/>
  <c r="AU70" i="3"/>
  <c r="AT70" i="3" s="1"/>
  <c r="AU71" i="3"/>
  <c r="AT71" i="3" s="1"/>
  <c r="AU72" i="3"/>
  <c r="AT72" i="3" s="1"/>
  <c r="AU73" i="3"/>
  <c r="AT73" i="3" s="1"/>
  <c r="AU74" i="3"/>
  <c r="AT74" i="3" s="1"/>
  <c r="AU75" i="3"/>
  <c r="AT75" i="3" s="1"/>
  <c r="AU76" i="3"/>
  <c r="AT76" i="3" s="1"/>
  <c r="AU77" i="3"/>
  <c r="AT77" i="3" s="1"/>
  <c r="AU78" i="3"/>
  <c r="AT78" i="3" s="1"/>
  <c r="AU79" i="3"/>
  <c r="AT79" i="3" s="1"/>
  <c r="AU80" i="3"/>
  <c r="AT80" i="3" s="1"/>
  <c r="AU81" i="3"/>
  <c r="AT81" i="3" s="1"/>
  <c r="AU82" i="3"/>
  <c r="AT82" i="3" s="1"/>
  <c r="AU83" i="3"/>
  <c r="AT83" i="3" s="1"/>
  <c r="AU84" i="3"/>
  <c r="AT84" i="3" s="1"/>
  <c r="AU85" i="3"/>
  <c r="AT85" i="3" s="1"/>
  <c r="AU86" i="3"/>
  <c r="AT86" i="3" s="1"/>
  <c r="AU87" i="3"/>
  <c r="AT87" i="3" s="1"/>
  <c r="AU88" i="3"/>
  <c r="AT88" i="3" s="1"/>
  <c r="AU89" i="3"/>
  <c r="AT89" i="3" s="1"/>
  <c r="AU90" i="3"/>
  <c r="AT90" i="3" s="1"/>
  <c r="AU91" i="3"/>
  <c r="AT91" i="3" s="1"/>
  <c r="AU92" i="3"/>
  <c r="AT92" i="3" s="1"/>
  <c r="AU93" i="3"/>
  <c r="AT93" i="3" s="1"/>
  <c r="AU94" i="3"/>
  <c r="AT94" i="3" s="1"/>
  <c r="AU95" i="3"/>
  <c r="AT95" i="3" s="1"/>
  <c r="AU96" i="3"/>
  <c r="AT96" i="3" s="1"/>
  <c r="AU97" i="3"/>
  <c r="AT97" i="3" s="1"/>
  <c r="AU98" i="3"/>
  <c r="AT98" i="3" s="1"/>
  <c r="AU99" i="3"/>
  <c r="AT99" i="3" s="1"/>
  <c r="AU100" i="3"/>
  <c r="AT100" i="3" s="1"/>
  <c r="AU101" i="3"/>
  <c r="AT101" i="3" s="1"/>
  <c r="AU102" i="3"/>
  <c r="AT102" i="3" s="1"/>
  <c r="AU103" i="3"/>
  <c r="AT103" i="3" s="1"/>
  <c r="AU104" i="3"/>
  <c r="AT104" i="3" s="1"/>
  <c r="AU105" i="3"/>
  <c r="AT105" i="3" s="1"/>
  <c r="AU106" i="3"/>
  <c r="AT106" i="3" s="1"/>
  <c r="AU107" i="3"/>
  <c r="AT107" i="3" s="1"/>
  <c r="AU108" i="3"/>
  <c r="AT108" i="3" s="1"/>
  <c r="AU109" i="3"/>
  <c r="AT109" i="3" s="1"/>
  <c r="AU110" i="3"/>
  <c r="AT110" i="3" s="1"/>
  <c r="AU111" i="3"/>
  <c r="AT111" i="3" s="1"/>
  <c r="AU112" i="3"/>
  <c r="AT112" i="3" s="1"/>
  <c r="AU113" i="3"/>
  <c r="AT113" i="3" s="1"/>
  <c r="AU114" i="3"/>
  <c r="AT114" i="3" s="1"/>
  <c r="AU115" i="3"/>
  <c r="AT115" i="3" s="1"/>
  <c r="AU116" i="3"/>
  <c r="AT116" i="3" s="1"/>
  <c r="AU117" i="3"/>
  <c r="AT117" i="3" s="1"/>
  <c r="AU118" i="3"/>
  <c r="AT118" i="3" s="1"/>
  <c r="AU119" i="3"/>
  <c r="AT119" i="3" s="1"/>
  <c r="AU120" i="3"/>
  <c r="AT120" i="3" s="1"/>
  <c r="AU121" i="3"/>
  <c r="AT121" i="3" s="1"/>
  <c r="AU122" i="3"/>
  <c r="AT122" i="3" s="1"/>
  <c r="AU123" i="3"/>
  <c r="AT123" i="3" s="1"/>
  <c r="AU24" i="3"/>
  <c r="AT24" i="3" s="1"/>
  <c r="AS25" i="3"/>
  <c r="AR25" i="3" s="1"/>
  <c r="AS26" i="3"/>
  <c r="AR26" i="3" s="1"/>
  <c r="AS27" i="3"/>
  <c r="AR27" i="3" s="1"/>
  <c r="AS28" i="3"/>
  <c r="AR28" i="3" s="1"/>
  <c r="AS29" i="3"/>
  <c r="AR29" i="3" s="1"/>
  <c r="AS30" i="3"/>
  <c r="AR30" i="3" s="1"/>
  <c r="AS31" i="3"/>
  <c r="AR31" i="3" s="1"/>
  <c r="AS32" i="3"/>
  <c r="AR32" i="3" s="1"/>
  <c r="AS33" i="3"/>
  <c r="AR33" i="3" s="1"/>
  <c r="AS34" i="3"/>
  <c r="AR34" i="3" s="1"/>
  <c r="AS35" i="3"/>
  <c r="AR35" i="3" s="1"/>
  <c r="AS36" i="3"/>
  <c r="AR36" i="3" s="1"/>
  <c r="AS37" i="3"/>
  <c r="AR37" i="3" s="1"/>
  <c r="AS38" i="3"/>
  <c r="AR38" i="3" s="1"/>
  <c r="AS39" i="3"/>
  <c r="AR39" i="3" s="1"/>
  <c r="AS40" i="3"/>
  <c r="AR40" i="3" s="1"/>
  <c r="AS41" i="3"/>
  <c r="AR41" i="3" s="1"/>
  <c r="AS42" i="3"/>
  <c r="AR42" i="3" s="1"/>
  <c r="AS43" i="3"/>
  <c r="AR43" i="3" s="1"/>
  <c r="AS44" i="3"/>
  <c r="AR44" i="3" s="1"/>
  <c r="AS45" i="3"/>
  <c r="AR45" i="3" s="1"/>
  <c r="AS46" i="3"/>
  <c r="AR46" i="3" s="1"/>
  <c r="AS47" i="3"/>
  <c r="AR47" i="3" s="1"/>
  <c r="AS48" i="3"/>
  <c r="AR48" i="3" s="1"/>
  <c r="AS49" i="3"/>
  <c r="AR49" i="3" s="1"/>
  <c r="AS50" i="3"/>
  <c r="AR50" i="3" s="1"/>
  <c r="AS51" i="3"/>
  <c r="AR51" i="3" s="1"/>
  <c r="AS52" i="3"/>
  <c r="AR52" i="3" s="1"/>
  <c r="AS53" i="3"/>
  <c r="AR53" i="3" s="1"/>
  <c r="AS54" i="3"/>
  <c r="AR54" i="3" s="1"/>
  <c r="AS55" i="3"/>
  <c r="AR55" i="3" s="1"/>
  <c r="AS56" i="3"/>
  <c r="AR56" i="3" s="1"/>
  <c r="AS57" i="3"/>
  <c r="AR57" i="3" s="1"/>
  <c r="AS58" i="3"/>
  <c r="AR58" i="3" s="1"/>
  <c r="AS59" i="3"/>
  <c r="AR59" i="3" s="1"/>
  <c r="AS60" i="3"/>
  <c r="AR60" i="3" s="1"/>
  <c r="AS61" i="3"/>
  <c r="AR61" i="3" s="1"/>
  <c r="AS62" i="3"/>
  <c r="AR62" i="3" s="1"/>
  <c r="AS63" i="3"/>
  <c r="AR63" i="3" s="1"/>
  <c r="AS64" i="3"/>
  <c r="AR64" i="3" s="1"/>
  <c r="AS65" i="3"/>
  <c r="AR65" i="3" s="1"/>
  <c r="AS66" i="3"/>
  <c r="AR66" i="3" s="1"/>
  <c r="AS67" i="3"/>
  <c r="AR67" i="3" s="1"/>
  <c r="AS68" i="3"/>
  <c r="AR68" i="3" s="1"/>
  <c r="AS69" i="3"/>
  <c r="AR69" i="3" s="1"/>
  <c r="AS70" i="3"/>
  <c r="AR70" i="3" s="1"/>
  <c r="AS71" i="3"/>
  <c r="AR71" i="3" s="1"/>
  <c r="AS72" i="3"/>
  <c r="AR72" i="3" s="1"/>
  <c r="AS73" i="3"/>
  <c r="AR73" i="3" s="1"/>
  <c r="AS74" i="3"/>
  <c r="AR74" i="3" s="1"/>
  <c r="AS75" i="3"/>
  <c r="AR75" i="3" s="1"/>
  <c r="AS76" i="3"/>
  <c r="AR76" i="3" s="1"/>
  <c r="AS77" i="3"/>
  <c r="AR77" i="3" s="1"/>
  <c r="AS78" i="3"/>
  <c r="AR78" i="3" s="1"/>
  <c r="AS79" i="3"/>
  <c r="AR79" i="3" s="1"/>
  <c r="AS80" i="3"/>
  <c r="AR80" i="3" s="1"/>
  <c r="AS81" i="3"/>
  <c r="AR81" i="3" s="1"/>
  <c r="AS82" i="3"/>
  <c r="AR82" i="3" s="1"/>
  <c r="AS83" i="3"/>
  <c r="AR83" i="3" s="1"/>
  <c r="AS84" i="3"/>
  <c r="AR84" i="3" s="1"/>
  <c r="AS85" i="3"/>
  <c r="AR85" i="3" s="1"/>
  <c r="AS86" i="3"/>
  <c r="AR86" i="3" s="1"/>
  <c r="AS87" i="3"/>
  <c r="AR87" i="3" s="1"/>
  <c r="AS88" i="3"/>
  <c r="AR88" i="3" s="1"/>
  <c r="AS89" i="3"/>
  <c r="AR89" i="3" s="1"/>
  <c r="AS90" i="3"/>
  <c r="AR90" i="3" s="1"/>
  <c r="AS91" i="3"/>
  <c r="AR91" i="3" s="1"/>
  <c r="AS92" i="3"/>
  <c r="AR92" i="3" s="1"/>
  <c r="AS93" i="3"/>
  <c r="AR93" i="3" s="1"/>
  <c r="AS94" i="3"/>
  <c r="AR94" i="3" s="1"/>
  <c r="AS95" i="3"/>
  <c r="AR95" i="3" s="1"/>
  <c r="AS96" i="3"/>
  <c r="AR96" i="3" s="1"/>
  <c r="AS97" i="3"/>
  <c r="AR97" i="3" s="1"/>
  <c r="AS98" i="3"/>
  <c r="AR98" i="3" s="1"/>
  <c r="AS99" i="3"/>
  <c r="AR99" i="3" s="1"/>
  <c r="AS100" i="3"/>
  <c r="AR100" i="3" s="1"/>
  <c r="AS101" i="3"/>
  <c r="AR101" i="3" s="1"/>
  <c r="AS102" i="3"/>
  <c r="AR102" i="3" s="1"/>
  <c r="AS103" i="3"/>
  <c r="AR103" i="3" s="1"/>
  <c r="AS104" i="3"/>
  <c r="AR104" i="3" s="1"/>
  <c r="AS105" i="3"/>
  <c r="AR105" i="3" s="1"/>
  <c r="AS106" i="3"/>
  <c r="AR106" i="3" s="1"/>
  <c r="AS107" i="3"/>
  <c r="AR107" i="3" s="1"/>
  <c r="AS108" i="3"/>
  <c r="AR108" i="3" s="1"/>
  <c r="AS109" i="3"/>
  <c r="AR109" i="3" s="1"/>
  <c r="AS110" i="3"/>
  <c r="AR110" i="3" s="1"/>
  <c r="AS111" i="3"/>
  <c r="AR111" i="3" s="1"/>
  <c r="AS112" i="3"/>
  <c r="AR112" i="3" s="1"/>
  <c r="AS113" i="3"/>
  <c r="AR113" i="3" s="1"/>
  <c r="AS114" i="3"/>
  <c r="AR114" i="3" s="1"/>
  <c r="AS115" i="3"/>
  <c r="AR115" i="3" s="1"/>
  <c r="AS116" i="3"/>
  <c r="AR116" i="3" s="1"/>
  <c r="AS117" i="3"/>
  <c r="AR117" i="3" s="1"/>
  <c r="AS118" i="3"/>
  <c r="AR118" i="3" s="1"/>
  <c r="AS119" i="3"/>
  <c r="AR119" i="3" s="1"/>
  <c r="AS120" i="3"/>
  <c r="AR120" i="3" s="1"/>
  <c r="AS121" i="3"/>
  <c r="AR121" i="3" s="1"/>
  <c r="AS122" i="3"/>
  <c r="AR122" i="3" s="1"/>
  <c r="AS123" i="3"/>
  <c r="AR123" i="3" s="1"/>
  <c r="AS24" i="3"/>
  <c r="AR24" i="3" s="1"/>
  <c r="DW25" i="3"/>
  <c r="DW26" i="3"/>
  <c r="DW27" i="3"/>
  <c r="DW28" i="3"/>
  <c r="DW29" i="3"/>
  <c r="DW30" i="3"/>
  <c r="DW31" i="3"/>
  <c r="DW32" i="3"/>
  <c r="DW33" i="3"/>
  <c r="DW34" i="3"/>
  <c r="DW35" i="3"/>
  <c r="DW36" i="3"/>
  <c r="DW37" i="3"/>
  <c r="DW38" i="3"/>
  <c r="DW39" i="3"/>
  <c r="DW40" i="3"/>
  <c r="DW41" i="3"/>
  <c r="DW42" i="3"/>
  <c r="DW43" i="3"/>
  <c r="DW44" i="3"/>
  <c r="DW45" i="3"/>
  <c r="DW46" i="3"/>
  <c r="DW47" i="3"/>
  <c r="DW48" i="3"/>
  <c r="DW49" i="3"/>
  <c r="DW50" i="3"/>
  <c r="DW51" i="3"/>
  <c r="DW52" i="3"/>
  <c r="DW53" i="3"/>
  <c r="DW54" i="3"/>
  <c r="DW55" i="3"/>
  <c r="DW56" i="3"/>
  <c r="DW57" i="3"/>
  <c r="DW58" i="3"/>
  <c r="DW59" i="3"/>
  <c r="DW60" i="3"/>
  <c r="DW61" i="3"/>
  <c r="DW62" i="3"/>
  <c r="DW63" i="3"/>
  <c r="DW64" i="3"/>
  <c r="DW65" i="3"/>
  <c r="DW66" i="3"/>
  <c r="DW67" i="3"/>
  <c r="DW68" i="3"/>
  <c r="DW69" i="3"/>
  <c r="DW70" i="3"/>
  <c r="DW71" i="3"/>
  <c r="DW72" i="3"/>
  <c r="DW73" i="3"/>
  <c r="DW74" i="3"/>
  <c r="DW75" i="3"/>
  <c r="DW76" i="3"/>
  <c r="DW77" i="3"/>
  <c r="DW78" i="3"/>
  <c r="DW79" i="3"/>
  <c r="DW80" i="3"/>
  <c r="DW81" i="3"/>
  <c r="DW82" i="3"/>
  <c r="DW83" i="3"/>
  <c r="DW84" i="3"/>
  <c r="DW85" i="3"/>
  <c r="DW86" i="3"/>
  <c r="DW87" i="3"/>
  <c r="DW88" i="3"/>
  <c r="DW89" i="3"/>
  <c r="DW90" i="3"/>
  <c r="DW91" i="3"/>
  <c r="DW92" i="3"/>
  <c r="DW93" i="3"/>
  <c r="DW94" i="3"/>
  <c r="DW95" i="3"/>
  <c r="DW96" i="3"/>
  <c r="DW97" i="3"/>
  <c r="DW98" i="3"/>
  <c r="DW99" i="3"/>
  <c r="DW100" i="3"/>
  <c r="DW101" i="3"/>
  <c r="DW102" i="3"/>
  <c r="DW103" i="3"/>
  <c r="DW104" i="3"/>
  <c r="DW105" i="3"/>
  <c r="DW106" i="3"/>
  <c r="DW107" i="3"/>
  <c r="DW108" i="3"/>
  <c r="DW109" i="3"/>
  <c r="DW110" i="3"/>
  <c r="DW111" i="3"/>
  <c r="DW112" i="3"/>
  <c r="DW113" i="3"/>
  <c r="DW114" i="3"/>
  <c r="DW115" i="3"/>
  <c r="DW116" i="3"/>
  <c r="DW117" i="3"/>
  <c r="DW118" i="3"/>
  <c r="DW119" i="3"/>
  <c r="DW120" i="3"/>
  <c r="DW121" i="3"/>
  <c r="DW122" i="3"/>
  <c r="DW123" i="3"/>
  <c r="DW24" i="3"/>
  <c r="DU25" i="3"/>
  <c r="DU26" i="3"/>
  <c r="DU27" i="3"/>
  <c r="DU28" i="3"/>
  <c r="DU29" i="3"/>
  <c r="DU30" i="3"/>
  <c r="DU31" i="3"/>
  <c r="DU32" i="3"/>
  <c r="DU33" i="3"/>
  <c r="DU34" i="3"/>
  <c r="DU35" i="3"/>
  <c r="DU36" i="3"/>
  <c r="DU37" i="3"/>
  <c r="DU38" i="3"/>
  <c r="DU39" i="3"/>
  <c r="DU40" i="3"/>
  <c r="DU41" i="3"/>
  <c r="DU42" i="3"/>
  <c r="DU43" i="3"/>
  <c r="DU44" i="3"/>
  <c r="DU45" i="3"/>
  <c r="DU46" i="3"/>
  <c r="DU47" i="3"/>
  <c r="DU48" i="3"/>
  <c r="DU49" i="3"/>
  <c r="DU50" i="3"/>
  <c r="DU51" i="3"/>
  <c r="DU52" i="3"/>
  <c r="DU53" i="3"/>
  <c r="DU54" i="3"/>
  <c r="DU55" i="3"/>
  <c r="DU56" i="3"/>
  <c r="DU57" i="3"/>
  <c r="DU58" i="3"/>
  <c r="DU59" i="3"/>
  <c r="DU60" i="3"/>
  <c r="DU61" i="3"/>
  <c r="DU62" i="3"/>
  <c r="DU63" i="3"/>
  <c r="DU64" i="3"/>
  <c r="DU65" i="3"/>
  <c r="DU66" i="3"/>
  <c r="DU67" i="3"/>
  <c r="DU68" i="3"/>
  <c r="DU69" i="3"/>
  <c r="DU70" i="3"/>
  <c r="DU71" i="3"/>
  <c r="DU72" i="3"/>
  <c r="DU73" i="3"/>
  <c r="DU74" i="3"/>
  <c r="DU75" i="3"/>
  <c r="DU76" i="3"/>
  <c r="DU77" i="3"/>
  <c r="DU78" i="3"/>
  <c r="DU79" i="3"/>
  <c r="DU80" i="3"/>
  <c r="DU81" i="3"/>
  <c r="DU82" i="3"/>
  <c r="DU83" i="3"/>
  <c r="DU84" i="3"/>
  <c r="DU85" i="3"/>
  <c r="DU86" i="3"/>
  <c r="DU87" i="3"/>
  <c r="DU88" i="3"/>
  <c r="DU89" i="3"/>
  <c r="DU90" i="3"/>
  <c r="DU91" i="3"/>
  <c r="DU92" i="3"/>
  <c r="DU93" i="3"/>
  <c r="DU94" i="3"/>
  <c r="DU95" i="3"/>
  <c r="DU96" i="3"/>
  <c r="DU97" i="3"/>
  <c r="DU98" i="3"/>
  <c r="DU99" i="3"/>
  <c r="DU100" i="3"/>
  <c r="DU101" i="3"/>
  <c r="DU102" i="3"/>
  <c r="DU103" i="3"/>
  <c r="DU104" i="3"/>
  <c r="DU105" i="3"/>
  <c r="DU106" i="3"/>
  <c r="DU107" i="3"/>
  <c r="DU108" i="3"/>
  <c r="DU109" i="3"/>
  <c r="DU110" i="3"/>
  <c r="DU111" i="3"/>
  <c r="DU112" i="3"/>
  <c r="DU113" i="3"/>
  <c r="DU114" i="3"/>
  <c r="DU115" i="3"/>
  <c r="DU116" i="3"/>
  <c r="DU117" i="3"/>
  <c r="DU118" i="3"/>
  <c r="DU119" i="3"/>
  <c r="DU120" i="3"/>
  <c r="DU121" i="3"/>
  <c r="DU122" i="3"/>
  <c r="DU123" i="3"/>
  <c r="DU24" i="3"/>
  <c r="DS25" i="3"/>
  <c r="DS26" i="3"/>
  <c r="DS27" i="3"/>
  <c r="DS28" i="3"/>
  <c r="DS29" i="3"/>
  <c r="DS30" i="3"/>
  <c r="DS31" i="3"/>
  <c r="DS32" i="3"/>
  <c r="DS33" i="3"/>
  <c r="DS34" i="3"/>
  <c r="DS35" i="3"/>
  <c r="DS36" i="3"/>
  <c r="DS37" i="3"/>
  <c r="DS38" i="3"/>
  <c r="DS39" i="3"/>
  <c r="DS40" i="3"/>
  <c r="DS41" i="3"/>
  <c r="DS42" i="3"/>
  <c r="DS43" i="3"/>
  <c r="DS44" i="3"/>
  <c r="DS45" i="3"/>
  <c r="DS46" i="3"/>
  <c r="DS47" i="3"/>
  <c r="DS48" i="3"/>
  <c r="DS49" i="3"/>
  <c r="DS50" i="3"/>
  <c r="DS51" i="3"/>
  <c r="DS52" i="3"/>
  <c r="DS53" i="3"/>
  <c r="DS54" i="3"/>
  <c r="DS55" i="3"/>
  <c r="DS56" i="3"/>
  <c r="DS57" i="3"/>
  <c r="DS58" i="3"/>
  <c r="DS59" i="3"/>
  <c r="DS60" i="3"/>
  <c r="DS61" i="3"/>
  <c r="DS62" i="3"/>
  <c r="DS63" i="3"/>
  <c r="DS64" i="3"/>
  <c r="DS65" i="3"/>
  <c r="DS66" i="3"/>
  <c r="DS67" i="3"/>
  <c r="DS68" i="3"/>
  <c r="DS69" i="3"/>
  <c r="DS70" i="3"/>
  <c r="DS71" i="3"/>
  <c r="DS72" i="3"/>
  <c r="DS73" i="3"/>
  <c r="DS74" i="3"/>
  <c r="DS75" i="3"/>
  <c r="DS76" i="3"/>
  <c r="DS77" i="3"/>
  <c r="DS78" i="3"/>
  <c r="DS79" i="3"/>
  <c r="DS80" i="3"/>
  <c r="DS81" i="3"/>
  <c r="DS82" i="3"/>
  <c r="DS83" i="3"/>
  <c r="DS84" i="3"/>
  <c r="DS85" i="3"/>
  <c r="DS86" i="3"/>
  <c r="DS87" i="3"/>
  <c r="DS88" i="3"/>
  <c r="DS89" i="3"/>
  <c r="DS90" i="3"/>
  <c r="DS91" i="3"/>
  <c r="DS92" i="3"/>
  <c r="DS93" i="3"/>
  <c r="DS94" i="3"/>
  <c r="DS95" i="3"/>
  <c r="DS96" i="3"/>
  <c r="DS97" i="3"/>
  <c r="DS98" i="3"/>
  <c r="DS99" i="3"/>
  <c r="DS100" i="3"/>
  <c r="DS101" i="3"/>
  <c r="DS102" i="3"/>
  <c r="DS103" i="3"/>
  <c r="DS104" i="3"/>
  <c r="DS105" i="3"/>
  <c r="DS106" i="3"/>
  <c r="DS107" i="3"/>
  <c r="DS108" i="3"/>
  <c r="DS109" i="3"/>
  <c r="DS110" i="3"/>
  <c r="DS111" i="3"/>
  <c r="DS112" i="3"/>
  <c r="DS113" i="3"/>
  <c r="DS114" i="3"/>
  <c r="DS115" i="3"/>
  <c r="DS116" i="3"/>
  <c r="DS117" i="3"/>
  <c r="DS118" i="3"/>
  <c r="DS119" i="3"/>
  <c r="DS120" i="3"/>
  <c r="DS121" i="3"/>
  <c r="DS122" i="3"/>
  <c r="DS123" i="3"/>
  <c r="DS24" i="3"/>
  <c r="DR25" i="3"/>
  <c r="DR26" i="3"/>
  <c r="DR27" i="3"/>
  <c r="DR28" i="3"/>
  <c r="DR29" i="3"/>
  <c r="DR30" i="3"/>
  <c r="DR31" i="3"/>
  <c r="DR32" i="3"/>
  <c r="DR33" i="3"/>
  <c r="DR34" i="3"/>
  <c r="DR35" i="3"/>
  <c r="DR36" i="3"/>
  <c r="DR37" i="3"/>
  <c r="DR38" i="3"/>
  <c r="DR39" i="3"/>
  <c r="DR40" i="3"/>
  <c r="DR41" i="3"/>
  <c r="DR42" i="3"/>
  <c r="DR43" i="3"/>
  <c r="DR44" i="3"/>
  <c r="DR45" i="3"/>
  <c r="DR46" i="3"/>
  <c r="DR47" i="3"/>
  <c r="DR48" i="3"/>
  <c r="DR49" i="3"/>
  <c r="DR50" i="3"/>
  <c r="DR51" i="3"/>
  <c r="DR52" i="3"/>
  <c r="DR53" i="3"/>
  <c r="DR54" i="3"/>
  <c r="DR55" i="3"/>
  <c r="DR56" i="3"/>
  <c r="DR57" i="3"/>
  <c r="DR58" i="3"/>
  <c r="DR59" i="3"/>
  <c r="DR60" i="3"/>
  <c r="DR61" i="3"/>
  <c r="DR62" i="3"/>
  <c r="DR63" i="3"/>
  <c r="DR64" i="3"/>
  <c r="DR65" i="3"/>
  <c r="DR66" i="3"/>
  <c r="DR67" i="3"/>
  <c r="DR68" i="3"/>
  <c r="DR69" i="3"/>
  <c r="DR70" i="3"/>
  <c r="DR71" i="3"/>
  <c r="DR72" i="3"/>
  <c r="DR73" i="3"/>
  <c r="DR74" i="3"/>
  <c r="DR75" i="3"/>
  <c r="DR76" i="3"/>
  <c r="DR77" i="3"/>
  <c r="DR78" i="3"/>
  <c r="DR79" i="3"/>
  <c r="DR80" i="3"/>
  <c r="DR81" i="3"/>
  <c r="DR82" i="3"/>
  <c r="DR83" i="3"/>
  <c r="DR84" i="3"/>
  <c r="DR85" i="3"/>
  <c r="DR86" i="3"/>
  <c r="DR87" i="3"/>
  <c r="DR88" i="3"/>
  <c r="DR89" i="3"/>
  <c r="DR90" i="3"/>
  <c r="DR91" i="3"/>
  <c r="DR92" i="3"/>
  <c r="DR93" i="3"/>
  <c r="DR94" i="3"/>
  <c r="DR95" i="3"/>
  <c r="DR96" i="3"/>
  <c r="DR97" i="3"/>
  <c r="DR98" i="3"/>
  <c r="DR99" i="3"/>
  <c r="DR100" i="3"/>
  <c r="DR101" i="3"/>
  <c r="DR102" i="3"/>
  <c r="DR103" i="3"/>
  <c r="DR104" i="3"/>
  <c r="DR105" i="3"/>
  <c r="DR106" i="3"/>
  <c r="DR107" i="3"/>
  <c r="DR108" i="3"/>
  <c r="DR109" i="3"/>
  <c r="DR110" i="3"/>
  <c r="DR111" i="3"/>
  <c r="DR112" i="3"/>
  <c r="DR113" i="3"/>
  <c r="DR114" i="3"/>
  <c r="DR115" i="3"/>
  <c r="DR116" i="3"/>
  <c r="DR117" i="3"/>
  <c r="DR118" i="3"/>
  <c r="DR119" i="3"/>
  <c r="DR120" i="3"/>
  <c r="DR121" i="3"/>
  <c r="DR122" i="3"/>
  <c r="DR123" i="3"/>
  <c r="DR24" i="3"/>
  <c r="DO25" i="3"/>
  <c r="DO26" i="3"/>
  <c r="DO27" i="3"/>
  <c r="DO28" i="3"/>
  <c r="DO29" i="3"/>
  <c r="DO30" i="3"/>
  <c r="DO31" i="3"/>
  <c r="DO32" i="3"/>
  <c r="DO33" i="3"/>
  <c r="DO34" i="3"/>
  <c r="DO35" i="3"/>
  <c r="DO36" i="3"/>
  <c r="DO37" i="3"/>
  <c r="DO38" i="3"/>
  <c r="DO39" i="3"/>
  <c r="DO40" i="3"/>
  <c r="DO41" i="3"/>
  <c r="DO42" i="3"/>
  <c r="DO43" i="3"/>
  <c r="DO44" i="3"/>
  <c r="DO45" i="3"/>
  <c r="DO46" i="3"/>
  <c r="DO47" i="3"/>
  <c r="DO48" i="3"/>
  <c r="DO49" i="3"/>
  <c r="DO50" i="3"/>
  <c r="DO51" i="3"/>
  <c r="DO52" i="3"/>
  <c r="DO53" i="3"/>
  <c r="DO54" i="3"/>
  <c r="DO55" i="3"/>
  <c r="DO56" i="3"/>
  <c r="DO57" i="3"/>
  <c r="DO58" i="3"/>
  <c r="DO59" i="3"/>
  <c r="DO60" i="3"/>
  <c r="DO61" i="3"/>
  <c r="DO62" i="3"/>
  <c r="DO63" i="3"/>
  <c r="DO64" i="3"/>
  <c r="DO65" i="3"/>
  <c r="DO66" i="3"/>
  <c r="DO67" i="3"/>
  <c r="DO68" i="3"/>
  <c r="DO69" i="3"/>
  <c r="DO70" i="3"/>
  <c r="DO71" i="3"/>
  <c r="DO72" i="3"/>
  <c r="DO73" i="3"/>
  <c r="DO74" i="3"/>
  <c r="DO75" i="3"/>
  <c r="DO76" i="3"/>
  <c r="DO77" i="3"/>
  <c r="DO78" i="3"/>
  <c r="DO79" i="3"/>
  <c r="DO80" i="3"/>
  <c r="DO81" i="3"/>
  <c r="DO82" i="3"/>
  <c r="DO83" i="3"/>
  <c r="DO84" i="3"/>
  <c r="DO85" i="3"/>
  <c r="DO86" i="3"/>
  <c r="DO87" i="3"/>
  <c r="DO88" i="3"/>
  <c r="DO89" i="3"/>
  <c r="DO90" i="3"/>
  <c r="DO91" i="3"/>
  <c r="DO92" i="3"/>
  <c r="DO93" i="3"/>
  <c r="DO94" i="3"/>
  <c r="DO95" i="3"/>
  <c r="DO96" i="3"/>
  <c r="DO97" i="3"/>
  <c r="DO98" i="3"/>
  <c r="DO99" i="3"/>
  <c r="DO100" i="3"/>
  <c r="DO101" i="3"/>
  <c r="DO102" i="3"/>
  <c r="DO103" i="3"/>
  <c r="DO104" i="3"/>
  <c r="DO105" i="3"/>
  <c r="DO106" i="3"/>
  <c r="DO107" i="3"/>
  <c r="DO108" i="3"/>
  <c r="DO109" i="3"/>
  <c r="DO110" i="3"/>
  <c r="DO111" i="3"/>
  <c r="DO112" i="3"/>
  <c r="DO113" i="3"/>
  <c r="DO114" i="3"/>
  <c r="DO115" i="3"/>
  <c r="DO116" i="3"/>
  <c r="DO117" i="3"/>
  <c r="DO118" i="3"/>
  <c r="DO119" i="3"/>
  <c r="DO120" i="3"/>
  <c r="DO121" i="3"/>
  <c r="DO122" i="3"/>
  <c r="DO123" i="3"/>
  <c r="DO24" i="3"/>
  <c r="DM25" i="3"/>
  <c r="DM26" i="3"/>
  <c r="DM27" i="3"/>
  <c r="DM28" i="3"/>
  <c r="DM29" i="3"/>
  <c r="DM30" i="3"/>
  <c r="DM31" i="3"/>
  <c r="DM32" i="3"/>
  <c r="DM33" i="3"/>
  <c r="DM34" i="3"/>
  <c r="DM35" i="3"/>
  <c r="DM36" i="3"/>
  <c r="DM37" i="3"/>
  <c r="DM38" i="3"/>
  <c r="DM39" i="3"/>
  <c r="DM40" i="3"/>
  <c r="DM41" i="3"/>
  <c r="DM42" i="3"/>
  <c r="DM43" i="3"/>
  <c r="DM44" i="3"/>
  <c r="DM45" i="3"/>
  <c r="DM46" i="3"/>
  <c r="DM47" i="3"/>
  <c r="DM48" i="3"/>
  <c r="DM49" i="3"/>
  <c r="DM50" i="3"/>
  <c r="DM51" i="3"/>
  <c r="DM52" i="3"/>
  <c r="DM53" i="3"/>
  <c r="DM54" i="3"/>
  <c r="DM55" i="3"/>
  <c r="DM56" i="3"/>
  <c r="DM57" i="3"/>
  <c r="DM58" i="3"/>
  <c r="DM59" i="3"/>
  <c r="DM60" i="3"/>
  <c r="DM61" i="3"/>
  <c r="DM62" i="3"/>
  <c r="DM63" i="3"/>
  <c r="DM64" i="3"/>
  <c r="DM65" i="3"/>
  <c r="DM66" i="3"/>
  <c r="DM67" i="3"/>
  <c r="DM68" i="3"/>
  <c r="DM69" i="3"/>
  <c r="DM70" i="3"/>
  <c r="DM71" i="3"/>
  <c r="DM72" i="3"/>
  <c r="DM73" i="3"/>
  <c r="DM74" i="3"/>
  <c r="DM75" i="3"/>
  <c r="DM76" i="3"/>
  <c r="DM77" i="3"/>
  <c r="DM78" i="3"/>
  <c r="DM79" i="3"/>
  <c r="DM80" i="3"/>
  <c r="DM81" i="3"/>
  <c r="DM82" i="3"/>
  <c r="DM83" i="3"/>
  <c r="DM84" i="3"/>
  <c r="DM85" i="3"/>
  <c r="DM86" i="3"/>
  <c r="DM87" i="3"/>
  <c r="DM88" i="3"/>
  <c r="DM89" i="3"/>
  <c r="DM90" i="3"/>
  <c r="DM91" i="3"/>
  <c r="DM92" i="3"/>
  <c r="DM93" i="3"/>
  <c r="DM94" i="3"/>
  <c r="DM95" i="3"/>
  <c r="DM96" i="3"/>
  <c r="DM97" i="3"/>
  <c r="DM98" i="3"/>
  <c r="DM99" i="3"/>
  <c r="DM100" i="3"/>
  <c r="DM101" i="3"/>
  <c r="DM102" i="3"/>
  <c r="DM103" i="3"/>
  <c r="DM104" i="3"/>
  <c r="DM105" i="3"/>
  <c r="DM106" i="3"/>
  <c r="DM107" i="3"/>
  <c r="DM108" i="3"/>
  <c r="DM109" i="3"/>
  <c r="DM110" i="3"/>
  <c r="DM111" i="3"/>
  <c r="DM112" i="3"/>
  <c r="DM113" i="3"/>
  <c r="DM114" i="3"/>
  <c r="DM115" i="3"/>
  <c r="DM116" i="3"/>
  <c r="DM117" i="3"/>
  <c r="DM118" i="3"/>
  <c r="DM119" i="3"/>
  <c r="DM120" i="3"/>
  <c r="DM121" i="3"/>
  <c r="DM122" i="3"/>
  <c r="DM123" i="3"/>
  <c r="DM24" i="3"/>
  <c r="DN27" i="15"/>
  <c r="DN28" i="15"/>
  <c r="DN29" i="15"/>
  <c r="DN30" i="15"/>
  <c r="DN31" i="15"/>
  <c r="DN32" i="15"/>
  <c r="DN33" i="15"/>
  <c r="DN34" i="15"/>
  <c r="DN35" i="15"/>
  <c r="DN36" i="15"/>
  <c r="DN37" i="15"/>
  <c r="DN38" i="15"/>
  <c r="DN39" i="15"/>
  <c r="DN40" i="15"/>
  <c r="DN41" i="15"/>
  <c r="DN42" i="15"/>
  <c r="DN43" i="15"/>
  <c r="DN44" i="15"/>
  <c r="DN45" i="15"/>
  <c r="DN46" i="15"/>
  <c r="DN47" i="15"/>
  <c r="DN48" i="15"/>
  <c r="DN49" i="15"/>
  <c r="DN50" i="15"/>
  <c r="DN51" i="15"/>
  <c r="DN52" i="15"/>
  <c r="DN53" i="15"/>
  <c r="DN54" i="15"/>
  <c r="DN55" i="15"/>
  <c r="DN56" i="15"/>
  <c r="DN57" i="15"/>
  <c r="DN58" i="15"/>
  <c r="DN59" i="15"/>
  <c r="DN60" i="15"/>
  <c r="DN61" i="15"/>
  <c r="DN62" i="15"/>
  <c r="DN63" i="15"/>
  <c r="DN64" i="15"/>
  <c r="DN65" i="15"/>
  <c r="DN26" i="15"/>
  <c r="DK25" i="3"/>
  <c r="DK26" i="3"/>
  <c r="DK27" i="3"/>
  <c r="DK28" i="3"/>
  <c r="DK29" i="3"/>
  <c r="DK30" i="3"/>
  <c r="DK31" i="3"/>
  <c r="DK32" i="3"/>
  <c r="DK33" i="3"/>
  <c r="DK34" i="3"/>
  <c r="DK35" i="3"/>
  <c r="DK36" i="3"/>
  <c r="DK37" i="3"/>
  <c r="DK38" i="3"/>
  <c r="DK39" i="3"/>
  <c r="DK40" i="3"/>
  <c r="DK41" i="3"/>
  <c r="DK42" i="3"/>
  <c r="DK43" i="3"/>
  <c r="DK44" i="3"/>
  <c r="DK45" i="3"/>
  <c r="DK46" i="3"/>
  <c r="DK47" i="3"/>
  <c r="DK48" i="3"/>
  <c r="DK49" i="3"/>
  <c r="DK50" i="3"/>
  <c r="DK51" i="3"/>
  <c r="DK52" i="3"/>
  <c r="DK53" i="3"/>
  <c r="DK54" i="3"/>
  <c r="DK55" i="3"/>
  <c r="DK56" i="3"/>
  <c r="DK57" i="3"/>
  <c r="DK58" i="3"/>
  <c r="DK59" i="3"/>
  <c r="DK60" i="3"/>
  <c r="DK61" i="3"/>
  <c r="DK62" i="3"/>
  <c r="DK63" i="3"/>
  <c r="DK64" i="3"/>
  <c r="DK65" i="3"/>
  <c r="DK66" i="3"/>
  <c r="DK67" i="3"/>
  <c r="DK68" i="3"/>
  <c r="DK69" i="3"/>
  <c r="DK70" i="3"/>
  <c r="DK71" i="3"/>
  <c r="DK72" i="3"/>
  <c r="DK73" i="3"/>
  <c r="DK74" i="3"/>
  <c r="DK75" i="3"/>
  <c r="DK76" i="3"/>
  <c r="DK77" i="3"/>
  <c r="DK78" i="3"/>
  <c r="DK79" i="3"/>
  <c r="DK80" i="3"/>
  <c r="DK81" i="3"/>
  <c r="DK82" i="3"/>
  <c r="DK83" i="3"/>
  <c r="DK84" i="3"/>
  <c r="DK85" i="3"/>
  <c r="DK86" i="3"/>
  <c r="DK87" i="3"/>
  <c r="DK88" i="3"/>
  <c r="DK89" i="3"/>
  <c r="DK90" i="3"/>
  <c r="DK91" i="3"/>
  <c r="DK92" i="3"/>
  <c r="DK93" i="3"/>
  <c r="DK94" i="3"/>
  <c r="DK95" i="3"/>
  <c r="DK96" i="3"/>
  <c r="DK97" i="3"/>
  <c r="DK98" i="3"/>
  <c r="DK99" i="3"/>
  <c r="DK100" i="3"/>
  <c r="DK101" i="3"/>
  <c r="DK102" i="3"/>
  <c r="DK103" i="3"/>
  <c r="DK104" i="3"/>
  <c r="DK105" i="3"/>
  <c r="DK106" i="3"/>
  <c r="DK107" i="3"/>
  <c r="DK108" i="3"/>
  <c r="DK109" i="3"/>
  <c r="DK110" i="3"/>
  <c r="DK111" i="3"/>
  <c r="DK112" i="3"/>
  <c r="DK113" i="3"/>
  <c r="DK114" i="3"/>
  <c r="DK115" i="3"/>
  <c r="DK116" i="3"/>
  <c r="DK117" i="3"/>
  <c r="DK118" i="3"/>
  <c r="DK119" i="3"/>
  <c r="DK120" i="3"/>
  <c r="DK121" i="3"/>
  <c r="DK122" i="3"/>
  <c r="DK123" i="3"/>
  <c r="DK24" i="3"/>
  <c r="DJ25" i="3"/>
  <c r="DJ26" i="3"/>
  <c r="DJ27" i="3"/>
  <c r="DJ28" i="3"/>
  <c r="DJ29" i="3"/>
  <c r="DJ30" i="3"/>
  <c r="DJ31" i="3"/>
  <c r="DJ32" i="3"/>
  <c r="DJ33" i="3"/>
  <c r="DJ34" i="3"/>
  <c r="DJ35" i="3"/>
  <c r="DJ36" i="3"/>
  <c r="DJ37" i="3"/>
  <c r="DJ38" i="3"/>
  <c r="DJ39" i="3"/>
  <c r="DJ40" i="3"/>
  <c r="DJ41" i="3"/>
  <c r="DJ42" i="3"/>
  <c r="DJ43" i="3"/>
  <c r="DJ44" i="3"/>
  <c r="DJ45" i="3"/>
  <c r="DJ46" i="3"/>
  <c r="DJ47" i="3"/>
  <c r="DJ48" i="3"/>
  <c r="DJ49" i="3"/>
  <c r="DJ50" i="3"/>
  <c r="DJ51" i="3"/>
  <c r="DJ52" i="3"/>
  <c r="DJ53" i="3"/>
  <c r="DJ54" i="3"/>
  <c r="DJ55" i="3"/>
  <c r="DJ56" i="3"/>
  <c r="DJ57" i="3"/>
  <c r="DJ58" i="3"/>
  <c r="DJ59" i="3"/>
  <c r="DJ60" i="3"/>
  <c r="DJ61" i="3"/>
  <c r="DJ62" i="3"/>
  <c r="DJ63" i="3"/>
  <c r="DJ64" i="3"/>
  <c r="DJ65" i="3"/>
  <c r="DJ66" i="3"/>
  <c r="DJ67" i="3"/>
  <c r="DJ68" i="3"/>
  <c r="DJ69" i="3"/>
  <c r="DJ70" i="3"/>
  <c r="DJ71" i="3"/>
  <c r="DJ72" i="3"/>
  <c r="DJ73" i="3"/>
  <c r="DJ74" i="3"/>
  <c r="DJ75" i="3"/>
  <c r="DJ76" i="3"/>
  <c r="DJ77" i="3"/>
  <c r="DJ78" i="3"/>
  <c r="DJ79" i="3"/>
  <c r="DJ80" i="3"/>
  <c r="DJ81" i="3"/>
  <c r="DJ82" i="3"/>
  <c r="DJ83" i="3"/>
  <c r="DJ84" i="3"/>
  <c r="DJ85" i="3"/>
  <c r="DJ86" i="3"/>
  <c r="DJ87" i="3"/>
  <c r="DJ88" i="3"/>
  <c r="DJ89" i="3"/>
  <c r="DJ90" i="3"/>
  <c r="DJ91" i="3"/>
  <c r="DJ92" i="3"/>
  <c r="DJ93" i="3"/>
  <c r="DJ94" i="3"/>
  <c r="DJ95" i="3"/>
  <c r="DJ96" i="3"/>
  <c r="DJ97" i="3"/>
  <c r="DJ98" i="3"/>
  <c r="DJ99" i="3"/>
  <c r="DJ100" i="3"/>
  <c r="DJ101" i="3"/>
  <c r="DJ102" i="3"/>
  <c r="DJ103" i="3"/>
  <c r="DJ104" i="3"/>
  <c r="DJ105" i="3"/>
  <c r="DJ106" i="3"/>
  <c r="DJ107" i="3"/>
  <c r="DJ108" i="3"/>
  <c r="DJ109" i="3"/>
  <c r="DJ110" i="3"/>
  <c r="DJ111" i="3"/>
  <c r="DJ112" i="3"/>
  <c r="DJ113" i="3"/>
  <c r="DJ114" i="3"/>
  <c r="DJ115" i="3"/>
  <c r="DJ116" i="3"/>
  <c r="DJ117" i="3"/>
  <c r="DJ118" i="3"/>
  <c r="DJ119" i="3"/>
  <c r="DJ120" i="3"/>
  <c r="DJ121" i="3"/>
  <c r="DJ122" i="3"/>
  <c r="DJ123" i="3"/>
  <c r="DJ24" i="3"/>
  <c r="AU27" i="15" l="1"/>
  <c r="AU28" i="15"/>
  <c r="AU29" i="15"/>
  <c r="AU30" i="15"/>
  <c r="AU31" i="15"/>
  <c r="AU32" i="15"/>
  <c r="AU33" i="15"/>
  <c r="AU34" i="15"/>
  <c r="AU35" i="15"/>
  <c r="AU36" i="15"/>
  <c r="AU37" i="15"/>
  <c r="AU38" i="15"/>
  <c r="AU39" i="15"/>
  <c r="AU40" i="15"/>
  <c r="AU41" i="15"/>
  <c r="AU42" i="15"/>
  <c r="AU43" i="15"/>
  <c r="AU44" i="15"/>
  <c r="AU45" i="15"/>
  <c r="AU46" i="15"/>
  <c r="AU47" i="15"/>
  <c r="AU48" i="15"/>
  <c r="AU49" i="15"/>
  <c r="AU50" i="15"/>
  <c r="AU51" i="15"/>
  <c r="AU52" i="15"/>
  <c r="AU53" i="15"/>
  <c r="AU54" i="15"/>
  <c r="AU55" i="15"/>
  <c r="AU56" i="15"/>
  <c r="AU57" i="15"/>
  <c r="AU58" i="15"/>
  <c r="AU59" i="15"/>
  <c r="AU60" i="15"/>
  <c r="AU61" i="15"/>
  <c r="AU62" i="15"/>
  <c r="AU63" i="15"/>
  <c r="AU64" i="15"/>
  <c r="AU65" i="15"/>
  <c r="AU66" i="15"/>
  <c r="AU26" i="15"/>
  <c r="DW27" i="15"/>
  <c r="DW28" i="15"/>
  <c r="DW29" i="15"/>
  <c r="DW30" i="15"/>
  <c r="DW31" i="15"/>
  <c r="DW32" i="15"/>
  <c r="DW33" i="15"/>
  <c r="DW34" i="15"/>
  <c r="DW35" i="15"/>
  <c r="DW36" i="15"/>
  <c r="DW37" i="15"/>
  <c r="DW38" i="15"/>
  <c r="DW39" i="15"/>
  <c r="DW40" i="15"/>
  <c r="DW41" i="15"/>
  <c r="DW42" i="15"/>
  <c r="DW43" i="15"/>
  <c r="DW44" i="15"/>
  <c r="DW45" i="15"/>
  <c r="DW46" i="15"/>
  <c r="DW47" i="15"/>
  <c r="DW48" i="15"/>
  <c r="DW49" i="15"/>
  <c r="DW50" i="15"/>
  <c r="DW51" i="15"/>
  <c r="DW52" i="15"/>
  <c r="DW53" i="15"/>
  <c r="DW54" i="15"/>
  <c r="DW55" i="15"/>
  <c r="DW56" i="15"/>
  <c r="DW57" i="15"/>
  <c r="DW58" i="15"/>
  <c r="DW59" i="15"/>
  <c r="DW60" i="15"/>
  <c r="DW61" i="15"/>
  <c r="DW62" i="15"/>
  <c r="DW63" i="15"/>
  <c r="DW64" i="15"/>
  <c r="DW65" i="15"/>
  <c r="DW26" i="15"/>
  <c r="DV27" i="15"/>
  <c r="DV28" i="15"/>
  <c r="DV29" i="15"/>
  <c r="DV30" i="15"/>
  <c r="DV31" i="15"/>
  <c r="DV32" i="15"/>
  <c r="DV33" i="15"/>
  <c r="DV34" i="15"/>
  <c r="DV35" i="15"/>
  <c r="DV36" i="15"/>
  <c r="DV37" i="15"/>
  <c r="DV38" i="15"/>
  <c r="DV39" i="15"/>
  <c r="DV40" i="15"/>
  <c r="DV41" i="15"/>
  <c r="DV42" i="15"/>
  <c r="DV43" i="15"/>
  <c r="DV44" i="15"/>
  <c r="DV45" i="15"/>
  <c r="DV46" i="15"/>
  <c r="DV47" i="15"/>
  <c r="DV48" i="15"/>
  <c r="DV49" i="15"/>
  <c r="DV50" i="15"/>
  <c r="DV51" i="15"/>
  <c r="DV52" i="15"/>
  <c r="DV53" i="15"/>
  <c r="DV54" i="15"/>
  <c r="DV55" i="15"/>
  <c r="DV56" i="15"/>
  <c r="DV57" i="15"/>
  <c r="DV58" i="15"/>
  <c r="DV59" i="15"/>
  <c r="DV60" i="15"/>
  <c r="DV61" i="15"/>
  <c r="DV62" i="15"/>
  <c r="DV63" i="15"/>
  <c r="DV64" i="15"/>
  <c r="DV65" i="15"/>
  <c r="DV26" i="15"/>
  <c r="DZ27" i="15"/>
  <c r="DZ28" i="15"/>
  <c r="DZ29" i="15"/>
  <c r="DZ30" i="15"/>
  <c r="DZ31" i="15"/>
  <c r="DZ32" i="15"/>
  <c r="DZ33" i="15"/>
  <c r="DZ34" i="15"/>
  <c r="DZ35" i="15"/>
  <c r="DZ36" i="15"/>
  <c r="DZ37" i="15"/>
  <c r="DZ38" i="15"/>
  <c r="DZ39" i="15"/>
  <c r="DZ40" i="15"/>
  <c r="DZ41" i="15"/>
  <c r="DZ42" i="15"/>
  <c r="DZ43" i="15"/>
  <c r="DZ44" i="15"/>
  <c r="DZ45" i="15"/>
  <c r="DZ46" i="15"/>
  <c r="DZ47" i="15"/>
  <c r="DZ48" i="15"/>
  <c r="DZ49" i="15"/>
  <c r="DZ50" i="15"/>
  <c r="DZ51" i="15"/>
  <c r="DZ52" i="15"/>
  <c r="DZ53" i="15"/>
  <c r="DZ54" i="15"/>
  <c r="DZ55" i="15"/>
  <c r="DZ56" i="15"/>
  <c r="DZ57" i="15"/>
  <c r="DZ58" i="15"/>
  <c r="DZ59" i="15"/>
  <c r="DZ60" i="15"/>
  <c r="DZ61" i="15"/>
  <c r="DZ62" i="15"/>
  <c r="DZ63" i="15"/>
  <c r="DZ64" i="15"/>
  <c r="DZ65" i="15"/>
  <c r="DZ26" i="15"/>
  <c r="DY27" i="15"/>
  <c r="DY28" i="15"/>
  <c r="DY29" i="15"/>
  <c r="DY30" i="15"/>
  <c r="DY31" i="15"/>
  <c r="DY32" i="15"/>
  <c r="DY33" i="15"/>
  <c r="DY34" i="15"/>
  <c r="DY35" i="15"/>
  <c r="DY36" i="15"/>
  <c r="DY37" i="15"/>
  <c r="DY38" i="15"/>
  <c r="DY39" i="15"/>
  <c r="DY40" i="15"/>
  <c r="DY41" i="15"/>
  <c r="DY42" i="15"/>
  <c r="DY43" i="15"/>
  <c r="DY44" i="15"/>
  <c r="DY45" i="15"/>
  <c r="DY46" i="15"/>
  <c r="DY47" i="15"/>
  <c r="DY48" i="15"/>
  <c r="DY49" i="15"/>
  <c r="DY50" i="15"/>
  <c r="DY51" i="15"/>
  <c r="DY52" i="15"/>
  <c r="DY53" i="15"/>
  <c r="DY54" i="15"/>
  <c r="DY55" i="15"/>
  <c r="DY56" i="15"/>
  <c r="DY57" i="15"/>
  <c r="DY58" i="15"/>
  <c r="DY59" i="15"/>
  <c r="DY60" i="15"/>
  <c r="DY61" i="15"/>
  <c r="DY62" i="15"/>
  <c r="DY63" i="15"/>
  <c r="DY64" i="15"/>
  <c r="DY65" i="15"/>
  <c r="DY26" i="15"/>
  <c r="DO27" i="15"/>
  <c r="DO28" i="15"/>
  <c r="DO29" i="15"/>
  <c r="DO30" i="15"/>
  <c r="DO31" i="15"/>
  <c r="DO32" i="15"/>
  <c r="DO33" i="15"/>
  <c r="DO34" i="15"/>
  <c r="DO35" i="15"/>
  <c r="DO36" i="15"/>
  <c r="DO37" i="15"/>
  <c r="DO38" i="15"/>
  <c r="DO39" i="15"/>
  <c r="DO40" i="15"/>
  <c r="DO41" i="15"/>
  <c r="DO42" i="15"/>
  <c r="DO43" i="15"/>
  <c r="DO44" i="15"/>
  <c r="DO45" i="15"/>
  <c r="DO46" i="15"/>
  <c r="DO47" i="15"/>
  <c r="DO48" i="15"/>
  <c r="DO49" i="15"/>
  <c r="DO50" i="15"/>
  <c r="DO51" i="15"/>
  <c r="DO52" i="15"/>
  <c r="DO53" i="15"/>
  <c r="DO54" i="15"/>
  <c r="DO55" i="15"/>
  <c r="DO56" i="15"/>
  <c r="DO57" i="15"/>
  <c r="DO58" i="15"/>
  <c r="DO59" i="15"/>
  <c r="DO60" i="15"/>
  <c r="DO61" i="15"/>
  <c r="DO62" i="15"/>
  <c r="DO63" i="15"/>
  <c r="DO64" i="15"/>
  <c r="DO65" i="15"/>
  <c r="DO26" i="15"/>
  <c r="DX27" i="15"/>
  <c r="DX28" i="15"/>
  <c r="DX29" i="15"/>
  <c r="DX30" i="15"/>
  <c r="DX31" i="15"/>
  <c r="DX32" i="15"/>
  <c r="DX33" i="15"/>
  <c r="DX34" i="15"/>
  <c r="DX35" i="15"/>
  <c r="DX36" i="15"/>
  <c r="DX37" i="15"/>
  <c r="DX38" i="15"/>
  <c r="DX39" i="15"/>
  <c r="DX40" i="15"/>
  <c r="DX41" i="15"/>
  <c r="DX42" i="15"/>
  <c r="DX43" i="15"/>
  <c r="DX44" i="15"/>
  <c r="DX45" i="15"/>
  <c r="DX46" i="15"/>
  <c r="DX47" i="15"/>
  <c r="DX48" i="15"/>
  <c r="DX49" i="15"/>
  <c r="DX50" i="15"/>
  <c r="DX51" i="15"/>
  <c r="DX52" i="15"/>
  <c r="DX53" i="15"/>
  <c r="DX54" i="15"/>
  <c r="DX55" i="15"/>
  <c r="DX56" i="15"/>
  <c r="DX57" i="15"/>
  <c r="DX58" i="15"/>
  <c r="DX59" i="15"/>
  <c r="DX60" i="15"/>
  <c r="DX61" i="15"/>
  <c r="DX62" i="15"/>
  <c r="DX63" i="15"/>
  <c r="DX64" i="15"/>
  <c r="DX65" i="15"/>
  <c r="DX26" i="15"/>
  <c r="CN26" i="15"/>
  <c r="EB27" i="15"/>
  <c r="EB28" i="15"/>
  <c r="EB29" i="15"/>
  <c r="EB30" i="15"/>
  <c r="EB31" i="15"/>
  <c r="EB32" i="15"/>
  <c r="EB33" i="15"/>
  <c r="EB34" i="15"/>
  <c r="EB35" i="15"/>
  <c r="EB36" i="15"/>
  <c r="EB37" i="15"/>
  <c r="EB38" i="15"/>
  <c r="EB39" i="15"/>
  <c r="EB40" i="15"/>
  <c r="EB41" i="15"/>
  <c r="EB42" i="15"/>
  <c r="EB43" i="15"/>
  <c r="EB44" i="15"/>
  <c r="EB45" i="15"/>
  <c r="EB46" i="15"/>
  <c r="EB47" i="15"/>
  <c r="EB48" i="15"/>
  <c r="EB49" i="15"/>
  <c r="EB50" i="15"/>
  <c r="EB51" i="15"/>
  <c r="EB52" i="15"/>
  <c r="EB53" i="15"/>
  <c r="EB54" i="15"/>
  <c r="EB55" i="15"/>
  <c r="EB56" i="15"/>
  <c r="EB57" i="15"/>
  <c r="EB58" i="15"/>
  <c r="EB59" i="15"/>
  <c r="EB60" i="15"/>
  <c r="EB61" i="15"/>
  <c r="EB62" i="15"/>
  <c r="EB63" i="15"/>
  <c r="EB64" i="15"/>
  <c r="EB65" i="15"/>
  <c r="EB26" i="15"/>
  <c r="X17" i="4"/>
  <c r="X16" i="4"/>
  <c r="DP26" i="3" l="1"/>
  <c r="AR36" i="15" l="1"/>
  <c r="AR37" i="15"/>
  <c r="AR38" i="15"/>
  <c r="AR39" i="15"/>
  <c r="AR40" i="15"/>
  <c r="AR41" i="15"/>
  <c r="AR42" i="15"/>
  <c r="AR43" i="15"/>
  <c r="AR44" i="15"/>
  <c r="AR45" i="15"/>
  <c r="AR46" i="15"/>
  <c r="AR47" i="15"/>
  <c r="AR48" i="15"/>
  <c r="AR49" i="15"/>
  <c r="AR50" i="15"/>
  <c r="AR51" i="15"/>
  <c r="AR52" i="15"/>
  <c r="AR53" i="15"/>
  <c r="AR54" i="15"/>
  <c r="AR55" i="15"/>
  <c r="AR56" i="15"/>
  <c r="AR57" i="15"/>
  <c r="AR58" i="15"/>
  <c r="AR59" i="15"/>
  <c r="AR60" i="15"/>
  <c r="AR61" i="15"/>
  <c r="AR62" i="15"/>
  <c r="AR63" i="15"/>
  <c r="AR64" i="15"/>
  <c r="AR65" i="15"/>
  <c r="AR66" i="15"/>
  <c r="AV37" i="15"/>
  <c r="AV38" i="15"/>
  <c r="AV39" i="15"/>
  <c r="AV40" i="15"/>
  <c r="AV41" i="15"/>
  <c r="AV42" i="15"/>
  <c r="AV43" i="15"/>
  <c r="AV44" i="15"/>
  <c r="AV45" i="15"/>
  <c r="AV46" i="15"/>
  <c r="AV47" i="15"/>
  <c r="AV48" i="15"/>
  <c r="AV49" i="15"/>
  <c r="AV50" i="15"/>
  <c r="AV51" i="15"/>
  <c r="AV52" i="15"/>
  <c r="AV53" i="15"/>
  <c r="AV54" i="15"/>
  <c r="AV55" i="15"/>
  <c r="AV56" i="15"/>
  <c r="AV57" i="15"/>
  <c r="AV58" i="15"/>
  <c r="AV59" i="15"/>
  <c r="AV60" i="15"/>
  <c r="AV61" i="15"/>
  <c r="AV62" i="15"/>
  <c r="AV63" i="15"/>
  <c r="AV64" i="15"/>
  <c r="AV65" i="15"/>
  <c r="AV66" i="15"/>
  <c r="W11" i="4" l="1"/>
  <c r="X19" i="4"/>
  <c r="X18" i="4"/>
  <c r="X15" i="4"/>
  <c r="X14" i="4"/>
  <c r="X13" i="4"/>
  <c r="Y11" i="4"/>
  <c r="V23" i="4" l="1"/>
  <c r="V15" i="4"/>
  <c r="V13" i="4"/>
  <c r="V12" i="4"/>
  <c r="V17" i="4"/>
  <c r="V22" i="4"/>
  <c r="V14" i="4"/>
  <c r="V21" i="4"/>
  <c r="V20" i="4"/>
  <c r="V19" i="4"/>
  <c r="V18" i="4"/>
  <c r="V16" i="4"/>
  <c r="X12" i="4"/>
  <c r="X22" i="4"/>
  <c r="X20" i="4"/>
  <c r="X23" i="4"/>
  <c r="X21" i="4"/>
  <c r="DE24" i="3"/>
  <c r="DP24" i="3"/>
  <c r="DE25" i="3"/>
  <c r="DP25" i="3"/>
  <c r="DE26" i="3"/>
  <c r="DE27" i="3"/>
  <c r="DP27" i="3"/>
  <c r="DE28" i="3"/>
  <c r="DP28" i="3"/>
  <c r="DE29" i="3"/>
  <c r="DP29" i="3"/>
  <c r="DE30" i="3"/>
  <c r="DP30" i="3"/>
  <c r="DE31" i="3"/>
  <c r="DP31" i="3"/>
  <c r="DE32" i="3"/>
  <c r="DP32" i="3"/>
  <c r="DE33" i="3"/>
  <c r="DP33" i="3"/>
  <c r="DE34" i="3"/>
  <c r="DP34" i="3"/>
  <c r="DE35" i="3"/>
  <c r="DP35" i="3"/>
  <c r="DE36" i="3"/>
  <c r="DP36" i="3"/>
  <c r="DE37" i="3"/>
  <c r="DP37" i="3"/>
  <c r="DE38" i="3"/>
  <c r="DP38" i="3"/>
  <c r="DE39" i="3"/>
  <c r="DP39" i="3"/>
  <c r="DE40" i="3"/>
  <c r="DP40" i="3"/>
  <c r="DE41" i="3"/>
  <c r="DP41" i="3"/>
  <c r="DE42" i="3"/>
  <c r="DP42" i="3"/>
  <c r="DE43" i="3"/>
  <c r="DP43" i="3"/>
  <c r="DE44" i="3"/>
  <c r="DP44" i="3"/>
  <c r="DE45" i="3"/>
  <c r="DP45" i="3"/>
  <c r="DE46" i="3"/>
  <c r="DP46" i="3"/>
  <c r="DE47" i="3"/>
  <c r="DP47" i="3"/>
  <c r="DE48" i="3"/>
  <c r="DP48" i="3"/>
  <c r="DE49" i="3"/>
  <c r="DP49" i="3"/>
  <c r="DE50" i="3"/>
  <c r="DP50" i="3"/>
  <c r="DE51" i="3"/>
  <c r="DP51" i="3"/>
  <c r="DE52" i="3"/>
  <c r="DP52" i="3"/>
  <c r="DE53" i="3"/>
  <c r="DP53" i="3"/>
  <c r="DE54" i="3"/>
  <c r="DP54" i="3"/>
  <c r="DE55" i="3"/>
  <c r="DP55" i="3"/>
  <c r="DE56" i="3"/>
  <c r="DP56" i="3"/>
  <c r="DE57" i="3"/>
  <c r="DP57" i="3"/>
  <c r="DE58" i="3"/>
  <c r="DP58" i="3"/>
  <c r="DE59" i="3"/>
  <c r="DP59" i="3"/>
  <c r="DE60" i="3"/>
  <c r="DP60" i="3"/>
  <c r="DE61" i="3"/>
  <c r="DP61" i="3"/>
  <c r="DE62" i="3"/>
  <c r="DP62" i="3"/>
  <c r="DE63" i="3"/>
  <c r="DP63" i="3"/>
  <c r="DE64" i="3"/>
  <c r="DP64" i="3"/>
  <c r="DE65" i="3"/>
  <c r="DP65" i="3"/>
  <c r="DE66" i="3"/>
  <c r="DP66" i="3"/>
  <c r="DE67" i="3"/>
  <c r="DP67" i="3"/>
  <c r="DE68" i="3"/>
  <c r="DP68" i="3"/>
  <c r="DE69" i="3"/>
  <c r="DP69" i="3"/>
  <c r="DE70" i="3"/>
  <c r="DP70" i="3"/>
  <c r="DE71" i="3"/>
  <c r="DP71" i="3"/>
  <c r="DE72" i="3"/>
  <c r="DP72" i="3"/>
  <c r="DE73" i="3"/>
  <c r="DP73" i="3"/>
  <c r="DE74" i="3"/>
  <c r="DP74" i="3"/>
  <c r="DE75" i="3"/>
  <c r="DP75" i="3"/>
  <c r="DE76" i="3"/>
  <c r="DP76" i="3"/>
  <c r="DE77" i="3"/>
  <c r="DP77" i="3"/>
  <c r="DE78" i="3"/>
  <c r="DP78" i="3"/>
  <c r="DE79" i="3"/>
  <c r="DP79" i="3"/>
  <c r="DE80" i="3"/>
  <c r="DP80" i="3"/>
  <c r="DE81" i="3"/>
  <c r="DP81" i="3"/>
  <c r="DE82" i="3"/>
  <c r="DP82" i="3"/>
  <c r="DE83" i="3"/>
  <c r="DP83" i="3"/>
  <c r="DE84" i="3"/>
  <c r="DP84" i="3"/>
  <c r="DE85" i="3"/>
  <c r="DP85" i="3"/>
  <c r="DE86" i="3"/>
  <c r="DP86" i="3"/>
  <c r="DE87" i="3"/>
  <c r="DP87" i="3"/>
  <c r="DE88" i="3"/>
  <c r="DP88" i="3"/>
  <c r="DE89" i="3"/>
  <c r="DP89" i="3"/>
  <c r="DE90" i="3"/>
  <c r="DP90" i="3"/>
  <c r="DE91" i="3"/>
  <c r="DP91" i="3"/>
  <c r="DE92" i="3"/>
  <c r="DP92" i="3"/>
  <c r="DE93" i="3"/>
  <c r="DP93" i="3"/>
  <c r="DE94" i="3"/>
  <c r="DP94" i="3"/>
  <c r="DE95" i="3"/>
  <c r="DP95" i="3"/>
  <c r="DE96" i="3"/>
  <c r="DP96" i="3"/>
  <c r="DE97" i="3"/>
  <c r="DP97" i="3"/>
  <c r="DE98" i="3"/>
  <c r="DP98" i="3"/>
  <c r="DE99" i="3"/>
  <c r="DP99" i="3"/>
  <c r="DE100" i="3"/>
  <c r="DP100" i="3"/>
  <c r="DE101" i="3"/>
  <c r="DP101" i="3"/>
  <c r="DE102" i="3"/>
  <c r="DP102" i="3"/>
  <c r="DE103" i="3"/>
  <c r="DP103" i="3"/>
  <c r="DE104" i="3"/>
  <c r="DP104" i="3"/>
  <c r="DE105" i="3"/>
  <c r="DP105" i="3"/>
  <c r="DE106" i="3"/>
  <c r="DP106" i="3"/>
  <c r="DE107" i="3"/>
  <c r="DP107" i="3"/>
  <c r="DE108" i="3"/>
  <c r="DP108" i="3"/>
  <c r="DE109" i="3"/>
  <c r="DP109" i="3"/>
  <c r="DE110" i="3"/>
  <c r="DP110" i="3"/>
  <c r="DE111" i="3"/>
  <c r="DP111" i="3"/>
  <c r="DE112" i="3"/>
  <c r="DP112" i="3"/>
  <c r="DE113" i="3"/>
  <c r="DP113" i="3"/>
  <c r="DE114" i="3"/>
  <c r="DP114" i="3"/>
  <c r="DE115" i="3"/>
  <c r="DP115" i="3"/>
  <c r="DE116" i="3"/>
  <c r="DP116" i="3"/>
  <c r="DE117" i="3"/>
  <c r="DP117" i="3"/>
  <c r="DE118" i="3"/>
  <c r="DP118" i="3"/>
  <c r="DE119" i="3"/>
  <c r="DP119" i="3"/>
  <c r="DE120" i="3"/>
  <c r="DP120" i="3"/>
  <c r="DE121" i="3"/>
  <c r="DP121" i="3"/>
  <c r="DE122" i="3"/>
  <c r="DP122" i="3"/>
  <c r="DE123" i="3"/>
  <c r="DP123" i="3"/>
  <c r="DX11" i="3"/>
  <c r="AO26" i="3"/>
  <c r="AO24" i="3"/>
  <c r="AO25" i="3"/>
  <c r="AO27" i="3"/>
  <c r="AO28" i="3"/>
  <c r="AO29" i="3"/>
  <c r="AO30" i="3"/>
  <c r="AO31" i="3"/>
  <c r="AO32" i="3"/>
  <c r="AO33" i="3"/>
  <c r="AO34" i="3"/>
  <c r="AO35" i="3"/>
  <c r="AO36" i="3"/>
  <c r="AO37" i="3"/>
  <c r="AO38" i="3"/>
  <c r="AO39" i="3"/>
  <c r="AO40" i="3"/>
  <c r="AO41" i="3"/>
  <c r="AO42" i="3"/>
  <c r="AO43" i="3"/>
  <c r="AO44" i="3"/>
  <c r="AO45" i="3"/>
  <c r="AO46" i="3"/>
  <c r="AO47" i="3"/>
  <c r="AO48" i="3"/>
  <c r="AO49" i="3"/>
  <c r="AO50" i="3"/>
  <c r="AO51" i="3"/>
  <c r="AO52" i="3"/>
  <c r="AO53" i="3"/>
  <c r="AO54" i="3"/>
  <c r="AO55" i="3"/>
  <c r="AO56" i="3"/>
  <c r="AO57" i="3"/>
  <c r="AO58" i="3"/>
  <c r="AO59" i="3"/>
  <c r="AO60" i="3"/>
  <c r="AO61" i="3"/>
  <c r="AO62" i="3"/>
  <c r="AO63" i="3"/>
  <c r="AO64" i="3"/>
  <c r="AO65" i="3"/>
  <c r="AO66" i="3"/>
  <c r="AO67" i="3"/>
  <c r="AO68" i="3"/>
  <c r="AO69" i="3"/>
  <c r="AO70" i="3"/>
  <c r="AO71" i="3"/>
  <c r="AO72" i="3"/>
  <c r="AO73" i="3"/>
  <c r="AO74" i="3"/>
  <c r="AO75" i="3"/>
  <c r="AO76" i="3"/>
  <c r="AO77" i="3"/>
  <c r="AO78" i="3"/>
  <c r="AO79" i="3"/>
  <c r="AO80" i="3"/>
  <c r="AO81" i="3"/>
  <c r="AO82" i="3"/>
  <c r="AO83" i="3"/>
  <c r="AO84" i="3"/>
  <c r="AO85" i="3"/>
  <c r="AO86" i="3"/>
  <c r="AO87" i="3"/>
  <c r="AO88" i="3"/>
  <c r="AO89" i="3"/>
  <c r="AO90" i="3"/>
  <c r="AO91" i="3"/>
  <c r="AO92" i="3"/>
  <c r="AO93" i="3"/>
  <c r="AO94" i="3"/>
  <c r="AO95" i="3"/>
  <c r="AO96" i="3"/>
  <c r="AO97" i="3"/>
  <c r="AO98" i="3"/>
  <c r="AO99" i="3"/>
  <c r="AO100" i="3"/>
  <c r="AO101" i="3"/>
  <c r="AO102" i="3"/>
  <c r="AO103" i="3"/>
  <c r="AO104" i="3"/>
  <c r="AO105" i="3"/>
  <c r="AO106" i="3"/>
  <c r="AO107" i="3"/>
  <c r="AO108" i="3"/>
  <c r="AO109" i="3"/>
  <c r="AO110" i="3"/>
  <c r="AO111" i="3"/>
  <c r="AO112" i="3"/>
  <c r="AO113" i="3"/>
  <c r="AO114" i="3"/>
  <c r="AO115" i="3"/>
  <c r="AO116" i="3"/>
  <c r="AO117" i="3"/>
  <c r="AO118" i="3"/>
  <c r="AO119" i="3"/>
  <c r="AO120" i="3"/>
  <c r="AO121" i="3"/>
  <c r="AO122" i="3"/>
  <c r="AO123" i="3"/>
  <c r="CK24" i="3"/>
  <c r="CM24" i="3"/>
  <c r="AE24" i="3" s="1"/>
  <c r="AF24" i="3"/>
  <c r="CK25" i="3"/>
  <c r="CM25" i="3"/>
  <c r="AE25" i="3" s="1"/>
  <c r="AF25" i="3"/>
  <c r="CK26" i="3"/>
  <c r="CM26" i="3"/>
  <c r="AE26" i="3" s="1"/>
  <c r="AF26" i="3"/>
  <c r="CK27" i="3"/>
  <c r="CM27" i="3"/>
  <c r="AE27" i="3" s="1"/>
  <c r="AF27" i="3"/>
  <c r="CK28" i="3"/>
  <c r="CM28" i="3"/>
  <c r="AE28" i="3" s="1"/>
  <c r="AF28" i="3"/>
  <c r="CK29" i="3"/>
  <c r="CM29" i="3"/>
  <c r="AE29" i="3" s="1"/>
  <c r="AF29" i="3"/>
  <c r="BM72" i="3"/>
  <c r="H85" i="15"/>
  <c r="H86" i="15"/>
  <c r="AV26" i="15"/>
  <c r="AV27" i="15"/>
  <c r="AV28" i="15"/>
  <c r="AV29" i="15"/>
  <c r="AV30" i="15"/>
  <c r="AV31" i="15"/>
  <c r="AV32" i="15"/>
  <c r="AV33" i="15"/>
  <c r="AV34" i="15"/>
  <c r="AV35" i="15"/>
  <c r="AV36" i="15"/>
  <c r="AM29" i="15"/>
  <c r="DF26" i="15"/>
  <c r="DG26" i="15"/>
  <c r="DH26" i="15"/>
  <c r="DI26" i="15"/>
  <c r="DJ26" i="15"/>
  <c r="DF27" i="15"/>
  <c r="DG27" i="15"/>
  <c r="DH27" i="15"/>
  <c r="DI27" i="15"/>
  <c r="DJ27" i="15"/>
  <c r="DF28" i="15"/>
  <c r="DG28" i="15"/>
  <c r="DH28" i="15"/>
  <c r="DI28" i="15"/>
  <c r="DJ28" i="15"/>
  <c r="DF29" i="15"/>
  <c r="DG29" i="15"/>
  <c r="DH29" i="15"/>
  <c r="DI29" i="15"/>
  <c r="DJ29" i="15"/>
  <c r="DF30" i="15"/>
  <c r="DG30" i="15"/>
  <c r="DH30" i="15"/>
  <c r="DI30" i="15"/>
  <c r="DJ30" i="15"/>
  <c r="DF31" i="15"/>
  <c r="DG31" i="15"/>
  <c r="DH31" i="15"/>
  <c r="DI31" i="15"/>
  <c r="DJ31" i="15"/>
  <c r="DF32" i="15"/>
  <c r="DG32" i="15"/>
  <c r="DH32" i="15"/>
  <c r="DI32" i="15"/>
  <c r="DJ32" i="15"/>
  <c r="DF33" i="15"/>
  <c r="DG33" i="15"/>
  <c r="DH33" i="15"/>
  <c r="DI33" i="15"/>
  <c r="DJ33" i="15"/>
  <c r="DF34" i="15"/>
  <c r="DG34" i="15"/>
  <c r="DH34" i="15"/>
  <c r="DI34" i="15"/>
  <c r="DJ34" i="15"/>
  <c r="DF35" i="15"/>
  <c r="DG35" i="15"/>
  <c r="DH35" i="15"/>
  <c r="DI35" i="15"/>
  <c r="DJ35" i="15"/>
  <c r="DF36" i="15"/>
  <c r="DG36" i="15"/>
  <c r="DH36" i="15"/>
  <c r="DI36" i="15"/>
  <c r="DJ36" i="15"/>
  <c r="DF37" i="15"/>
  <c r="DG37" i="15"/>
  <c r="DH37" i="15"/>
  <c r="DI37" i="15"/>
  <c r="DJ37" i="15"/>
  <c r="BX37" i="15"/>
  <c r="DF38" i="15"/>
  <c r="DG38" i="15"/>
  <c r="DH38" i="15"/>
  <c r="DI38" i="15"/>
  <c r="DJ38" i="15"/>
  <c r="BX38" i="15"/>
  <c r="DF39" i="15"/>
  <c r="DG39" i="15"/>
  <c r="DH39" i="15"/>
  <c r="DI39" i="15"/>
  <c r="DJ39" i="15"/>
  <c r="BX39" i="15"/>
  <c r="DF40" i="15"/>
  <c r="DG40" i="15"/>
  <c r="DH40" i="15"/>
  <c r="DI40" i="15"/>
  <c r="DJ40" i="15"/>
  <c r="BX40" i="15"/>
  <c r="DF41" i="15"/>
  <c r="DG41" i="15"/>
  <c r="DH41" i="15"/>
  <c r="DI41" i="15"/>
  <c r="DJ41" i="15"/>
  <c r="BX41" i="15"/>
  <c r="DF42" i="15"/>
  <c r="DG42" i="15"/>
  <c r="DH42" i="15"/>
  <c r="DI42" i="15"/>
  <c r="DJ42" i="15"/>
  <c r="DF43" i="15"/>
  <c r="DG43" i="15"/>
  <c r="DH43" i="15"/>
  <c r="DI43" i="15"/>
  <c r="DJ43" i="15"/>
  <c r="BX43" i="15"/>
  <c r="DF44" i="15"/>
  <c r="DG44" i="15"/>
  <c r="DH44" i="15"/>
  <c r="DI44" i="15"/>
  <c r="DJ44" i="15"/>
  <c r="BX44" i="15"/>
  <c r="DF45" i="15"/>
  <c r="DG45" i="15"/>
  <c r="DH45" i="15"/>
  <c r="DI45" i="15"/>
  <c r="DJ45" i="15"/>
  <c r="BX45" i="15"/>
  <c r="DF46" i="15"/>
  <c r="DG46" i="15"/>
  <c r="DH46" i="15"/>
  <c r="DI46" i="15"/>
  <c r="DJ46" i="15"/>
  <c r="BX46" i="15"/>
  <c r="DF47" i="15"/>
  <c r="DG47" i="15"/>
  <c r="DH47" i="15"/>
  <c r="DI47" i="15"/>
  <c r="DJ47" i="15"/>
  <c r="BX47" i="15"/>
  <c r="DF48" i="15"/>
  <c r="DG48" i="15"/>
  <c r="DH48" i="15"/>
  <c r="DI48" i="15"/>
  <c r="DJ48" i="15"/>
  <c r="BX48" i="15"/>
  <c r="DF49" i="15"/>
  <c r="DG49" i="15"/>
  <c r="DH49" i="15"/>
  <c r="DI49" i="15"/>
  <c r="DJ49" i="15"/>
  <c r="BX49" i="15"/>
  <c r="DF50" i="15"/>
  <c r="DG50" i="15"/>
  <c r="DH50" i="15"/>
  <c r="DI50" i="15"/>
  <c r="DJ50" i="15"/>
  <c r="BX50" i="15"/>
  <c r="DF51" i="15"/>
  <c r="DG51" i="15"/>
  <c r="DH51" i="15"/>
  <c r="DI51" i="15"/>
  <c r="DJ51" i="15"/>
  <c r="BX51" i="15"/>
  <c r="DF52" i="15"/>
  <c r="DG52" i="15"/>
  <c r="DH52" i="15"/>
  <c r="DI52" i="15"/>
  <c r="DJ52" i="15"/>
  <c r="BX52" i="15"/>
  <c r="DF53" i="15"/>
  <c r="DG53" i="15"/>
  <c r="DH53" i="15"/>
  <c r="DI53" i="15"/>
  <c r="DJ53" i="15"/>
  <c r="BX53" i="15"/>
  <c r="DF54" i="15"/>
  <c r="DG54" i="15"/>
  <c r="DH54" i="15"/>
  <c r="DI54" i="15"/>
  <c r="DJ54" i="15"/>
  <c r="BX54" i="15"/>
  <c r="DF55" i="15"/>
  <c r="DG55" i="15"/>
  <c r="DH55" i="15"/>
  <c r="DI55" i="15"/>
  <c r="DJ55" i="15"/>
  <c r="BX55" i="15"/>
  <c r="DF56" i="15"/>
  <c r="DG56" i="15"/>
  <c r="DH56" i="15"/>
  <c r="DI56" i="15"/>
  <c r="DJ56" i="15"/>
  <c r="BX56" i="15"/>
  <c r="DF57" i="15"/>
  <c r="DG57" i="15"/>
  <c r="DH57" i="15"/>
  <c r="DI57" i="15"/>
  <c r="DJ57" i="15"/>
  <c r="BX57" i="15"/>
  <c r="DF58" i="15"/>
  <c r="DG58" i="15"/>
  <c r="DH58" i="15"/>
  <c r="DI58" i="15"/>
  <c r="DJ58" i="15"/>
  <c r="BX58" i="15"/>
  <c r="DF59" i="15"/>
  <c r="DG59" i="15"/>
  <c r="DH59" i="15"/>
  <c r="DI59" i="15"/>
  <c r="DJ59" i="15"/>
  <c r="BX59" i="15"/>
  <c r="DF60" i="15"/>
  <c r="DG60" i="15"/>
  <c r="DH60" i="15"/>
  <c r="DI60" i="15"/>
  <c r="DJ60" i="15"/>
  <c r="BX60" i="15"/>
  <c r="DF61" i="15"/>
  <c r="DG61" i="15"/>
  <c r="DH61" i="15"/>
  <c r="DI61" i="15"/>
  <c r="DJ61" i="15"/>
  <c r="BX61" i="15"/>
  <c r="DF62" i="15"/>
  <c r="DG62" i="15"/>
  <c r="DH62" i="15"/>
  <c r="DI62" i="15"/>
  <c r="DJ62" i="15"/>
  <c r="BX62" i="15"/>
  <c r="DF63" i="15"/>
  <c r="DG63" i="15"/>
  <c r="DH63" i="15"/>
  <c r="DI63" i="15"/>
  <c r="DJ63" i="15"/>
  <c r="BX63" i="15"/>
  <c r="DF64" i="15"/>
  <c r="DG64" i="15"/>
  <c r="DH64" i="15"/>
  <c r="DI64" i="15"/>
  <c r="DJ64" i="15"/>
  <c r="BX64" i="15"/>
  <c r="DF65" i="15"/>
  <c r="DG65" i="15"/>
  <c r="DH65" i="15"/>
  <c r="DI65" i="15"/>
  <c r="DJ65" i="15"/>
  <c r="BX65" i="15"/>
  <c r="EC9" i="15"/>
  <c r="AY26" i="15"/>
  <c r="AS26" i="15" s="1"/>
  <c r="AR26" i="15"/>
  <c r="AY27" i="15"/>
  <c r="AS27" i="15" s="1"/>
  <c r="AR27" i="15"/>
  <c r="AY28" i="15"/>
  <c r="AS28" i="15" s="1"/>
  <c r="AR28" i="15"/>
  <c r="AY29" i="15"/>
  <c r="AS29" i="15" s="1"/>
  <c r="AR29" i="15"/>
  <c r="AY30" i="15"/>
  <c r="AS30" i="15" s="1"/>
  <c r="AR30" i="15"/>
  <c r="AY31" i="15"/>
  <c r="AS31" i="15" s="1"/>
  <c r="AR31" i="15"/>
  <c r="AY32" i="15"/>
  <c r="AS32" i="15" s="1"/>
  <c r="AR32" i="15"/>
  <c r="AY33" i="15"/>
  <c r="AS33" i="15" s="1"/>
  <c r="AR33" i="15"/>
  <c r="AY34" i="15"/>
  <c r="AS34" i="15" s="1"/>
  <c r="AR34" i="15"/>
  <c r="AY35" i="15"/>
  <c r="AS35" i="15" s="1"/>
  <c r="AR35" i="15"/>
  <c r="AY36" i="15"/>
  <c r="AY37" i="15"/>
  <c r="AY38" i="15"/>
  <c r="AY39" i="15"/>
  <c r="AY40" i="15"/>
  <c r="AY41" i="15"/>
  <c r="AY42" i="15"/>
  <c r="AY43" i="15"/>
  <c r="AY44" i="15"/>
  <c r="AY45" i="15"/>
  <c r="AY46" i="15"/>
  <c r="AY47" i="15"/>
  <c r="AY48" i="15"/>
  <c r="AY49" i="15"/>
  <c r="AY50" i="15"/>
  <c r="AY51" i="15"/>
  <c r="AY52" i="15"/>
  <c r="AY53" i="15"/>
  <c r="AY54" i="15"/>
  <c r="AY55" i="15"/>
  <c r="AY56" i="15"/>
  <c r="AY57" i="15"/>
  <c r="AY58" i="15"/>
  <c r="AY59" i="15"/>
  <c r="AY60" i="15"/>
  <c r="AY61" i="15"/>
  <c r="AY62" i="15"/>
  <c r="AY63" i="15"/>
  <c r="AY64" i="15"/>
  <c r="AY65" i="15"/>
  <c r="X8" i="15"/>
  <c r="V26" i="15"/>
  <c r="X27" i="15"/>
  <c r="X28" i="15"/>
  <c r="X29" i="15"/>
  <c r="X30" i="15"/>
  <c r="V30" i="15"/>
  <c r="X31" i="15"/>
  <c r="X32" i="15"/>
  <c r="X33" i="15"/>
  <c r="X34" i="15"/>
  <c r="X35" i="15"/>
  <c r="B8" i="13"/>
  <c r="AW27" i="15"/>
  <c r="AW28" i="15"/>
  <c r="AW29" i="15"/>
  <c r="AW30" i="15"/>
  <c r="AW31" i="15"/>
  <c r="AW32" i="15"/>
  <c r="AW33" i="15"/>
  <c r="AW34" i="15"/>
  <c r="AW35" i="15"/>
  <c r="AW36" i="15"/>
  <c r="X36" i="15"/>
  <c r="V36" i="15"/>
  <c r="AW37" i="15"/>
  <c r="X37" i="15"/>
  <c r="V37" i="15"/>
  <c r="CL37" i="15"/>
  <c r="AW38" i="15"/>
  <c r="X38" i="15"/>
  <c r="V38" i="15"/>
  <c r="CL38" i="15"/>
  <c r="AW39" i="15"/>
  <c r="X39" i="15"/>
  <c r="V39" i="15"/>
  <c r="CL39" i="15"/>
  <c r="AW40" i="15"/>
  <c r="X40" i="15"/>
  <c r="V40" i="15"/>
  <c r="CL40" i="15"/>
  <c r="AW41" i="15"/>
  <c r="X41" i="15"/>
  <c r="V41" i="15"/>
  <c r="CL41" i="15"/>
  <c r="AW42" i="15"/>
  <c r="X42" i="15"/>
  <c r="V42" i="15"/>
  <c r="AW43" i="15"/>
  <c r="X43" i="15"/>
  <c r="V43" i="15"/>
  <c r="CL43" i="15"/>
  <c r="AW44" i="15"/>
  <c r="X44" i="15"/>
  <c r="V44" i="15"/>
  <c r="CL44" i="15"/>
  <c r="AW45" i="15"/>
  <c r="X45" i="15"/>
  <c r="V45" i="15"/>
  <c r="CL45" i="15"/>
  <c r="AW46" i="15"/>
  <c r="X46" i="15"/>
  <c r="V46" i="15"/>
  <c r="CL46" i="15"/>
  <c r="AW47" i="15"/>
  <c r="X47" i="15"/>
  <c r="V47" i="15"/>
  <c r="CL47" i="15"/>
  <c r="AW48" i="15"/>
  <c r="X48" i="15"/>
  <c r="V48" i="15"/>
  <c r="CL48" i="15"/>
  <c r="AW49" i="15"/>
  <c r="X49" i="15"/>
  <c r="V49" i="15"/>
  <c r="CL49" i="15"/>
  <c r="AW50" i="15"/>
  <c r="X50" i="15"/>
  <c r="V50" i="15"/>
  <c r="CL50" i="15"/>
  <c r="AW51" i="15"/>
  <c r="V51" i="15"/>
  <c r="X51" i="15"/>
  <c r="CL51" i="15"/>
  <c r="AW52" i="15"/>
  <c r="X52" i="15"/>
  <c r="V52" i="15"/>
  <c r="CL52" i="15"/>
  <c r="AW53" i="15"/>
  <c r="X53" i="15"/>
  <c r="V53" i="15"/>
  <c r="CL53" i="15"/>
  <c r="AW54" i="15"/>
  <c r="X54" i="15"/>
  <c r="V54" i="15"/>
  <c r="CL54" i="15"/>
  <c r="AW55" i="15"/>
  <c r="X55" i="15"/>
  <c r="V55" i="15"/>
  <c r="CL55" i="15"/>
  <c r="AW56" i="15"/>
  <c r="X56" i="15"/>
  <c r="V56" i="15"/>
  <c r="CL56" i="15"/>
  <c r="AW57" i="15"/>
  <c r="X57" i="15"/>
  <c r="V57" i="15"/>
  <c r="CL57" i="15"/>
  <c r="AW58" i="15"/>
  <c r="X58" i="15"/>
  <c r="V58" i="15"/>
  <c r="CL58" i="15"/>
  <c r="AW59" i="15"/>
  <c r="X59" i="15"/>
  <c r="V59" i="15"/>
  <c r="CL59" i="15"/>
  <c r="AW60" i="15"/>
  <c r="X60" i="15"/>
  <c r="V60" i="15"/>
  <c r="CL60" i="15"/>
  <c r="AW61" i="15"/>
  <c r="X61" i="15"/>
  <c r="V61" i="15"/>
  <c r="CL61" i="15"/>
  <c r="AW62" i="15"/>
  <c r="X62" i="15"/>
  <c r="V62" i="15"/>
  <c r="CL62" i="15"/>
  <c r="AW63" i="15"/>
  <c r="X63" i="15"/>
  <c r="V63" i="15"/>
  <c r="CL63" i="15"/>
  <c r="AW64" i="15"/>
  <c r="X64" i="15"/>
  <c r="V64" i="15"/>
  <c r="CL64" i="15"/>
  <c r="AW65" i="15"/>
  <c r="AX64" i="15" s="1"/>
  <c r="ED64" i="15" s="1"/>
  <c r="X65" i="15"/>
  <c r="V65" i="15"/>
  <c r="CL65" i="15"/>
  <c r="AW26" i="15"/>
  <c r="BZ23" i="15"/>
  <c r="BT64" i="3"/>
  <c r="S11" i="3"/>
  <c r="CK30" i="3"/>
  <c r="CK31" i="3"/>
  <c r="CK32" i="3"/>
  <c r="CK33" i="3"/>
  <c r="CK34" i="3"/>
  <c r="CK35" i="3"/>
  <c r="CK36" i="3"/>
  <c r="CK37" i="3"/>
  <c r="CK38" i="3"/>
  <c r="CK39" i="3"/>
  <c r="CK40" i="3"/>
  <c r="CK41" i="3"/>
  <c r="CK42" i="3"/>
  <c r="CK43" i="3"/>
  <c r="CK44" i="3"/>
  <c r="CK45" i="3"/>
  <c r="CK46" i="3"/>
  <c r="CK47" i="3"/>
  <c r="CK48" i="3"/>
  <c r="CK49" i="3"/>
  <c r="CK50" i="3"/>
  <c r="CK51" i="3"/>
  <c r="CK52" i="3"/>
  <c r="CK53" i="3"/>
  <c r="CK54" i="3"/>
  <c r="CK55" i="3"/>
  <c r="CK56" i="3"/>
  <c r="CK57" i="3"/>
  <c r="CK58" i="3"/>
  <c r="CK59" i="3"/>
  <c r="CK60" i="3"/>
  <c r="CK61" i="3"/>
  <c r="CK62" i="3"/>
  <c r="CK63" i="3"/>
  <c r="CK64" i="3"/>
  <c r="CK65" i="3"/>
  <c r="CK66" i="3"/>
  <c r="CK67" i="3"/>
  <c r="CK68" i="3"/>
  <c r="CK69" i="3"/>
  <c r="CK70" i="3"/>
  <c r="CK71" i="3"/>
  <c r="CK72" i="3"/>
  <c r="CK73" i="3"/>
  <c r="CK74" i="3"/>
  <c r="CK75" i="3"/>
  <c r="CK76" i="3"/>
  <c r="CK77" i="3"/>
  <c r="CK78" i="3"/>
  <c r="CK79" i="3"/>
  <c r="CK80" i="3"/>
  <c r="CK81" i="3"/>
  <c r="CK82" i="3"/>
  <c r="CK83" i="3"/>
  <c r="CK84" i="3"/>
  <c r="CK85" i="3"/>
  <c r="CK86" i="3"/>
  <c r="CK87" i="3"/>
  <c r="CK88" i="3"/>
  <c r="CK89" i="3"/>
  <c r="CK90" i="3"/>
  <c r="CK91" i="3"/>
  <c r="CK92" i="3"/>
  <c r="CK93" i="3"/>
  <c r="CK94" i="3"/>
  <c r="CK95" i="3"/>
  <c r="CK96" i="3"/>
  <c r="CK97" i="3"/>
  <c r="CK98" i="3"/>
  <c r="CK99" i="3"/>
  <c r="CK100" i="3"/>
  <c r="CK101" i="3"/>
  <c r="CK102" i="3"/>
  <c r="CK103" i="3"/>
  <c r="CK104" i="3"/>
  <c r="CK105" i="3"/>
  <c r="CK106" i="3"/>
  <c r="CK107" i="3"/>
  <c r="CK108" i="3"/>
  <c r="CK109" i="3"/>
  <c r="CK110" i="3"/>
  <c r="CK111" i="3"/>
  <c r="CK112" i="3"/>
  <c r="CK113" i="3"/>
  <c r="CK114" i="3"/>
  <c r="CK115" i="3"/>
  <c r="CK116" i="3"/>
  <c r="CK117" i="3"/>
  <c r="CK118" i="3"/>
  <c r="CK119" i="3"/>
  <c r="CK120" i="3"/>
  <c r="CK121" i="3"/>
  <c r="CK122" i="3"/>
  <c r="CK123" i="3"/>
  <c r="CJ25" i="3"/>
  <c r="CJ26" i="3"/>
  <c r="CJ27" i="3"/>
  <c r="CJ28" i="3"/>
  <c r="CJ29" i="3"/>
  <c r="CJ30" i="3"/>
  <c r="CJ31" i="3"/>
  <c r="CJ32" i="3"/>
  <c r="CJ33" i="3"/>
  <c r="CJ34" i="3"/>
  <c r="CJ35" i="3"/>
  <c r="CJ36" i="3"/>
  <c r="CJ37" i="3"/>
  <c r="CJ38" i="3"/>
  <c r="CJ39" i="3"/>
  <c r="CJ40" i="3"/>
  <c r="CJ41" i="3"/>
  <c r="CJ42" i="3"/>
  <c r="CJ43" i="3"/>
  <c r="CJ44" i="3"/>
  <c r="CJ45" i="3"/>
  <c r="CJ46" i="3"/>
  <c r="CJ47" i="3"/>
  <c r="CJ48" i="3"/>
  <c r="CJ49" i="3"/>
  <c r="CJ50" i="3"/>
  <c r="CJ51" i="3"/>
  <c r="CJ52" i="3"/>
  <c r="CJ53" i="3"/>
  <c r="CJ54" i="3"/>
  <c r="CJ55" i="3"/>
  <c r="CJ56" i="3"/>
  <c r="CJ57" i="3"/>
  <c r="CJ58" i="3"/>
  <c r="CJ59" i="3"/>
  <c r="CJ60" i="3"/>
  <c r="CJ61" i="3"/>
  <c r="CJ62" i="3"/>
  <c r="CJ63" i="3"/>
  <c r="CJ64" i="3"/>
  <c r="CJ65" i="3"/>
  <c r="CJ66" i="3"/>
  <c r="CJ67" i="3"/>
  <c r="CJ68" i="3"/>
  <c r="CJ69" i="3"/>
  <c r="CJ70" i="3"/>
  <c r="CJ71" i="3"/>
  <c r="CJ72" i="3"/>
  <c r="CJ73" i="3"/>
  <c r="CJ74" i="3"/>
  <c r="CJ75" i="3"/>
  <c r="CJ76" i="3"/>
  <c r="CJ77" i="3"/>
  <c r="CJ78" i="3"/>
  <c r="CJ79" i="3"/>
  <c r="CJ80" i="3"/>
  <c r="CJ81" i="3"/>
  <c r="CJ82" i="3"/>
  <c r="CJ83" i="3"/>
  <c r="CJ84" i="3"/>
  <c r="CJ85" i="3"/>
  <c r="CJ86" i="3"/>
  <c r="CJ87" i="3"/>
  <c r="CJ88" i="3"/>
  <c r="CJ89" i="3"/>
  <c r="CJ90" i="3"/>
  <c r="CJ91" i="3"/>
  <c r="CJ92" i="3"/>
  <c r="CJ93" i="3"/>
  <c r="CJ94" i="3"/>
  <c r="CJ95" i="3"/>
  <c r="CJ96" i="3"/>
  <c r="CJ97" i="3"/>
  <c r="CJ98" i="3"/>
  <c r="CJ99" i="3"/>
  <c r="CJ100" i="3"/>
  <c r="CJ101" i="3"/>
  <c r="CJ102" i="3"/>
  <c r="CJ103" i="3"/>
  <c r="CJ104" i="3"/>
  <c r="CJ105" i="3"/>
  <c r="CJ106" i="3"/>
  <c r="CJ107" i="3"/>
  <c r="CJ108" i="3"/>
  <c r="CJ109" i="3"/>
  <c r="CJ110" i="3"/>
  <c r="CJ111" i="3"/>
  <c r="CJ112" i="3"/>
  <c r="CJ113" i="3"/>
  <c r="CJ114" i="3"/>
  <c r="CJ115" i="3"/>
  <c r="CJ116" i="3"/>
  <c r="CJ117" i="3"/>
  <c r="CJ118" i="3"/>
  <c r="CJ119" i="3"/>
  <c r="CJ120" i="3"/>
  <c r="CJ121" i="3"/>
  <c r="CJ122" i="3"/>
  <c r="CJ123" i="3"/>
  <c r="CJ24" i="3"/>
  <c r="BV16" i="3"/>
  <c r="Q551" i="3"/>
  <c r="Q553" i="3" s="1"/>
  <c r="AC30" i="3"/>
  <c r="AF31" i="3"/>
  <c r="AF32" i="3"/>
  <c r="AF33" i="3"/>
  <c r="AC34" i="3"/>
  <c r="AF35" i="3"/>
  <c r="AC36" i="3"/>
  <c r="AF37" i="3"/>
  <c r="AF38" i="3"/>
  <c r="AF39" i="3"/>
  <c r="AF40" i="3"/>
  <c r="AC41" i="3"/>
  <c r="AC42" i="3"/>
  <c r="AC43" i="3"/>
  <c r="AF44" i="3"/>
  <c r="AF45" i="3"/>
  <c r="AC46" i="3"/>
  <c r="AF47" i="3"/>
  <c r="AC48" i="3"/>
  <c r="AC49" i="3"/>
  <c r="AC50" i="3"/>
  <c r="AF51" i="3"/>
  <c r="AC52" i="3"/>
  <c r="AC53" i="3"/>
  <c r="AF54" i="3"/>
  <c r="AC55" i="3"/>
  <c r="AF56" i="3"/>
  <c r="AC57" i="3"/>
  <c r="AC58" i="3"/>
  <c r="AC59" i="3"/>
  <c r="AC60" i="3"/>
  <c r="AC61" i="3"/>
  <c r="AC62" i="3"/>
  <c r="AC63" i="3"/>
  <c r="AC64" i="3"/>
  <c r="AF65" i="3"/>
  <c r="AC66" i="3"/>
  <c r="AF67" i="3"/>
  <c r="AC68" i="3"/>
  <c r="AC69" i="3"/>
  <c r="AC70" i="3"/>
  <c r="AF71" i="3"/>
  <c r="AF72" i="3"/>
  <c r="AF73" i="3"/>
  <c r="AC74" i="3"/>
  <c r="AC75" i="3"/>
  <c r="AF76" i="3"/>
  <c r="AF77" i="3"/>
  <c r="AC78" i="3"/>
  <c r="AF79" i="3"/>
  <c r="AC80" i="3"/>
  <c r="AF81" i="3"/>
  <c r="AC82" i="3"/>
  <c r="AF83" i="3"/>
  <c r="AF84" i="3"/>
  <c r="AC85" i="3"/>
  <c r="AC86" i="3"/>
  <c r="AC87" i="3"/>
  <c r="AF88" i="3"/>
  <c r="AC89" i="3"/>
  <c r="AC90" i="3"/>
  <c r="AC91" i="3"/>
  <c r="AF92" i="3"/>
  <c r="AF93" i="3"/>
  <c r="AF94" i="3"/>
  <c r="AC95" i="3"/>
  <c r="AC96" i="3"/>
  <c r="AF97" i="3"/>
  <c r="AC98" i="3"/>
  <c r="AF99" i="3"/>
  <c r="AC100" i="3"/>
  <c r="AF101" i="3"/>
  <c r="AF102" i="3"/>
  <c r="AF103" i="3"/>
  <c r="AC104" i="3"/>
  <c r="AC105" i="3"/>
  <c r="AC106" i="3"/>
  <c r="AC107" i="3"/>
  <c r="AF108" i="3"/>
  <c r="AC109" i="3"/>
  <c r="AC110" i="3"/>
  <c r="AC111" i="3"/>
  <c r="AF112" i="3"/>
  <c r="AF113" i="3"/>
  <c r="AC114" i="3"/>
  <c r="AC115" i="3"/>
  <c r="AJ115" i="3" s="1"/>
  <c r="AF116" i="3"/>
  <c r="AC117" i="3"/>
  <c r="AF118" i="3"/>
  <c r="AF119" i="3"/>
  <c r="AF120" i="3"/>
  <c r="AF121" i="3"/>
  <c r="AC122" i="3"/>
  <c r="AC123" i="3"/>
  <c r="AJ123" i="3" s="1"/>
  <c r="G68" i="15"/>
  <c r="CM123" i="3"/>
  <c r="AE123" i="3" s="1"/>
  <c r="AH123" i="3" s="1"/>
  <c r="AI123" i="3" s="1"/>
  <c r="CM122" i="3"/>
  <c r="AE122" i="3" s="1"/>
  <c r="AH122" i="3" s="1"/>
  <c r="AI122" i="3" s="1"/>
  <c r="CM121" i="3"/>
  <c r="AE121" i="3" s="1"/>
  <c r="AH121" i="3" s="1"/>
  <c r="CM120" i="3"/>
  <c r="AE120" i="3" s="1"/>
  <c r="AH120" i="3" s="1"/>
  <c r="AI120" i="3" s="1"/>
  <c r="CM119" i="3"/>
  <c r="AE119" i="3" s="1"/>
  <c r="AH119" i="3" s="1"/>
  <c r="CM118" i="3"/>
  <c r="AE118" i="3" s="1"/>
  <c r="AH118" i="3" s="1"/>
  <c r="AI118" i="3" s="1"/>
  <c r="CM117" i="3"/>
  <c r="AE117" i="3" s="1"/>
  <c r="AH117" i="3" s="1"/>
  <c r="AI117" i="3" s="1"/>
  <c r="CM116" i="3"/>
  <c r="AE116" i="3" s="1"/>
  <c r="AH116" i="3" s="1"/>
  <c r="AI116" i="3" s="1"/>
  <c r="CM115" i="3"/>
  <c r="AE115" i="3" s="1"/>
  <c r="AH115" i="3" s="1"/>
  <c r="AI115" i="3" s="1"/>
  <c r="CM114" i="3"/>
  <c r="AE114" i="3" s="1"/>
  <c r="AH114" i="3" s="1"/>
  <c r="AI114" i="3" s="1"/>
  <c r="CM113" i="3"/>
  <c r="AE113" i="3" s="1"/>
  <c r="AH113" i="3" s="1"/>
  <c r="CM112" i="3"/>
  <c r="AE112" i="3" s="1"/>
  <c r="AH112" i="3" s="1"/>
  <c r="AI112" i="3" s="1"/>
  <c r="CM111" i="3"/>
  <c r="AE111" i="3" s="1"/>
  <c r="AH111" i="3" s="1"/>
  <c r="CM110" i="3"/>
  <c r="AE110" i="3" s="1"/>
  <c r="AH110" i="3" s="1"/>
  <c r="AI110" i="3" s="1"/>
  <c r="CM109" i="3"/>
  <c r="AE109" i="3" s="1"/>
  <c r="AH109" i="3" s="1"/>
  <c r="AI109" i="3" s="1"/>
  <c r="CM108" i="3"/>
  <c r="AE108" i="3" s="1"/>
  <c r="AH108" i="3" s="1"/>
  <c r="AI108" i="3" s="1"/>
  <c r="CM107" i="3"/>
  <c r="AE107" i="3" s="1"/>
  <c r="AH107" i="3" s="1"/>
  <c r="AI107" i="3" s="1"/>
  <c r="CM106" i="3"/>
  <c r="AE106" i="3" s="1"/>
  <c r="AH106" i="3" s="1"/>
  <c r="AI106" i="3" s="1"/>
  <c r="CM105" i="3"/>
  <c r="AE105" i="3" s="1"/>
  <c r="AH105" i="3" s="1"/>
  <c r="CM104" i="3"/>
  <c r="AE104" i="3" s="1"/>
  <c r="AH104" i="3" s="1"/>
  <c r="AI104" i="3" s="1"/>
  <c r="CM103" i="3"/>
  <c r="AE103" i="3" s="1"/>
  <c r="AH103" i="3" s="1"/>
  <c r="CM102" i="3"/>
  <c r="AE102" i="3" s="1"/>
  <c r="AH102" i="3" s="1"/>
  <c r="AI102" i="3" s="1"/>
  <c r="CM101" i="3"/>
  <c r="AE101" i="3" s="1"/>
  <c r="AH101" i="3" s="1"/>
  <c r="AI101" i="3" s="1"/>
  <c r="CM100" i="3"/>
  <c r="AE100" i="3" s="1"/>
  <c r="AH100" i="3" s="1"/>
  <c r="AI100" i="3" s="1"/>
  <c r="CM99" i="3"/>
  <c r="AE99" i="3" s="1"/>
  <c r="AH99" i="3" s="1"/>
  <c r="AI99" i="3" s="1"/>
  <c r="CM98" i="3"/>
  <c r="AE98" i="3" s="1"/>
  <c r="AH98" i="3" s="1"/>
  <c r="AI98" i="3" s="1"/>
  <c r="CM97" i="3"/>
  <c r="AE97" i="3" s="1"/>
  <c r="AH97" i="3" s="1"/>
  <c r="CM96" i="3"/>
  <c r="AE96" i="3" s="1"/>
  <c r="AH96" i="3" s="1"/>
  <c r="AI96" i="3" s="1"/>
  <c r="CM95" i="3"/>
  <c r="AE95" i="3" s="1"/>
  <c r="AH95" i="3" s="1"/>
  <c r="CM94" i="3"/>
  <c r="AE94" i="3" s="1"/>
  <c r="AH94" i="3" s="1"/>
  <c r="AI94" i="3" s="1"/>
  <c r="CM93" i="3"/>
  <c r="AE93" i="3" s="1"/>
  <c r="AH93" i="3" s="1"/>
  <c r="AI93" i="3" s="1"/>
  <c r="CM92" i="3"/>
  <c r="AE92" i="3" s="1"/>
  <c r="AH92" i="3" s="1"/>
  <c r="AI92" i="3" s="1"/>
  <c r="CM91" i="3"/>
  <c r="AE91" i="3" s="1"/>
  <c r="AH91" i="3" s="1"/>
  <c r="AI91" i="3" s="1"/>
  <c r="CM90" i="3"/>
  <c r="AE90" i="3" s="1"/>
  <c r="AH90" i="3" s="1"/>
  <c r="AI90" i="3" s="1"/>
  <c r="CM89" i="3"/>
  <c r="AE89" i="3" s="1"/>
  <c r="AH89" i="3" s="1"/>
  <c r="CM88" i="3"/>
  <c r="AE88" i="3" s="1"/>
  <c r="AH88" i="3" s="1"/>
  <c r="AI88" i="3" s="1"/>
  <c r="CM87" i="3"/>
  <c r="AE87" i="3" s="1"/>
  <c r="AH87" i="3" s="1"/>
  <c r="CM86" i="3"/>
  <c r="AE86" i="3" s="1"/>
  <c r="AH86" i="3" s="1"/>
  <c r="AI86" i="3" s="1"/>
  <c r="CM85" i="3"/>
  <c r="AE85" i="3" s="1"/>
  <c r="AH85" i="3" s="1"/>
  <c r="AI85" i="3" s="1"/>
  <c r="CM84" i="3"/>
  <c r="AE84" i="3" s="1"/>
  <c r="AH84" i="3" s="1"/>
  <c r="AI84" i="3" s="1"/>
  <c r="CM83" i="3"/>
  <c r="AE83" i="3" s="1"/>
  <c r="AH83" i="3" s="1"/>
  <c r="AI83" i="3" s="1"/>
  <c r="CM82" i="3"/>
  <c r="AE82" i="3" s="1"/>
  <c r="AH82" i="3" s="1"/>
  <c r="AI82" i="3" s="1"/>
  <c r="CM81" i="3"/>
  <c r="AE81" i="3" s="1"/>
  <c r="AH81" i="3" s="1"/>
  <c r="CM80" i="3"/>
  <c r="AE80" i="3" s="1"/>
  <c r="AH80" i="3" s="1"/>
  <c r="AI80" i="3" s="1"/>
  <c r="CM79" i="3"/>
  <c r="AE79" i="3" s="1"/>
  <c r="AH79" i="3" s="1"/>
  <c r="CM78" i="3"/>
  <c r="AE78" i="3" s="1"/>
  <c r="AH78" i="3" s="1"/>
  <c r="AI78" i="3" s="1"/>
  <c r="CM77" i="3"/>
  <c r="AE77" i="3" s="1"/>
  <c r="AH77" i="3" s="1"/>
  <c r="AI77" i="3" s="1"/>
  <c r="CM76" i="3"/>
  <c r="AE76" i="3" s="1"/>
  <c r="AH76" i="3" s="1"/>
  <c r="AI76" i="3" s="1"/>
  <c r="CM75" i="3"/>
  <c r="AE75" i="3" s="1"/>
  <c r="AH75" i="3" s="1"/>
  <c r="AI75" i="3" s="1"/>
  <c r="CM74" i="3"/>
  <c r="AE74" i="3" s="1"/>
  <c r="AH74" i="3" s="1"/>
  <c r="AI74" i="3" s="1"/>
  <c r="CM73" i="3"/>
  <c r="AE73" i="3" s="1"/>
  <c r="AH73" i="3" s="1"/>
  <c r="CM72" i="3"/>
  <c r="AE72" i="3" s="1"/>
  <c r="AH72" i="3" s="1"/>
  <c r="AI72" i="3" s="1"/>
  <c r="CM71" i="3"/>
  <c r="AE71" i="3" s="1"/>
  <c r="AH71" i="3" s="1"/>
  <c r="CM70" i="3"/>
  <c r="AE70" i="3" s="1"/>
  <c r="AH70" i="3" s="1"/>
  <c r="AI70" i="3" s="1"/>
  <c r="CM69" i="3"/>
  <c r="AE69" i="3" s="1"/>
  <c r="AH69" i="3" s="1"/>
  <c r="AI69" i="3" s="1"/>
  <c r="CM68" i="3"/>
  <c r="AE68" i="3" s="1"/>
  <c r="AH68" i="3" s="1"/>
  <c r="AI68" i="3" s="1"/>
  <c r="CM67" i="3"/>
  <c r="AE67" i="3" s="1"/>
  <c r="AH67" i="3" s="1"/>
  <c r="AI67" i="3" s="1"/>
  <c r="CM66" i="3"/>
  <c r="AE66" i="3" s="1"/>
  <c r="AH66" i="3" s="1"/>
  <c r="AI66" i="3" s="1"/>
  <c r="CM65" i="3"/>
  <c r="AE65" i="3" s="1"/>
  <c r="AH65" i="3" s="1"/>
  <c r="CM64" i="3"/>
  <c r="AE64" i="3" s="1"/>
  <c r="AH64" i="3" s="1"/>
  <c r="AI64" i="3" s="1"/>
  <c r="CM63" i="3"/>
  <c r="AE63" i="3" s="1"/>
  <c r="AH63" i="3" s="1"/>
  <c r="CM62" i="3"/>
  <c r="AE62" i="3" s="1"/>
  <c r="AH62" i="3" s="1"/>
  <c r="AI62" i="3" s="1"/>
  <c r="CM61" i="3"/>
  <c r="AE61" i="3" s="1"/>
  <c r="AH61" i="3" s="1"/>
  <c r="AI61" i="3" s="1"/>
  <c r="CM60" i="3"/>
  <c r="AE60" i="3" s="1"/>
  <c r="AH60" i="3" s="1"/>
  <c r="AI60" i="3" s="1"/>
  <c r="CM59" i="3"/>
  <c r="AE59" i="3" s="1"/>
  <c r="AH59" i="3" s="1"/>
  <c r="AI59" i="3" s="1"/>
  <c r="CM58" i="3"/>
  <c r="AE58" i="3" s="1"/>
  <c r="AH58" i="3" s="1"/>
  <c r="AI58" i="3" s="1"/>
  <c r="CM57" i="3"/>
  <c r="AE57" i="3" s="1"/>
  <c r="AH57" i="3" s="1"/>
  <c r="CM56" i="3"/>
  <c r="AE56" i="3" s="1"/>
  <c r="AH56" i="3" s="1"/>
  <c r="AI56" i="3" s="1"/>
  <c r="CM55" i="3"/>
  <c r="AE55" i="3" s="1"/>
  <c r="AH55" i="3" s="1"/>
  <c r="CM54" i="3"/>
  <c r="AE54" i="3" s="1"/>
  <c r="AH54" i="3" s="1"/>
  <c r="AI54" i="3" s="1"/>
  <c r="CM53" i="3"/>
  <c r="AE53" i="3" s="1"/>
  <c r="CM52" i="3"/>
  <c r="AE52" i="3" s="1"/>
  <c r="CM51" i="3"/>
  <c r="AE51" i="3" s="1"/>
  <c r="CM50" i="3"/>
  <c r="AE50" i="3" s="1"/>
  <c r="AH50" i="3" s="1"/>
  <c r="AI50" i="3" s="1"/>
  <c r="CM49" i="3"/>
  <c r="AE49" i="3" s="1"/>
  <c r="AH49" i="3" s="1"/>
  <c r="CM48" i="3"/>
  <c r="AE48" i="3" s="1"/>
  <c r="AH48" i="3" s="1"/>
  <c r="CM47" i="3"/>
  <c r="AE47" i="3" s="1"/>
  <c r="AH47" i="3" s="1"/>
  <c r="CM46" i="3"/>
  <c r="AE46" i="3" s="1"/>
  <c r="AH46" i="3" s="1"/>
  <c r="AI46" i="3" s="1"/>
  <c r="CM45" i="3"/>
  <c r="AE45" i="3" s="1"/>
  <c r="CM44" i="3"/>
  <c r="AE44" i="3" s="1"/>
  <c r="AH44" i="3" s="1"/>
  <c r="AI44" i="3" s="1"/>
  <c r="CM43" i="3"/>
  <c r="AE43" i="3" s="1"/>
  <c r="AH43" i="3" s="1"/>
  <c r="AI43" i="3" s="1"/>
  <c r="CM42" i="3"/>
  <c r="AE42" i="3" s="1"/>
  <c r="AH42" i="3" s="1"/>
  <c r="AI42" i="3" s="1"/>
  <c r="CM41" i="3"/>
  <c r="AE41" i="3" s="1"/>
  <c r="CM40" i="3"/>
  <c r="AE40" i="3" s="1"/>
  <c r="AH40" i="3" s="1"/>
  <c r="CM39" i="3"/>
  <c r="AE39" i="3" s="1"/>
  <c r="CM38" i="3"/>
  <c r="AE38" i="3" s="1"/>
  <c r="CM37" i="3"/>
  <c r="AE37" i="3" s="1"/>
  <c r="AH37" i="3" s="1"/>
  <c r="AI37" i="3" s="1"/>
  <c r="CM36" i="3"/>
  <c r="AE36" i="3" s="1"/>
  <c r="CM35" i="3"/>
  <c r="AE35" i="3" s="1"/>
  <c r="AH35" i="3" s="1"/>
  <c r="AI35" i="3" s="1"/>
  <c r="CM34" i="3"/>
  <c r="AE34" i="3" s="1"/>
  <c r="AH34" i="3" s="1"/>
  <c r="AI34" i="3" s="1"/>
  <c r="CM33" i="3"/>
  <c r="AE33" i="3" s="1"/>
  <c r="AH33" i="3" s="1"/>
  <c r="AI33" i="3" s="1"/>
  <c r="CM32" i="3"/>
  <c r="AE32" i="3" s="1"/>
  <c r="AH32" i="3" s="1"/>
  <c r="CM31" i="3"/>
  <c r="AE31" i="3" s="1"/>
  <c r="CM30" i="3"/>
  <c r="AE30" i="3" s="1"/>
  <c r="AH30" i="3" s="1"/>
  <c r="AI30" i="3" s="1"/>
  <c r="T541" i="3"/>
  <c r="T540" i="3"/>
  <c r="T543" i="3"/>
  <c r="J101" i="15"/>
  <c r="J96" i="15"/>
  <c r="J98" i="15" s="1"/>
  <c r="N8" i="15" s="1"/>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24" i="3"/>
  <c r="AX25" i="3"/>
  <c r="AX26" i="3"/>
  <c r="AX27" i="3"/>
  <c r="AX28" i="3"/>
  <c r="AX29" i="3"/>
  <c r="BM55" i="3"/>
  <c r="BM71" i="3"/>
  <c r="BM77" i="3"/>
  <c r="BM79" i="3"/>
  <c r="BM87" i="3"/>
  <c r="BM93" i="3"/>
  <c r="BM95" i="3"/>
  <c r="BM103" i="3"/>
  <c r="BM109" i="3"/>
  <c r="BM117" i="3"/>
  <c r="AX24" i="3"/>
  <c r="B28" i="13"/>
  <c r="B32" i="13"/>
  <c r="B33" i="13"/>
  <c r="B37" i="13"/>
  <c r="B38" i="13"/>
  <c r="B51" i="13"/>
  <c r="B52" i="13"/>
  <c r="Q557" i="3"/>
  <c r="A5" i="18"/>
  <c r="A6" i="18" s="1"/>
  <c r="A7" i="18" s="1"/>
  <c r="F68" i="15"/>
  <c r="BU35" i="3"/>
  <c r="C35" i="3" s="1"/>
  <c r="CI64" i="3"/>
  <c r="CI65" i="3"/>
  <c r="CI66" i="3"/>
  <c r="CI67" i="3"/>
  <c r="CI68" i="3"/>
  <c r="CI69" i="3"/>
  <c r="CI70" i="3"/>
  <c r="CI71" i="3"/>
  <c r="CI72" i="3"/>
  <c r="CI73" i="3"/>
  <c r="CI74" i="3"/>
  <c r="CI75" i="3"/>
  <c r="CI76" i="3"/>
  <c r="CI77" i="3"/>
  <c r="CI78" i="3"/>
  <c r="CI79" i="3"/>
  <c r="CI80" i="3"/>
  <c r="CI81" i="3"/>
  <c r="CI82" i="3"/>
  <c r="CI83" i="3"/>
  <c r="CI84" i="3"/>
  <c r="CI85" i="3"/>
  <c r="CI86" i="3"/>
  <c r="CI87" i="3"/>
  <c r="CI88" i="3"/>
  <c r="CI89" i="3"/>
  <c r="CI90" i="3"/>
  <c r="CI91" i="3"/>
  <c r="CI92" i="3"/>
  <c r="CI93" i="3"/>
  <c r="CI94" i="3"/>
  <c r="CI95" i="3"/>
  <c r="CI96" i="3"/>
  <c r="CI97" i="3"/>
  <c r="CI98" i="3"/>
  <c r="CI99" i="3"/>
  <c r="CI100" i="3"/>
  <c r="CI101" i="3"/>
  <c r="CI102" i="3"/>
  <c r="CI103" i="3"/>
  <c r="CI104" i="3"/>
  <c r="CI105" i="3"/>
  <c r="CI106" i="3"/>
  <c r="CI107" i="3"/>
  <c r="CI108" i="3"/>
  <c r="CI109" i="3"/>
  <c r="CI110" i="3"/>
  <c r="CI111" i="3"/>
  <c r="CI112" i="3"/>
  <c r="CI113" i="3"/>
  <c r="CI114" i="3"/>
  <c r="CI115" i="3"/>
  <c r="CI116" i="3"/>
  <c r="CI117" i="3"/>
  <c r="CI118" i="3"/>
  <c r="CI119" i="3"/>
  <c r="CI120" i="3"/>
  <c r="CI121" i="3"/>
  <c r="CI122" i="3"/>
  <c r="CI123" i="3"/>
  <c r="CH64" i="3"/>
  <c r="CH65" i="3"/>
  <c r="CH66" i="3"/>
  <c r="CH67" i="3"/>
  <c r="CH68" i="3"/>
  <c r="CH69" i="3"/>
  <c r="CH70" i="3"/>
  <c r="CH71" i="3"/>
  <c r="CH72" i="3"/>
  <c r="CH73" i="3"/>
  <c r="CH74" i="3"/>
  <c r="CH75" i="3"/>
  <c r="CH76" i="3"/>
  <c r="CH77" i="3"/>
  <c r="CH78" i="3"/>
  <c r="CH79" i="3"/>
  <c r="CH80" i="3"/>
  <c r="CH81" i="3"/>
  <c r="CH82" i="3"/>
  <c r="CH83" i="3"/>
  <c r="CH84" i="3"/>
  <c r="CH85" i="3"/>
  <c r="CH86" i="3"/>
  <c r="CH87" i="3"/>
  <c r="CH88" i="3"/>
  <c r="CH89" i="3"/>
  <c r="CH90" i="3"/>
  <c r="CH91" i="3"/>
  <c r="CH92" i="3"/>
  <c r="CH93" i="3"/>
  <c r="CH94" i="3"/>
  <c r="CH95" i="3"/>
  <c r="CH96" i="3"/>
  <c r="CH97" i="3"/>
  <c r="CH98" i="3"/>
  <c r="CH99" i="3"/>
  <c r="CH100" i="3"/>
  <c r="CH101" i="3"/>
  <c r="CH102" i="3"/>
  <c r="CH103" i="3"/>
  <c r="CH104" i="3"/>
  <c r="CH105" i="3"/>
  <c r="CH106" i="3"/>
  <c r="CH107" i="3"/>
  <c r="CH108" i="3"/>
  <c r="CH109" i="3"/>
  <c r="CH110" i="3"/>
  <c r="CH111" i="3"/>
  <c r="CH112" i="3"/>
  <c r="CH113" i="3"/>
  <c r="CH114" i="3"/>
  <c r="CH115" i="3"/>
  <c r="CH116" i="3"/>
  <c r="CH117" i="3"/>
  <c r="CH118" i="3"/>
  <c r="CH119" i="3"/>
  <c r="CH120" i="3"/>
  <c r="CH121" i="3"/>
  <c r="CH122" i="3"/>
  <c r="CH123" i="3"/>
  <c r="D64" i="3"/>
  <c r="D65" i="3" s="1"/>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P64" i="3"/>
  <c r="AP65" i="3"/>
  <c r="AP66" i="3"/>
  <c r="AP67" i="3"/>
  <c r="AP68" i="3"/>
  <c r="AP69" i="3"/>
  <c r="AP70" i="3"/>
  <c r="AP71" i="3"/>
  <c r="AP72" i="3"/>
  <c r="AP73" i="3"/>
  <c r="AP74" i="3"/>
  <c r="AP75" i="3"/>
  <c r="AP76" i="3"/>
  <c r="AP77" i="3"/>
  <c r="AP78" i="3"/>
  <c r="AP79" i="3"/>
  <c r="AP80" i="3"/>
  <c r="AP81" i="3"/>
  <c r="AP82" i="3"/>
  <c r="AP83" i="3"/>
  <c r="AP84" i="3"/>
  <c r="AP85" i="3"/>
  <c r="AP86" i="3"/>
  <c r="AP87" i="3"/>
  <c r="AP88" i="3"/>
  <c r="AP89" i="3"/>
  <c r="AP90" i="3"/>
  <c r="AP91" i="3"/>
  <c r="AP92" i="3"/>
  <c r="AP93" i="3"/>
  <c r="AP94" i="3"/>
  <c r="AP95" i="3"/>
  <c r="AP96" i="3"/>
  <c r="AP97" i="3"/>
  <c r="AP98" i="3"/>
  <c r="AP99" i="3"/>
  <c r="AP100" i="3"/>
  <c r="AP101" i="3"/>
  <c r="AP102" i="3"/>
  <c r="AP103" i="3"/>
  <c r="AP104" i="3"/>
  <c r="AP105" i="3"/>
  <c r="AP106" i="3"/>
  <c r="AP107" i="3"/>
  <c r="AP108" i="3"/>
  <c r="AP109" i="3"/>
  <c r="AP110" i="3"/>
  <c r="AP111" i="3"/>
  <c r="AP112" i="3"/>
  <c r="AP113" i="3"/>
  <c r="AP114" i="3"/>
  <c r="AP115" i="3"/>
  <c r="AP116" i="3"/>
  <c r="AP117" i="3"/>
  <c r="AP118" i="3"/>
  <c r="AP119" i="3"/>
  <c r="AP120" i="3"/>
  <c r="AP121" i="3"/>
  <c r="AP122" i="3"/>
  <c r="AP123"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AP53" i="3"/>
  <c r="AP54" i="3"/>
  <c r="AP55" i="3"/>
  <c r="AP56" i="3"/>
  <c r="AP57" i="3"/>
  <c r="AP58" i="3"/>
  <c r="AP59" i="3"/>
  <c r="AP60" i="3"/>
  <c r="AP61" i="3"/>
  <c r="AP62" i="3"/>
  <c r="AP63" i="3"/>
  <c r="AP25" i="3"/>
  <c r="AP24" i="3"/>
  <c r="CB14" i="15"/>
  <c r="CA26" i="15"/>
  <c r="B26" i="15" s="1"/>
  <c r="CB15" i="15"/>
  <c r="BA26" i="15"/>
  <c r="CI26" i="15"/>
  <c r="CJ26" i="15"/>
  <c r="CK26" i="15"/>
  <c r="CA27" i="15"/>
  <c r="B27" i="15" s="1"/>
  <c r="BA27" i="15"/>
  <c r="CI27" i="15"/>
  <c r="CJ27" i="15"/>
  <c r="CK27" i="15"/>
  <c r="BA28" i="15"/>
  <c r="CI28" i="15"/>
  <c r="CJ28" i="15"/>
  <c r="CK28" i="15"/>
  <c r="BA29" i="15"/>
  <c r="CI29" i="15"/>
  <c r="CJ29" i="15"/>
  <c r="CK29" i="15"/>
  <c r="BA30" i="15"/>
  <c r="CI30" i="15"/>
  <c r="CJ30" i="15"/>
  <c r="CK30" i="15"/>
  <c r="BA31" i="15"/>
  <c r="CI31" i="15"/>
  <c r="CJ31" i="15"/>
  <c r="CK31" i="15"/>
  <c r="BA32" i="15"/>
  <c r="CI32" i="15"/>
  <c r="CJ32" i="15"/>
  <c r="CK32" i="15"/>
  <c r="BA33" i="15"/>
  <c r="CI33" i="15"/>
  <c r="CJ33" i="15"/>
  <c r="CK33" i="15"/>
  <c r="BA34" i="15"/>
  <c r="CI34" i="15"/>
  <c r="CJ34" i="15"/>
  <c r="CK34" i="15"/>
  <c r="BA35" i="15"/>
  <c r="CI35" i="15"/>
  <c r="CJ35" i="15"/>
  <c r="CK35" i="15"/>
  <c r="BA36" i="15"/>
  <c r="CI36" i="15"/>
  <c r="CJ36" i="15"/>
  <c r="CK36" i="15"/>
  <c r="BA37" i="15"/>
  <c r="CI37" i="15"/>
  <c r="CJ37" i="15"/>
  <c r="CK37" i="15"/>
  <c r="BA38" i="15"/>
  <c r="CI38" i="15"/>
  <c r="CJ38" i="15"/>
  <c r="CK38" i="15"/>
  <c r="BA39" i="15"/>
  <c r="CI39" i="15"/>
  <c r="CJ39" i="15"/>
  <c r="CK39" i="15"/>
  <c r="BA40" i="15"/>
  <c r="CI40" i="15"/>
  <c r="CJ40" i="15"/>
  <c r="CK40" i="15"/>
  <c r="BA41" i="15"/>
  <c r="CI41" i="15"/>
  <c r="CJ41" i="15"/>
  <c r="CK41" i="15"/>
  <c r="BA42" i="15"/>
  <c r="CI42" i="15"/>
  <c r="CJ42" i="15"/>
  <c r="CK42" i="15"/>
  <c r="BA43" i="15"/>
  <c r="CI43" i="15"/>
  <c r="CJ43" i="15"/>
  <c r="CK43" i="15"/>
  <c r="BA44" i="15"/>
  <c r="CI44" i="15"/>
  <c r="CJ44" i="15"/>
  <c r="CK44" i="15"/>
  <c r="BA45" i="15"/>
  <c r="CI45" i="15"/>
  <c r="CJ45" i="15"/>
  <c r="CK45" i="15"/>
  <c r="BA46" i="15"/>
  <c r="CI46" i="15"/>
  <c r="CJ46" i="15"/>
  <c r="CK46" i="15"/>
  <c r="BA47" i="15"/>
  <c r="CI47" i="15"/>
  <c r="CJ47" i="15"/>
  <c r="CK47" i="15"/>
  <c r="BA48" i="15"/>
  <c r="CI48" i="15"/>
  <c r="CJ48" i="15"/>
  <c r="CK48" i="15"/>
  <c r="BA49" i="15"/>
  <c r="CI49" i="15"/>
  <c r="CJ49" i="15"/>
  <c r="CK49" i="15"/>
  <c r="BA50" i="15"/>
  <c r="CI50" i="15"/>
  <c r="CJ50" i="15"/>
  <c r="CK50" i="15"/>
  <c r="BA51" i="15"/>
  <c r="CI51" i="15"/>
  <c r="CJ51" i="15"/>
  <c r="CK51" i="15"/>
  <c r="BA52" i="15"/>
  <c r="CI52" i="15"/>
  <c r="CJ52" i="15"/>
  <c r="CK52" i="15"/>
  <c r="BA53" i="15"/>
  <c r="CI53" i="15"/>
  <c r="CJ53" i="15"/>
  <c r="CK53" i="15"/>
  <c r="BA54" i="15"/>
  <c r="CI54" i="15"/>
  <c r="CJ54" i="15"/>
  <c r="CK54" i="15"/>
  <c r="BA55" i="15"/>
  <c r="CI55" i="15"/>
  <c r="CJ55" i="15"/>
  <c r="CK55" i="15"/>
  <c r="BA56" i="15"/>
  <c r="CI56" i="15"/>
  <c r="CJ56" i="15"/>
  <c r="CK56" i="15"/>
  <c r="BA57" i="15"/>
  <c r="CI57" i="15"/>
  <c r="CJ57" i="15"/>
  <c r="CK57" i="15"/>
  <c r="BA58" i="15"/>
  <c r="CI58" i="15"/>
  <c r="CJ58" i="15"/>
  <c r="CK58" i="15"/>
  <c r="BA59" i="15"/>
  <c r="CI59" i="15"/>
  <c r="CJ59" i="15"/>
  <c r="CK59" i="15"/>
  <c r="BA60" i="15"/>
  <c r="CI60" i="15"/>
  <c r="CJ60" i="15"/>
  <c r="CK60" i="15"/>
  <c r="BA61" i="15"/>
  <c r="CI61" i="15"/>
  <c r="CJ61" i="15"/>
  <c r="CK61" i="15"/>
  <c r="BA62" i="15"/>
  <c r="CI62" i="15"/>
  <c r="CJ62" i="15"/>
  <c r="CK62" i="15"/>
  <c r="BA63" i="15"/>
  <c r="CI63" i="15"/>
  <c r="CJ63" i="15"/>
  <c r="CK63" i="15"/>
  <c r="BA64" i="15"/>
  <c r="CI64" i="15"/>
  <c r="CJ64" i="15"/>
  <c r="CK64" i="15"/>
  <c r="BA65" i="15"/>
  <c r="CI65" i="15"/>
  <c r="CJ65" i="15"/>
  <c r="CK65" i="15"/>
  <c r="CI25" i="3"/>
  <c r="CI26" i="3"/>
  <c r="CI27" i="3"/>
  <c r="CI28" i="3"/>
  <c r="CI29" i="3"/>
  <c r="CI30" i="3"/>
  <c r="CI31" i="3"/>
  <c r="CI32" i="3"/>
  <c r="CI33" i="3"/>
  <c r="CI34" i="3"/>
  <c r="CI35" i="3"/>
  <c r="CI36" i="3"/>
  <c r="CI37" i="3"/>
  <c r="CI38" i="3"/>
  <c r="CI39" i="3"/>
  <c r="CI40" i="3"/>
  <c r="CI41" i="3"/>
  <c r="CI42" i="3"/>
  <c r="CI43" i="3"/>
  <c r="CI44" i="3"/>
  <c r="CI45" i="3"/>
  <c r="CI46" i="3"/>
  <c r="CI47" i="3"/>
  <c r="CI48" i="3"/>
  <c r="CI49" i="3"/>
  <c r="CI50" i="3"/>
  <c r="CI51" i="3"/>
  <c r="CI52" i="3"/>
  <c r="CI53" i="3"/>
  <c r="CI54" i="3"/>
  <c r="CI55" i="3"/>
  <c r="CI56" i="3"/>
  <c r="CI57" i="3"/>
  <c r="CI58" i="3"/>
  <c r="CI59" i="3"/>
  <c r="CI60" i="3"/>
  <c r="CI61" i="3"/>
  <c r="CI62" i="3"/>
  <c r="CI63" i="3"/>
  <c r="CI24" i="3"/>
  <c r="CH25" i="3"/>
  <c r="CH26" i="3"/>
  <c r="CH27" i="3"/>
  <c r="CH28" i="3"/>
  <c r="CH29" i="3"/>
  <c r="CH30" i="3"/>
  <c r="CH31" i="3"/>
  <c r="CH32" i="3"/>
  <c r="CH33" i="3"/>
  <c r="CH34" i="3"/>
  <c r="CH35" i="3"/>
  <c r="CH36" i="3"/>
  <c r="CH37" i="3"/>
  <c r="CH38" i="3"/>
  <c r="CH39" i="3"/>
  <c r="CH40" i="3"/>
  <c r="CH41" i="3"/>
  <c r="CH42" i="3"/>
  <c r="CH43" i="3"/>
  <c r="CH44" i="3"/>
  <c r="CH45" i="3"/>
  <c r="CH46" i="3"/>
  <c r="CH47" i="3"/>
  <c r="CH48" i="3"/>
  <c r="CH49" i="3"/>
  <c r="CH50" i="3"/>
  <c r="CH51" i="3"/>
  <c r="CH52" i="3"/>
  <c r="CH53" i="3"/>
  <c r="CH54" i="3"/>
  <c r="CH55" i="3"/>
  <c r="CH56" i="3"/>
  <c r="CH57" i="3"/>
  <c r="CH58" i="3"/>
  <c r="CH59" i="3"/>
  <c r="CH60" i="3"/>
  <c r="CH61" i="3"/>
  <c r="CH62" i="3"/>
  <c r="CH63" i="3"/>
  <c r="CH24" i="3"/>
  <c r="CG25" i="3"/>
  <c r="CG26" i="3"/>
  <c r="CG27" i="3"/>
  <c r="CG28" i="3"/>
  <c r="CG29" i="3"/>
  <c r="CG30" i="3"/>
  <c r="CG31" i="3"/>
  <c r="CG32" i="3"/>
  <c r="CG33" i="3"/>
  <c r="CG34" i="3"/>
  <c r="CG35" i="3"/>
  <c r="CG36" i="3"/>
  <c r="CG37" i="3"/>
  <c r="CG38" i="3"/>
  <c r="CG39" i="3"/>
  <c r="CG40" i="3"/>
  <c r="CG41" i="3"/>
  <c r="CG42" i="3"/>
  <c r="CG43" i="3"/>
  <c r="CG44" i="3"/>
  <c r="CG45" i="3"/>
  <c r="CG46" i="3"/>
  <c r="CG47" i="3"/>
  <c r="CG48" i="3"/>
  <c r="CG49" i="3"/>
  <c r="CG50" i="3"/>
  <c r="CG51" i="3"/>
  <c r="CG52" i="3"/>
  <c r="CG53" i="3"/>
  <c r="CG54" i="3"/>
  <c r="CG55" i="3"/>
  <c r="CG56" i="3"/>
  <c r="CG57" i="3"/>
  <c r="CG58" i="3"/>
  <c r="CG59" i="3"/>
  <c r="CG60" i="3"/>
  <c r="CG61" i="3"/>
  <c r="CG62" i="3"/>
  <c r="CG63" i="3"/>
  <c r="CG24" i="3"/>
  <c r="AX30" i="3"/>
  <c r="AX31" i="3"/>
  <c r="AX32" i="3"/>
  <c r="AX33" i="3"/>
  <c r="AX34" i="3"/>
  <c r="AX35" i="3"/>
  <c r="AX36" i="3"/>
  <c r="AX37" i="3"/>
  <c r="AX38" i="3"/>
  <c r="AX39" i="3"/>
  <c r="BM39" i="3" s="1"/>
  <c r="AX40" i="3"/>
  <c r="AX41" i="3"/>
  <c r="AX42" i="3"/>
  <c r="AX43" i="3"/>
  <c r="AX44" i="3"/>
  <c r="AX45" i="3"/>
  <c r="AX46" i="3"/>
  <c r="AX47" i="3"/>
  <c r="AX48" i="3"/>
  <c r="AX49" i="3"/>
  <c r="AX50" i="3"/>
  <c r="AX51" i="3"/>
  <c r="AX52" i="3"/>
  <c r="AX53" i="3"/>
  <c r="AX54" i="3"/>
  <c r="AX55" i="3"/>
  <c r="AX56" i="3"/>
  <c r="AX57" i="3"/>
  <c r="AX58" i="3"/>
  <c r="AX59" i="3"/>
  <c r="AX60" i="3"/>
  <c r="AX61" i="3"/>
  <c r="AX62" i="3"/>
  <c r="AX63" i="3"/>
  <c r="M38" i="6"/>
  <c r="BU25" i="3"/>
  <c r="C25" i="3" s="1"/>
  <c r="BU36" i="3"/>
  <c r="C36" i="3" s="1"/>
  <c r="BU44" i="3"/>
  <c r="C44" i="3" s="1"/>
  <c r="BU52" i="3"/>
  <c r="C52" i="3" s="1"/>
  <c r="BU60" i="3"/>
  <c r="C60" i="3" s="1"/>
  <c r="CA60" i="15"/>
  <c r="B60" i="15" s="1"/>
  <c r="CA43" i="15"/>
  <c r="B43" i="15" s="1"/>
  <c r="BU24" i="3"/>
  <c r="C24" i="3" s="1"/>
  <c r="BU56" i="3"/>
  <c r="C56" i="3" s="1"/>
  <c r="BU48" i="3"/>
  <c r="C48" i="3" s="1"/>
  <c r="BU40" i="3"/>
  <c r="C40" i="3" s="1"/>
  <c r="BU30" i="3"/>
  <c r="C30" i="3" s="1"/>
  <c r="CA62" i="15"/>
  <c r="B62" i="15" s="1"/>
  <c r="CA54" i="15"/>
  <c r="B54" i="15" s="1"/>
  <c r="CA45" i="15"/>
  <c r="B45" i="15" s="1"/>
  <c r="CA34" i="15"/>
  <c r="B34" i="15" s="1"/>
  <c r="BU62" i="3"/>
  <c r="C62" i="3" s="1"/>
  <c r="BU58" i="3"/>
  <c r="C58" i="3" s="1"/>
  <c r="BU54" i="3"/>
  <c r="C54" i="3" s="1"/>
  <c r="BU50" i="3"/>
  <c r="C50" i="3" s="1"/>
  <c r="BU46" i="3"/>
  <c r="C46" i="3" s="1"/>
  <c r="BU42" i="3"/>
  <c r="C42" i="3" s="1"/>
  <c r="BU38" i="3"/>
  <c r="C38" i="3" s="1"/>
  <c r="BU32" i="3"/>
  <c r="C32" i="3" s="1"/>
  <c r="BU27" i="3"/>
  <c r="C27" i="3" s="1"/>
  <c r="BU33" i="3"/>
  <c r="C33" i="3" s="1"/>
  <c r="CA63" i="15"/>
  <c r="B63" i="15" s="1"/>
  <c r="CA61" i="15"/>
  <c r="B61" i="15" s="1"/>
  <c r="CA59" i="15"/>
  <c r="B59" i="15" s="1"/>
  <c r="CA53" i="15"/>
  <c r="B53" i="15" s="1"/>
  <c r="CA52" i="15"/>
  <c r="B52" i="15" s="1"/>
  <c r="CA51" i="15"/>
  <c r="B51" i="15" s="1"/>
  <c r="CA46" i="15"/>
  <c r="B46" i="15" s="1"/>
  <c r="CA44" i="15"/>
  <c r="B44" i="15" s="1"/>
  <c r="CA38" i="15"/>
  <c r="B38" i="15" s="1"/>
  <c r="CA31" i="15"/>
  <c r="B31" i="15" s="1"/>
  <c r="BU63" i="3"/>
  <c r="C63" i="3" s="1"/>
  <c r="BU61" i="3"/>
  <c r="C61" i="3" s="1"/>
  <c r="BU59" i="3"/>
  <c r="C59" i="3" s="1"/>
  <c r="BU57" i="3"/>
  <c r="C57" i="3" s="1"/>
  <c r="BU55" i="3"/>
  <c r="C55" i="3" s="1"/>
  <c r="BU53" i="3"/>
  <c r="C53" i="3" s="1"/>
  <c r="BU51" i="3"/>
  <c r="C51" i="3" s="1"/>
  <c r="BU49" i="3"/>
  <c r="C49" i="3" s="1"/>
  <c r="BU47" i="3"/>
  <c r="C47" i="3" s="1"/>
  <c r="BU45" i="3"/>
  <c r="C45" i="3" s="1"/>
  <c r="BU43" i="3"/>
  <c r="C43" i="3" s="1"/>
  <c r="BU41" i="3"/>
  <c r="C41" i="3" s="1"/>
  <c r="BU39" i="3"/>
  <c r="C39" i="3" s="1"/>
  <c r="BU37" i="3"/>
  <c r="C37" i="3" s="1"/>
  <c r="BU34" i="3"/>
  <c r="C34" i="3" s="1"/>
  <c r="BU31" i="3"/>
  <c r="C31" i="3" s="1"/>
  <c r="BU28" i="3"/>
  <c r="C28" i="3" s="1"/>
  <c r="BU26" i="3"/>
  <c r="C26" i="3" s="1"/>
  <c r="BU29" i="3"/>
  <c r="C29" i="3" s="1"/>
  <c r="CA29" i="15"/>
  <c r="B29" i="15" s="1"/>
  <c r="CA65" i="15"/>
  <c r="B65" i="15" s="1"/>
  <c r="CA64" i="15"/>
  <c r="B64" i="15" s="1"/>
  <c r="CA58" i="15"/>
  <c r="B58" i="15" s="1"/>
  <c r="CA57" i="15"/>
  <c r="B57" i="15" s="1"/>
  <c r="CA56" i="15"/>
  <c r="B56" i="15" s="1"/>
  <c r="CA55" i="15"/>
  <c r="B55" i="15" s="1"/>
  <c r="CA50" i="15"/>
  <c r="B50" i="15" s="1"/>
  <c r="CA49" i="15"/>
  <c r="B49" i="15" s="1"/>
  <c r="CA48" i="15"/>
  <c r="B48" i="15" s="1"/>
  <c r="CA47" i="15"/>
  <c r="B47" i="15" s="1"/>
  <c r="CA42" i="15"/>
  <c r="B42" i="15" s="1"/>
  <c r="CA41" i="15"/>
  <c r="B41" i="15" s="1"/>
  <c r="CA40" i="15"/>
  <c r="B40" i="15" s="1"/>
  <c r="CA39" i="15"/>
  <c r="B39" i="15" s="1"/>
  <c r="CA37" i="15"/>
  <c r="B37" i="15" s="1"/>
  <c r="CA36" i="15"/>
  <c r="B36" i="15" s="1"/>
  <c r="CA35" i="15"/>
  <c r="B35" i="15" s="1"/>
  <c r="CA33" i="15"/>
  <c r="B33" i="15" s="1"/>
  <c r="CA32" i="15"/>
  <c r="B32" i="15" s="1"/>
  <c r="CA30" i="15"/>
  <c r="B30" i="15" s="1"/>
  <c r="CA28" i="15"/>
  <c r="B28" i="15" s="1"/>
  <c r="AI48" i="3" l="1"/>
  <c r="AI32" i="3"/>
  <c r="AI40" i="3"/>
  <c r="AJ100" i="3"/>
  <c r="AJ68" i="3"/>
  <c r="AJ60" i="3"/>
  <c r="AJ36" i="3"/>
  <c r="AJ107" i="3"/>
  <c r="AJ91" i="3"/>
  <c r="AJ75" i="3"/>
  <c r="AJ59" i="3"/>
  <c r="AJ43" i="3"/>
  <c r="AJ122" i="3"/>
  <c r="AJ114" i="3"/>
  <c r="AJ106" i="3"/>
  <c r="AJ98" i="3"/>
  <c r="AJ90" i="3"/>
  <c r="AJ82" i="3"/>
  <c r="AJ74" i="3"/>
  <c r="AJ66" i="3"/>
  <c r="AJ58" i="3"/>
  <c r="AJ50" i="3"/>
  <c r="AJ42" i="3"/>
  <c r="AJ34" i="3"/>
  <c r="AI47" i="3"/>
  <c r="AI55" i="3"/>
  <c r="AI63" i="3"/>
  <c r="AI71" i="3"/>
  <c r="AI79" i="3"/>
  <c r="AI87" i="3"/>
  <c r="AI95" i="3"/>
  <c r="AI103" i="3"/>
  <c r="AI111" i="3"/>
  <c r="AI119" i="3"/>
  <c r="AJ105" i="3"/>
  <c r="AJ89" i="3"/>
  <c r="AJ57" i="3"/>
  <c r="AJ104" i="3"/>
  <c r="AJ96" i="3"/>
  <c r="AJ80" i="3"/>
  <c r="AJ64" i="3"/>
  <c r="AJ48" i="3"/>
  <c r="AI49" i="3"/>
  <c r="AJ49" i="3" s="1"/>
  <c r="AI57" i="3"/>
  <c r="AI65" i="3"/>
  <c r="AI73" i="3"/>
  <c r="AI81" i="3"/>
  <c r="AI89" i="3"/>
  <c r="AI97" i="3"/>
  <c r="AI105" i="3"/>
  <c r="AI113" i="3"/>
  <c r="AI121" i="3"/>
  <c r="AJ111" i="3"/>
  <c r="AJ95" i="3"/>
  <c r="AJ87" i="3"/>
  <c r="AJ63" i="3"/>
  <c r="AJ55" i="3"/>
  <c r="AJ110" i="3"/>
  <c r="AJ86" i="3"/>
  <c r="AJ78" i="3"/>
  <c r="AJ70" i="3"/>
  <c r="AJ62" i="3"/>
  <c r="AJ46" i="3"/>
  <c r="AJ30" i="3"/>
  <c r="AJ117" i="3"/>
  <c r="AJ109" i="3"/>
  <c r="AJ85" i="3"/>
  <c r="AJ69" i="3"/>
  <c r="AJ61" i="3"/>
  <c r="AJ53" i="3"/>
  <c r="AH31" i="3"/>
  <c r="AI31" i="3" s="1"/>
  <c r="AH39" i="3"/>
  <c r="AI39" i="3" s="1"/>
  <c r="AH53" i="3"/>
  <c r="AI53" i="3" s="1"/>
  <c r="AH52" i="3"/>
  <c r="AI52" i="3" s="1"/>
  <c r="AJ52" i="3" s="1"/>
  <c r="AH51" i="3"/>
  <c r="AI51" i="3" s="1"/>
  <c r="AH45" i="3"/>
  <c r="AI45" i="3" s="1"/>
  <c r="AH41" i="3"/>
  <c r="AI41" i="3" s="1"/>
  <c r="AJ41" i="3" s="1"/>
  <c r="AH38" i="3"/>
  <c r="AI38" i="3" s="1"/>
  <c r="AH36" i="3"/>
  <c r="AI36" i="3" s="1"/>
  <c r="AH24" i="3"/>
  <c r="AI24" i="3" s="1"/>
  <c r="B10" i="13"/>
  <c r="B11" i="13" s="1"/>
  <c r="AZ27" i="15"/>
  <c r="AZ35" i="15"/>
  <c r="AZ31" i="15"/>
  <c r="AZ34" i="15"/>
  <c r="AZ30" i="15"/>
  <c r="AZ33" i="15"/>
  <c r="AZ29" i="15"/>
  <c r="AZ32" i="15"/>
  <c r="AZ28" i="15"/>
  <c r="AZ26" i="15"/>
  <c r="AS51" i="15"/>
  <c r="AZ51" i="15" s="1"/>
  <c r="AS58" i="15"/>
  <c r="AZ58" i="15" s="1"/>
  <c r="AS50" i="15"/>
  <c r="AZ50" i="15" s="1"/>
  <c r="AS42" i="15"/>
  <c r="AZ42" i="15" s="1"/>
  <c r="AS44" i="15"/>
  <c r="AZ44" i="15" s="1"/>
  <c r="AS59" i="15"/>
  <c r="AZ59" i="15" s="1"/>
  <c r="AS65" i="15"/>
  <c r="AZ65" i="15" s="1"/>
  <c r="AS57" i="15"/>
  <c r="AZ57" i="15" s="1"/>
  <c r="AS49" i="15"/>
  <c r="AZ49" i="15" s="1"/>
  <c r="AS41" i="15"/>
  <c r="AZ41" i="15" s="1"/>
  <c r="AS43" i="15"/>
  <c r="AZ43" i="15" s="1"/>
  <c r="AS64" i="15"/>
  <c r="AZ64" i="15" s="1"/>
  <c r="AS56" i="15"/>
  <c r="AZ56" i="15" s="1"/>
  <c r="AS48" i="15"/>
  <c r="AZ48" i="15" s="1"/>
  <c r="AS40" i="15"/>
  <c r="AZ40" i="15" s="1"/>
  <c r="AS60" i="15"/>
  <c r="AZ60" i="15" s="1"/>
  <c r="AS63" i="15"/>
  <c r="AZ63" i="15" s="1"/>
  <c r="AS55" i="15"/>
  <c r="AZ55" i="15" s="1"/>
  <c r="AS47" i="15"/>
  <c r="AZ47" i="15" s="1"/>
  <c r="AS39" i="15"/>
  <c r="AZ39" i="15" s="1"/>
  <c r="AS52" i="15"/>
  <c r="AZ52" i="15" s="1"/>
  <c r="AS36" i="15"/>
  <c r="AZ36" i="15" s="1"/>
  <c r="AS62" i="15"/>
  <c r="AZ62" i="15" s="1"/>
  <c r="AS54" i="15"/>
  <c r="AZ54" i="15" s="1"/>
  <c r="AS46" i="15"/>
  <c r="AZ46" i="15" s="1"/>
  <c r="AS38" i="15"/>
  <c r="AZ38" i="15" s="1"/>
  <c r="AS61" i="15"/>
  <c r="AZ61" i="15" s="1"/>
  <c r="AS53" i="15"/>
  <c r="AZ53" i="15" s="1"/>
  <c r="AS45" i="15"/>
  <c r="AZ45" i="15" s="1"/>
  <c r="AS37" i="15"/>
  <c r="AZ37" i="15" s="1"/>
  <c r="AN18" i="3"/>
  <c r="BT65" i="3"/>
  <c r="BU65" i="3" s="1"/>
  <c r="C65" i="3" s="1"/>
  <c r="BU64" i="3"/>
  <c r="C64" i="3" s="1"/>
  <c r="BM25" i="3"/>
  <c r="BM111" i="3"/>
  <c r="BM119" i="3"/>
  <c r="BM36" i="3"/>
  <c r="AM26" i="15"/>
  <c r="AN26" i="15" s="1"/>
  <c r="AX26" i="15"/>
  <c r="ED26" i="15" s="1"/>
  <c r="BH26" i="15" s="1"/>
  <c r="BG26" i="15" s="1"/>
  <c r="DY123" i="3"/>
  <c r="BB123" i="3" s="1"/>
  <c r="BM83" i="3"/>
  <c r="BM75" i="3"/>
  <c r="BM97" i="3"/>
  <c r="BM43" i="3"/>
  <c r="BM99" i="3"/>
  <c r="BM115" i="3"/>
  <c r="BM123" i="3"/>
  <c r="DY122" i="3"/>
  <c r="BB122" i="3" s="1"/>
  <c r="BM91" i="3"/>
  <c r="BM73" i="3"/>
  <c r="BM113" i="3"/>
  <c r="BM67" i="3"/>
  <c r="BM59" i="3"/>
  <c r="BM51" i="3"/>
  <c r="BM107" i="3"/>
  <c r="BM42" i="3"/>
  <c r="BM58" i="3"/>
  <c r="T542" i="3"/>
  <c r="BM121" i="3"/>
  <c r="BM101" i="3"/>
  <c r="BM81" i="3"/>
  <c r="BM85" i="3"/>
  <c r="BM105" i="3"/>
  <c r="BM89" i="3"/>
  <c r="BM28" i="3"/>
  <c r="BM35" i="3"/>
  <c r="BM63" i="3"/>
  <c r="BM47" i="3"/>
  <c r="BM31" i="3"/>
  <c r="D66" i="3"/>
  <c r="D67" i="3" s="1"/>
  <c r="D68" i="3" s="1"/>
  <c r="D69" i="3" s="1"/>
  <c r="CG65" i="3"/>
  <c r="BM62" i="3"/>
  <c r="BM46" i="3"/>
  <c r="AD29" i="3"/>
  <c r="CG64" i="3"/>
  <c r="BM66" i="3"/>
  <c r="BM50" i="3"/>
  <c r="BM70" i="3"/>
  <c r="BM54" i="3"/>
  <c r="BM38" i="3"/>
  <c r="BM34" i="3"/>
  <c r="AX32" i="15"/>
  <c r="ED32" i="15" s="1"/>
  <c r="BH32" i="15" s="1"/>
  <c r="BG32" i="15" s="1"/>
  <c r="AM28" i="15"/>
  <c r="AN28" i="15" s="1"/>
  <c r="AX27" i="15"/>
  <c r="ED27" i="15" s="1"/>
  <c r="BH27" i="15" s="1"/>
  <c r="BG27" i="15" s="1"/>
  <c r="AM27" i="15"/>
  <c r="AX54" i="15"/>
  <c r="ED54" i="15" s="1"/>
  <c r="BH54" i="15" s="1"/>
  <c r="BG54" i="15" s="1"/>
  <c r="AX46" i="15"/>
  <c r="ED46" i="15" s="1"/>
  <c r="AX29" i="15"/>
  <c r="ED29" i="15" s="1"/>
  <c r="AX35" i="15"/>
  <c r="ED35" i="15" s="1"/>
  <c r="BH35" i="15" s="1"/>
  <c r="BG35" i="15" s="1"/>
  <c r="AC35" i="15"/>
  <c r="AD35" i="15" s="1"/>
  <c r="AX62" i="15"/>
  <c r="ED62" i="15" s="1"/>
  <c r="AX50" i="15"/>
  <c r="ED50" i="15" s="1"/>
  <c r="AX36" i="15"/>
  <c r="ED36" i="15" s="1"/>
  <c r="AX28" i="15"/>
  <c r="ED28" i="15" s="1"/>
  <c r="BH28" i="15" s="1"/>
  <c r="BG28" i="15" s="1"/>
  <c r="AX31" i="15"/>
  <c r="ED31" i="15" s="1"/>
  <c r="BH31" i="15" s="1"/>
  <c r="BG31" i="15" s="1"/>
  <c r="AC119" i="3"/>
  <c r="AJ119" i="3" s="1"/>
  <c r="AC38" i="3"/>
  <c r="AJ38" i="3" s="1"/>
  <c r="AC102" i="3"/>
  <c r="AJ102" i="3" s="1"/>
  <c r="AF70" i="3"/>
  <c r="AF62" i="3"/>
  <c r="AF30" i="3"/>
  <c r="AC103" i="3"/>
  <c r="AJ103" i="3" s="1"/>
  <c r="AF78" i="3"/>
  <c r="AF86" i="3"/>
  <c r="AC118" i="3"/>
  <c r="AJ118" i="3" s="1"/>
  <c r="AC94" i="3"/>
  <c r="AJ94" i="3" s="1"/>
  <c r="AF46" i="3"/>
  <c r="AF110" i="3"/>
  <c r="AC54" i="3"/>
  <c r="AJ54" i="3" s="1"/>
  <c r="AC39" i="3"/>
  <c r="AD28" i="3"/>
  <c r="AF87" i="3"/>
  <c r="AC71" i="3"/>
  <c r="AJ71" i="3" s="1"/>
  <c r="AF61" i="3"/>
  <c r="AF95" i="3"/>
  <c r="AC47" i="3"/>
  <c r="AJ47" i="3" s="1"/>
  <c r="AF69" i="3"/>
  <c r="AC72" i="3"/>
  <c r="AJ72" i="3" s="1"/>
  <c r="AC108" i="3"/>
  <c r="AJ108" i="3" s="1"/>
  <c r="AF68" i="3"/>
  <c r="AF80" i="3"/>
  <c r="AF60" i="3"/>
  <c r="AF117" i="3"/>
  <c r="AC120" i="3"/>
  <c r="AJ120" i="3" s="1"/>
  <c r="AF55" i="3"/>
  <c r="AF104" i="3"/>
  <c r="AC32" i="3"/>
  <c r="AJ32" i="3" s="1"/>
  <c r="AF111" i="3"/>
  <c r="AC31" i="3"/>
  <c r="AJ31" i="3" s="1"/>
  <c r="AF64" i="3"/>
  <c r="AC79" i="3"/>
  <c r="AJ79" i="3" s="1"/>
  <c r="AF105" i="3"/>
  <c r="AF63" i="3"/>
  <c r="AF96" i="3"/>
  <c r="AC88" i="3"/>
  <c r="AJ88" i="3" s="1"/>
  <c r="AC33" i="3"/>
  <c r="AJ33" i="3" s="1"/>
  <c r="AC44" i="3"/>
  <c r="AJ44" i="3" s="1"/>
  <c r="AC76" i="3"/>
  <c r="AJ76" i="3" s="1"/>
  <c r="AC56" i="3"/>
  <c r="AJ56" i="3" s="1"/>
  <c r="AC40" i="3"/>
  <c r="AJ40" i="3" s="1"/>
  <c r="AF100" i="3"/>
  <c r="AC112" i="3"/>
  <c r="AJ112" i="3" s="1"/>
  <c r="AC97" i="3"/>
  <c r="AJ97" i="3" s="1"/>
  <c r="AC84" i="3"/>
  <c r="AJ84" i="3" s="1"/>
  <c r="AF52" i="3"/>
  <c r="AF36" i="3"/>
  <c r="AF48" i="3"/>
  <c r="AC65" i="3"/>
  <c r="AJ65" i="3" s="1"/>
  <c r="AC92" i="3"/>
  <c r="AJ92" i="3" s="1"/>
  <c r="AC116" i="3"/>
  <c r="AJ116" i="3" s="1"/>
  <c r="AC35" i="3"/>
  <c r="AJ35" i="3" s="1"/>
  <c r="AC67" i="3"/>
  <c r="AJ67" i="3" s="1"/>
  <c r="AF90" i="3"/>
  <c r="AF41" i="3"/>
  <c r="BM68" i="3"/>
  <c r="BM60" i="3"/>
  <c r="AF57" i="3"/>
  <c r="AF107" i="3"/>
  <c r="BM52" i="3"/>
  <c r="DY86" i="3"/>
  <c r="BB86" i="3" s="1"/>
  <c r="AF89" i="3"/>
  <c r="AC99" i="3"/>
  <c r="AJ99" i="3" s="1"/>
  <c r="BM44" i="3"/>
  <c r="DY78" i="3"/>
  <c r="BB78" i="3" s="1"/>
  <c r="AF49" i="3"/>
  <c r="AF42" i="3"/>
  <c r="AC73" i="3"/>
  <c r="AJ73" i="3" s="1"/>
  <c r="DY62" i="3"/>
  <c r="BB62" i="3" s="1"/>
  <c r="AF115" i="3"/>
  <c r="AF75" i="3"/>
  <c r="AF43" i="3"/>
  <c r="AC83" i="3"/>
  <c r="AJ83" i="3" s="1"/>
  <c r="AC51" i="3"/>
  <c r="AJ51" i="3" s="1"/>
  <c r="DY118" i="3"/>
  <c r="DY54" i="3"/>
  <c r="BB54" i="3" s="1"/>
  <c r="AF59" i="3"/>
  <c r="AF123" i="3"/>
  <c r="AF50" i="3"/>
  <c r="AC113" i="3"/>
  <c r="AJ113" i="3" s="1"/>
  <c r="AC81" i="3"/>
  <c r="AJ81" i="3" s="1"/>
  <c r="BM64" i="3"/>
  <c r="BM56" i="3"/>
  <c r="BM48" i="3"/>
  <c r="BM40" i="3"/>
  <c r="BM32" i="3"/>
  <c r="BM27" i="3"/>
  <c r="DY110" i="3"/>
  <c r="BB110" i="3" s="1"/>
  <c r="DY46" i="3"/>
  <c r="BB46" i="3" s="1"/>
  <c r="AF91" i="3"/>
  <c r="DY70" i="3"/>
  <c r="BB70" i="3" s="1"/>
  <c r="AF98" i="3"/>
  <c r="DY102" i="3"/>
  <c r="BB102" i="3" s="1"/>
  <c r="DY38" i="3"/>
  <c r="BB38" i="3" s="1"/>
  <c r="AF66" i="3"/>
  <c r="AC121" i="3"/>
  <c r="AJ121" i="3" s="1"/>
  <c r="DY94" i="3"/>
  <c r="BB94" i="3" s="1"/>
  <c r="DY30" i="3"/>
  <c r="BB30" i="3" s="1"/>
  <c r="AF34" i="3"/>
  <c r="AF85" i="3"/>
  <c r="AF53" i="3"/>
  <c r="E10" i="3"/>
  <c r="DY117" i="3"/>
  <c r="DY109" i="3"/>
  <c r="DY101" i="3"/>
  <c r="DY93" i="3"/>
  <c r="DY85" i="3"/>
  <c r="BB85" i="3" s="1"/>
  <c r="DY77" i="3"/>
  <c r="DY69" i="3"/>
  <c r="DY61" i="3"/>
  <c r="DY53" i="3"/>
  <c r="DY45" i="3"/>
  <c r="DY37" i="3"/>
  <c r="DY29" i="3"/>
  <c r="AF114" i="3"/>
  <c r="BM122" i="3"/>
  <c r="BM120" i="3"/>
  <c r="BM118" i="3"/>
  <c r="BM116" i="3"/>
  <c r="BM114" i="3"/>
  <c r="BM112" i="3"/>
  <c r="BM110" i="3"/>
  <c r="BM108" i="3"/>
  <c r="BM106" i="3"/>
  <c r="BM104" i="3"/>
  <c r="BM102" i="3"/>
  <c r="BM100" i="3"/>
  <c r="BM98" i="3"/>
  <c r="BM96" i="3"/>
  <c r="BM94" i="3"/>
  <c r="BM92" i="3"/>
  <c r="BM90" i="3"/>
  <c r="BM88" i="3"/>
  <c r="BM86" i="3"/>
  <c r="BM84" i="3"/>
  <c r="BM82" i="3"/>
  <c r="BM80" i="3"/>
  <c r="BM78" i="3"/>
  <c r="BM76" i="3"/>
  <c r="BM74" i="3"/>
  <c r="BM30" i="3"/>
  <c r="DY24" i="3"/>
  <c r="BB24" i="3" s="1"/>
  <c r="BA24" i="3" s="1"/>
  <c r="DY116" i="3"/>
  <c r="DY108" i="3"/>
  <c r="DY100" i="3"/>
  <c r="DY92" i="3"/>
  <c r="DY84" i="3"/>
  <c r="BB84" i="3" s="1"/>
  <c r="DY76" i="3"/>
  <c r="DY68" i="3"/>
  <c r="DY60" i="3"/>
  <c r="BB60" i="3" s="1"/>
  <c r="DY52" i="3"/>
  <c r="DY44" i="3"/>
  <c r="DY36" i="3"/>
  <c r="DY28" i="3"/>
  <c r="AF58" i="3"/>
  <c r="AF74" i="3"/>
  <c r="AF106" i="3"/>
  <c r="AF109" i="3"/>
  <c r="AC101" i="3"/>
  <c r="AJ101" i="3" s="1"/>
  <c r="AC93" i="3"/>
  <c r="AJ93" i="3" s="1"/>
  <c r="AC77" i="3"/>
  <c r="AJ77" i="3" s="1"/>
  <c r="AC45" i="3"/>
  <c r="AJ45" i="3" s="1"/>
  <c r="AC37" i="3"/>
  <c r="AJ37" i="3" s="1"/>
  <c r="BM29" i="3"/>
  <c r="DY115" i="3"/>
  <c r="DY107" i="3"/>
  <c r="BB107" i="3" s="1"/>
  <c r="DY99" i="3"/>
  <c r="BB99" i="3" s="1"/>
  <c r="DY91" i="3"/>
  <c r="DY83" i="3"/>
  <c r="DY75" i="3"/>
  <c r="DY67" i="3"/>
  <c r="BB67" i="3" s="1"/>
  <c r="DY59" i="3"/>
  <c r="DY51" i="3"/>
  <c r="DY43" i="3"/>
  <c r="BB43" i="3" s="1"/>
  <c r="DY35" i="3"/>
  <c r="BB35" i="3" s="1"/>
  <c r="DY27" i="3"/>
  <c r="DY82" i="3"/>
  <c r="DY34" i="3"/>
  <c r="DY114" i="3"/>
  <c r="BB114" i="3" s="1"/>
  <c r="DY98" i="3"/>
  <c r="DY74" i="3"/>
  <c r="DY58" i="3"/>
  <c r="BB58" i="3" s="1"/>
  <c r="DY42" i="3"/>
  <c r="BB42" i="3" s="1"/>
  <c r="AF82" i="3"/>
  <c r="AF122" i="3"/>
  <c r="DY121" i="3"/>
  <c r="DY113" i="3"/>
  <c r="DY105" i="3"/>
  <c r="BB105" i="3" s="1"/>
  <c r="DY97" i="3"/>
  <c r="DY89" i="3"/>
  <c r="DY81" i="3"/>
  <c r="BB81" i="3" s="1"/>
  <c r="DY73" i="3"/>
  <c r="DY65" i="3"/>
  <c r="DY57" i="3"/>
  <c r="DY49" i="3"/>
  <c r="DY41" i="3"/>
  <c r="BB41" i="3" s="1"/>
  <c r="DY33" i="3"/>
  <c r="DY25" i="3"/>
  <c r="DY106" i="3"/>
  <c r="BB106" i="3" s="1"/>
  <c r="DY90" i="3"/>
  <c r="DY66" i="3"/>
  <c r="BB66" i="3" s="1"/>
  <c r="DY50" i="3"/>
  <c r="DY26" i="3"/>
  <c r="BM69" i="3"/>
  <c r="BM65" i="3"/>
  <c r="BM61" i="3"/>
  <c r="BM57" i="3"/>
  <c r="BM53" i="3"/>
  <c r="BM49" i="3"/>
  <c r="BM45" i="3"/>
  <c r="BM41" i="3"/>
  <c r="BM37" i="3"/>
  <c r="BM33" i="3"/>
  <c r="BM26" i="3"/>
  <c r="DY120" i="3"/>
  <c r="DY112" i="3"/>
  <c r="DY104" i="3"/>
  <c r="DY96" i="3"/>
  <c r="DY88" i="3"/>
  <c r="DY80" i="3"/>
  <c r="BB80" i="3" s="1"/>
  <c r="DY72" i="3"/>
  <c r="DY64" i="3"/>
  <c r="DY56" i="3"/>
  <c r="DY48" i="3"/>
  <c r="DY40" i="3"/>
  <c r="DY32" i="3"/>
  <c r="DY119" i="3"/>
  <c r="DY111" i="3"/>
  <c r="BB111" i="3" s="1"/>
  <c r="DY103" i="3"/>
  <c r="DY95" i="3"/>
  <c r="BB95" i="3" s="1"/>
  <c r="DY87" i="3"/>
  <c r="DY79" i="3"/>
  <c r="DY71" i="3"/>
  <c r="BB71" i="3" s="1"/>
  <c r="DY63" i="3"/>
  <c r="BB63" i="3" s="1"/>
  <c r="DY55" i="3"/>
  <c r="DY47" i="3"/>
  <c r="BB47" i="3" s="1"/>
  <c r="DY39" i="3"/>
  <c r="DY31" i="3"/>
  <c r="BB31" i="3" s="1"/>
  <c r="AM51" i="15"/>
  <c r="AN51" i="15" s="1"/>
  <c r="AM50" i="15"/>
  <c r="AN50" i="15" s="1"/>
  <c r="AM44" i="15"/>
  <c r="AN44" i="15" s="1"/>
  <c r="AM43" i="15"/>
  <c r="AN43" i="15" s="1"/>
  <c r="AM60" i="15"/>
  <c r="AN60" i="15" s="1"/>
  <c r="AM42" i="15"/>
  <c r="AO42" i="15" s="1"/>
  <c r="AP42" i="15" s="1"/>
  <c r="AM59" i="15"/>
  <c r="AN59" i="15" s="1"/>
  <c r="AM36" i="15"/>
  <c r="AN36" i="15" s="1"/>
  <c r="AM58" i="15"/>
  <c r="AO58" i="15" s="1"/>
  <c r="AP58" i="15" s="1"/>
  <c r="AM35" i="15"/>
  <c r="AN35" i="15" s="1"/>
  <c r="AM52" i="15"/>
  <c r="AN52" i="15" s="1"/>
  <c r="AM34" i="15"/>
  <c r="AN34" i="15" s="1"/>
  <c r="X26" i="15"/>
  <c r="AC31" i="15"/>
  <c r="AD31" i="15" s="1"/>
  <c r="AC63" i="15"/>
  <c r="AG63" i="15" s="1"/>
  <c r="AN29" i="15"/>
  <c r="AC59" i="15"/>
  <c r="AG59" i="15" s="1"/>
  <c r="AC55" i="15"/>
  <c r="AG55" i="15" s="1"/>
  <c r="AC51" i="15"/>
  <c r="AG51" i="15" s="1"/>
  <c r="AM65" i="15"/>
  <c r="AO65" i="15" s="1"/>
  <c r="AP65" i="15" s="1"/>
  <c r="AM57" i="15"/>
  <c r="AO57" i="15" s="1"/>
  <c r="AP57" i="15" s="1"/>
  <c r="AM49" i="15"/>
  <c r="AM41" i="15"/>
  <c r="AO41" i="15" s="1"/>
  <c r="AP41" i="15" s="1"/>
  <c r="AM33" i="15"/>
  <c r="AO33" i="15" s="1"/>
  <c r="AP33" i="15" s="1"/>
  <c r="AC47" i="15"/>
  <c r="AG47" i="15" s="1"/>
  <c r="AM64" i="15"/>
  <c r="AO64" i="15" s="1"/>
  <c r="AP64" i="15" s="1"/>
  <c r="AM56" i="15"/>
  <c r="AM48" i="15"/>
  <c r="AM40" i="15"/>
  <c r="AM32" i="15"/>
  <c r="AN32" i="15" s="1"/>
  <c r="AC26" i="15"/>
  <c r="AD26" i="15" s="1"/>
  <c r="AC43" i="15"/>
  <c r="AG43" i="15" s="1"/>
  <c r="AM63" i="15"/>
  <c r="AN63" i="15" s="1"/>
  <c r="AM55" i="15"/>
  <c r="AN55" i="15" s="1"/>
  <c r="AM47" i="15"/>
  <c r="AN47" i="15" s="1"/>
  <c r="AM39" i="15"/>
  <c r="AN39" i="15" s="1"/>
  <c r="AM31" i="15"/>
  <c r="AN31" i="15" s="1"/>
  <c r="AC39" i="15"/>
  <c r="AG39" i="15" s="1"/>
  <c r="AM62" i="15"/>
  <c r="AN62" i="15" s="1"/>
  <c r="AM54" i="15"/>
  <c r="AN54" i="15" s="1"/>
  <c r="AM46" i="15"/>
  <c r="AN46" i="15" s="1"/>
  <c r="AM38" i="15"/>
  <c r="AN38" i="15" s="1"/>
  <c r="AM30" i="15"/>
  <c r="AM61" i="15"/>
  <c r="AO61" i="15" s="1"/>
  <c r="AP61" i="15" s="1"/>
  <c r="AM53" i="15"/>
  <c r="AO53" i="15" s="1"/>
  <c r="AP53" i="15" s="1"/>
  <c r="AM45" i="15"/>
  <c r="AM37" i="15"/>
  <c r="AO37" i="15" s="1"/>
  <c r="AP37" i="15" s="1"/>
  <c r="S551" i="3"/>
  <c r="BM24" i="3"/>
  <c r="AX34" i="15"/>
  <c r="ED34" i="15" s="1"/>
  <c r="AX33" i="15"/>
  <c r="ED33" i="15" s="1"/>
  <c r="BH33" i="15" s="1"/>
  <c r="BG33" i="15" s="1"/>
  <c r="AX30" i="15"/>
  <c r="ED30" i="15" s="1"/>
  <c r="AX58" i="15"/>
  <c r="ED58" i="15" s="1"/>
  <c r="BH58" i="15" s="1"/>
  <c r="BG58" i="15" s="1"/>
  <c r="AX42" i="15"/>
  <c r="ED42" i="15" s="1"/>
  <c r="AX63" i="15"/>
  <c r="ED63" i="15" s="1"/>
  <c r="AX61" i="15"/>
  <c r="ED61" i="15" s="1"/>
  <c r="AX60" i="15"/>
  <c r="ED60" i="15" s="1"/>
  <c r="AX59" i="15"/>
  <c r="ED59" i="15" s="1"/>
  <c r="BH59" i="15" s="1"/>
  <c r="BG59" i="15" s="1"/>
  <c r="AX57" i="15"/>
  <c r="ED57" i="15" s="1"/>
  <c r="BH57" i="15" s="1"/>
  <c r="BG57" i="15" s="1"/>
  <c r="AX56" i="15"/>
  <c r="ED56" i="15" s="1"/>
  <c r="BH56" i="15" s="1"/>
  <c r="BG56" i="15" s="1"/>
  <c r="AX55" i="15"/>
  <c r="ED55" i="15" s="1"/>
  <c r="AX53" i="15"/>
  <c r="ED53" i="15" s="1"/>
  <c r="BH53" i="15" s="1"/>
  <c r="BG53" i="15" s="1"/>
  <c r="AX52" i="15"/>
  <c r="ED52" i="15" s="1"/>
  <c r="BH52" i="15" s="1"/>
  <c r="BG52" i="15" s="1"/>
  <c r="AX51" i="15"/>
  <c r="ED51" i="15" s="1"/>
  <c r="AX49" i="15"/>
  <c r="ED49" i="15" s="1"/>
  <c r="AX48" i="15"/>
  <c r="ED48" i="15" s="1"/>
  <c r="AX47" i="15"/>
  <c r="ED47" i="15" s="1"/>
  <c r="BH47" i="15" s="1"/>
  <c r="BG47" i="15" s="1"/>
  <c r="AX45" i="15"/>
  <c r="ED45" i="15" s="1"/>
  <c r="BH45" i="15" s="1"/>
  <c r="BG45" i="15" s="1"/>
  <c r="AX44" i="15"/>
  <c r="ED44" i="15" s="1"/>
  <c r="AX43" i="15"/>
  <c r="ED43" i="15" s="1"/>
  <c r="BH43" i="15" s="1"/>
  <c r="BG43" i="15" s="1"/>
  <c r="AX37" i="15"/>
  <c r="ED37" i="15" s="1"/>
  <c r="AH26" i="3"/>
  <c r="AI26" i="3" s="1"/>
  <c r="AY20" i="15"/>
  <c r="H16" i="15" s="1"/>
  <c r="AX65" i="15"/>
  <c r="ED65" i="15" s="1"/>
  <c r="AX41" i="15"/>
  <c r="ED41" i="15" s="1"/>
  <c r="AX39" i="15"/>
  <c r="ED39" i="15" s="1"/>
  <c r="B84" i="15"/>
  <c r="AC28" i="15"/>
  <c r="AD28" i="15" s="1"/>
  <c r="AC62" i="15"/>
  <c r="AC58" i="15"/>
  <c r="AD58" i="15" s="1"/>
  <c r="AC54" i="15"/>
  <c r="AE54" i="15" s="1"/>
  <c r="AF54" i="15" s="1"/>
  <c r="AC50" i="15"/>
  <c r="AC46" i="15"/>
  <c r="AC42" i="15"/>
  <c r="AC38" i="15"/>
  <c r="AC34" i="15"/>
  <c r="AD34" i="15" s="1"/>
  <c r="AC30" i="15"/>
  <c r="AD30" i="15" s="1"/>
  <c r="AC65" i="15"/>
  <c r="AG65" i="15" s="1"/>
  <c r="AC61" i="15"/>
  <c r="AG61" i="15" s="1"/>
  <c r="AC57" i="15"/>
  <c r="AG57" i="15" s="1"/>
  <c r="AC53" i="15"/>
  <c r="AG53" i="15" s="1"/>
  <c r="AC49" i="15"/>
  <c r="AG49" i="15" s="1"/>
  <c r="AC45" i="15"/>
  <c r="AG45" i="15" s="1"/>
  <c r="AC41" i="15"/>
  <c r="AG41" i="15" s="1"/>
  <c r="AC37" i="15"/>
  <c r="AG37" i="15" s="1"/>
  <c r="AC33" i="15"/>
  <c r="AD33" i="15" s="1"/>
  <c r="AC29" i="15"/>
  <c r="AD29" i="15" s="1"/>
  <c r="AC64" i="15"/>
  <c r="AE64" i="15" s="1"/>
  <c r="AF64" i="15" s="1"/>
  <c r="AC60" i="15"/>
  <c r="AC56" i="15"/>
  <c r="AE56" i="15" s="1"/>
  <c r="AF56" i="15" s="1"/>
  <c r="AC52" i="15"/>
  <c r="AC48" i="15"/>
  <c r="AC44" i="15"/>
  <c r="AC40" i="15"/>
  <c r="AC36" i="15"/>
  <c r="AD36" i="15" s="1"/>
  <c r="AC32" i="15"/>
  <c r="AD32" i="15" s="1"/>
  <c r="AX40" i="15"/>
  <c r="ED40" i="15" s="1"/>
  <c r="BH40" i="15" s="1"/>
  <c r="BG40" i="15" s="1"/>
  <c r="AX38" i="15"/>
  <c r="ED38" i="15" s="1"/>
  <c r="BH64" i="15"/>
  <c r="BG64" i="15" s="1"/>
  <c r="EC58" i="15"/>
  <c r="BS58" i="15" s="1"/>
  <c r="AD24" i="3"/>
  <c r="AC26" i="3"/>
  <c r="AJ26" i="3" s="1"/>
  <c r="S553" i="3"/>
  <c r="Q554" i="3"/>
  <c r="S554" i="3" s="1"/>
  <c r="P10" i="3"/>
  <c r="AD27" i="3"/>
  <c r="AD25" i="3"/>
  <c r="AH29" i="3"/>
  <c r="AI29" i="3" s="1"/>
  <c r="AH28" i="3"/>
  <c r="AI28" i="3" s="1"/>
  <c r="AH27" i="3"/>
  <c r="AI27" i="3" s="1"/>
  <c r="AH25" i="3"/>
  <c r="AI25" i="3" s="1"/>
  <c r="J84" i="15"/>
  <c r="AC27" i="15"/>
  <c r="AD51" i="3"/>
  <c r="AD115" i="3"/>
  <c r="AD83" i="3"/>
  <c r="AD67" i="3"/>
  <c r="AD59" i="3"/>
  <c r="AD55" i="3"/>
  <c r="AD53" i="3"/>
  <c r="AD52" i="3"/>
  <c r="AC25" i="3"/>
  <c r="AD123" i="3"/>
  <c r="AD119" i="3"/>
  <c r="AD117" i="3"/>
  <c r="AD116" i="3"/>
  <c r="W32" i="15"/>
  <c r="AA32" i="15" s="1"/>
  <c r="AD99" i="3"/>
  <c r="AD91" i="3"/>
  <c r="AD87" i="3"/>
  <c r="AD85" i="3"/>
  <c r="AD84" i="3"/>
  <c r="AD35" i="3"/>
  <c r="V32" i="15"/>
  <c r="AD107" i="3"/>
  <c r="AD103" i="3"/>
  <c r="AD101" i="3"/>
  <c r="AD100" i="3"/>
  <c r="AD75" i="3"/>
  <c r="AD71" i="3"/>
  <c r="AD69" i="3"/>
  <c r="AD68" i="3"/>
  <c r="AD43" i="3"/>
  <c r="AD39" i="3"/>
  <c r="AD37" i="3"/>
  <c r="AD36" i="3"/>
  <c r="W34" i="15"/>
  <c r="AA34" i="15" s="1"/>
  <c r="AD111" i="3"/>
  <c r="AD109" i="3"/>
  <c r="AD108" i="3"/>
  <c r="AD95" i="3"/>
  <c r="AD93" i="3"/>
  <c r="AD92" i="3"/>
  <c r="AD79" i="3"/>
  <c r="AD77" i="3"/>
  <c r="AD76" i="3"/>
  <c r="AD63" i="3"/>
  <c r="AD61" i="3"/>
  <c r="AD60" i="3"/>
  <c r="AD47" i="3"/>
  <c r="AD45" i="3"/>
  <c r="AD44" i="3"/>
  <c r="AD31" i="3"/>
  <c r="Z41" i="15"/>
  <c r="W41" i="15"/>
  <c r="Z39" i="15"/>
  <c r="W39" i="15"/>
  <c r="Z37" i="15"/>
  <c r="W37" i="15"/>
  <c r="AD121" i="3"/>
  <c r="AD120" i="3"/>
  <c r="AD113" i="3"/>
  <c r="AD112" i="3"/>
  <c r="AD105" i="3"/>
  <c r="AD104" i="3"/>
  <c r="AD97" i="3"/>
  <c r="AD96" i="3"/>
  <c r="AD89" i="3"/>
  <c r="AD88" i="3"/>
  <c r="AD81" i="3"/>
  <c r="AD80" i="3"/>
  <c r="AD73" i="3"/>
  <c r="AD72" i="3"/>
  <c r="AD65" i="3"/>
  <c r="AD64" i="3"/>
  <c r="AD57" i="3"/>
  <c r="AD56" i="3"/>
  <c r="AD49" i="3"/>
  <c r="AD48" i="3"/>
  <c r="AD41" i="3"/>
  <c r="AD40" i="3"/>
  <c r="AD33" i="3"/>
  <c r="AD32" i="3"/>
  <c r="AC29" i="3"/>
  <c r="AD26" i="3"/>
  <c r="AD122" i="3"/>
  <c r="AD118" i="3"/>
  <c r="AD114" i="3"/>
  <c r="AD110" i="3"/>
  <c r="AD106" i="3"/>
  <c r="AD102" i="3"/>
  <c r="AD98" i="3"/>
  <c r="AD94" i="3"/>
  <c r="AD90" i="3"/>
  <c r="AD86" i="3"/>
  <c r="AD82" i="3"/>
  <c r="AD78" i="3"/>
  <c r="AD74" i="3"/>
  <c r="AD70" i="3"/>
  <c r="AD66" i="3"/>
  <c r="AD62" i="3"/>
  <c r="AD58" i="3"/>
  <c r="AD54" i="3"/>
  <c r="AD50" i="3"/>
  <c r="AD46" i="3"/>
  <c r="AD42" i="3"/>
  <c r="AD38" i="3"/>
  <c r="AD34" i="3"/>
  <c r="AD30" i="3"/>
  <c r="Z65" i="15"/>
  <c r="W65" i="15"/>
  <c r="Z63" i="15"/>
  <c r="W63" i="15"/>
  <c r="Y63" i="15" s="1"/>
  <c r="Z61" i="15"/>
  <c r="W61" i="15"/>
  <c r="Y61" i="15" s="1"/>
  <c r="Z59" i="15"/>
  <c r="W59" i="15"/>
  <c r="Z57" i="15"/>
  <c r="W57" i="15"/>
  <c r="Z55" i="15"/>
  <c r="W55" i="15"/>
  <c r="Z53" i="15"/>
  <c r="W53" i="15"/>
  <c r="Z43" i="15"/>
  <c r="W43" i="15"/>
  <c r="W42" i="15"/>
  <c r="W35" i="15"/>
  <c r="Y35" i="15" s="1"/>
  <c r="W31" i="15"/>
  <c r="Y31" i="15" s="1"/>
  <c r="W26" i="15"/>
  <c r="Y26" i="15" s="1"/>
  <c r="AC28" i="3"/>
  <c r="AJ28" i="3" s="1"/>
  <c r="AC27" i="3"/>
  <c r="AJ27" i="3" s="1"/>
  <c r="AC24" i="3"/>
  <c r="AJ24" i="3" s="1"/>
  <c r="W30" i="15"/>
  <c r="Z40" i="15"/>
  <c r="W40" i="15"/>
  <c r="AB40" i="15" s="1"/>
  <c r="Z38" i="15"/>
  <c r="W38" i="15"/>
  <c r="W36" i="15"/>
  <c r="V34" i="15"/>
  <c r="V31" i="15"/>
  <c r="Z51" i="15"/>
  <c r="W29" i="15"/>
  <c r="V29" i="15"/>
  <c r="W28" i="15"/>
  <c r="V28" i="15"/>
  <c r="W27" i="15"/>
  <c r="V27" i="15"/>
  <c r="Z64" i="15"/>
  <c r="W64" i="15"/>
  <c r="AA64" i="15" s="1"/>
  <c r="Z62" i="15"/>
  <c r="W62" i="15"/>
  <c r="AB62" i="15" s="1"/>
  <c r="Z60" i="15"/>
  <c r="W60" i="15"/>
  <c r="AB60" i="15" s="1"/>
  <c r="Z58" i="15"/>
  <c r="W58" i="15"/>
  <c r="AB58" i="15" s="1"/>
  <c r="Z56" i="15"/>
  <c r="W56" i="15"/>
  <c r="AA56" i="15" s="1"/>
  <c r="Z54" i="15"/>
  <c r="W54" i="15"/>
  <c r="Z52" i="15"/>
  <c r="W52" i="15"/>
  <c r="W51" i="15"/>
  <c r="Z50" i="15"/>
  <c r="W50" i="15"/>
  <c r="Z49" i="15"/>
  <c r="W49" i="15"/>
  <c r="Z48" i="15"/>
  <c r="W48" i="15"/>
  <c r="Y48" i="15" s="1"/>
  <c r="Z47" i="15"/>
  <c r="W47" i="15"/>
  <c r="Z46" i="15"/>
  <c r="W46" i="15"/>
  <c r="Z45" i="15"/>
  <c r="W45" i="15"/>
  <c r="Z44" i="15"/>
  <c r="W44" i="15"/>
  <c r="AA44" i="15" s="1"/>
  <c r="W33" i="15"/>
  <c r="Y33" i="15" s="1"/>
  <c r="V33" i="15"/>
  <c r="V35" i="15"/>
  <c r="AX85" i="15"/>
  <c r="H87" i="15" s="1"/>
  <c r="K96" i="15"/>
  <c r="J99" i="15"/>
  <c r="K99" i="15" s="1"/>
  <c r="K98" i="15"/>
  <c r="AJ25" i="3" l="1"/>
  <c r="AJ29" i="3"/>
  <c r="AJ39" i="3"/>
  <c r="B12" i="13"/>
  <c r="BT66" i="3"/>
  <c r="BT67" i="3" s="1"/>
  <c r="BC24" i="3"/>
  <c r="BD24" i="3"/>
  <c r="AO55" i="15"/>
  <c r="AP55" i="15" s="1"/>
  <c r="AO60" i="15"/>
  <c r="AP60" i="15" s="1"/>
  <c r="AE51" i="15"/>
  <c r="AF51" i="15" s="1"/>
  <c r="AD51" i="15"/>
  <c r="AQ60" i="15"/>
  <c r="CG67" i="3"/>
  <c r="CG66" i="3"/>
  <c r="AO34" i="15"/>
  <c r="AP34" i="15" s="1"/>
  <c r="AO43" i="15"/>
  <c r="AP43" i="15" s="1"/>
  <c r="AQ43" i="15"/>
  <c r="AQ47" i="15"/>
  <c r="AQ34" i="15"/>
  <c r="AD45" i="15"/>
  <c r="CM64" i="15"/>
  <c r="CN64" i="15"/>
  <c r="CN50" i="15"/>
  <c r="CM50" i="15"/>
  <c r="CN41" i="15"/>
  <c r="CM41" i="15"/>
  <c r="CN57" i="15"/>
  <c r="CM57" i="15"/>
  <c r="BV37" i="15"/>
  <c r="R37" i="15" s="1"/>
  <c r="CN37" i="15"/>
  <c r="CM37" i="15"/>
  <c r="CM32" i="15"/>
  <c r="CN32" i="15"/>
  <c r="CN35" i="15"/>
  <c r="CM35" i="15"/>
  <c r="BV39" i="15"/>
  <c r="R39" i="15" s="1"/>
  <c r="CN39" i="15"/>
  <c r="CM39" i="15"/>
  <c r="CN33" i="15"/>
  <c r="CM33" i="15"/>
  <c r="CN34" i="15"/>
  <c r="CM34" i="15"/>
  <c r="CM48" i="15"/>
  <c r="CN48" i="15"/>
  <c r="CN59" i="15"/>
  <c r="CM59" i="15"/>
  <c r="CN36" i="15"/>
  <c r="CM36" i="15"/>
  <c r="CM54" i="15"/>
  <c r="CN54" i="15"/>
  <c r="CN61" i="15"/>
  <c r="CM61" i="15"/>
  <c r="BT38" i="15"/>
  <c r="CM38" i="15"/>
  <c r="CN38" i="15"/>
  <c r="CN55" i="15"/>
  <c r="CM55" i="15"/>
  <c r="CM31" i="15"/>
  <c r="CN31" i="15"/>
  <c r="CN52" i="15"/>
  <c r="CM52" i="15"/>
  <c r="BU40" i="15"/>
  <c r="CM40" i="15"/>
  <c r="CN40" i="15"/>
  <c r="CM56" i="15"/>
  <c r="CN56" i="15"/>
  <c r="CN47" i="15"/>
  <c r="CM47" i="15"/>
  <c r="CM63" i="15"/>
  <c r="CN63" i="15"/>
  <c r="CN43" i="15"/>
  <c r="CM43" i="15"/>
  <c r="CN42" i="15"/>
  <c r="CM42" i="15"/>
  <c r="CN58" i="15"/>
  <c r="CM58" i="15"/>
  <c r="CN49" i="15"/>
  <c r="CM49" i="15"/>
  <c r="CN65" i="15"/>
  <c r="CM65" i="15"/>
  <c r="CN27" i="15"/>
  <c r="CM27" i="15"/>
  <c r="CN45" i="15"/>
  <c r="CM45" i="15"/>
  <c r="AD65" i="15"/>
  <c r="CN44" i="15"/>
  <c r="CM44" i="15"/>
  <c r="CN60" i="15"/>
  <c r="CM60" i="15"/>
  <c r="CN51" i="15"/>
  <c r="CM51" i="15"/>
  <c r="CN28" i="15"/>
  <c r="CM28" i="15"/>
  <c r="CM46" i="15"/>
  <c r="CN46" i="15"/>
  <c r="CN62" i="15"/>
  <c r="CM62" i="15"/>
  <c r="CN53" i="15"/>
  <c r="CM53" i="15"/>
  <c r="CN29" i="15"/>
  <c r="CM29" i="15"/>
  <c r="AG107" i="3"/>
  <c r="AV107" i="3" s="1"/>
  <c r="V107" i="3" s="1"/>
  <c r="AG116" i="3"/>
  <c r="AK42" i="3"/>
  <c r="AL42" i="3" s="1"/>
  <c r="AK106" i="3"/>
  <c r="AL106" i="3" s="1"/>
  <c r="AG40" i="3"/>
  <c r="AG24" i="3"/>
  <c r="AG29" i="3"/>
  <c r="AK29" i="3" s="1"/>
  <c r="AG92" i="3"/>
  <c r="AG84" i="3"/>
  <c r="AK82" i="3"/>
  <c r="AL82" i="3" s="1"/>
  <c r="AK114" i="3"/>
  <c r="AL114" i="3" s="1"/>
  <c r="AG48" i="3"/>
  <c r="AG80" i="3"/>
  <c r="AG112" i="3"/>
  <c r="AG123" i="3"/>
  <c r="AG25" i="3"/>
  <c r="AG28" i="3"/>
  <c r="CQ28" i="3" s="1"/>
  <c r="AG70" i="3"/>
  <c r="AK35" i="3"/>
  <c r="AL35" i="3" s="1"/>
  <c r="AG52" i="3"/>
  <c r="AG46" i="3"/>
  <c r="AG110" i="3"/>
  <c r="AG54" i="3"/>
  <c r="AG86" i="3"/>
  <c r="AV86" i="3" s="1"/>
  <c r="V86" i="3" s="1"/>
  <c r="AG118" i="3"/>
  <c r="AG60" i="3"/>
  <c r="AG75" i="3"/>
  <c r="AG68" i="3"/>
  <c r="AG122" i="3"/>
  <c r="AG100" i="3"/>
  <c r="AG38" i="3"/>
  <c r="CQ72" i="3"/>
  <c r="AK74" i="3"/>
  <c r="AL74" i="3" s="1"/>
  <c r="AG72" i="3"/>
  <c r="AG104" i="3"/>
  <c r="AG44" i="3"/>
  <c r="AG78" i="3"/>
  <c r="AK58" i="3"/>
  <c r="AL58" i="3" s="1"/>
  <c r="AK90" i="3"/>
  <c r="AL90" i="3" s="1"/>
  <c r="AG88" i="3"/>
  <c r="AG36" i="3"/>
  <c r="AG30" i="3"/>
  <c r="AK62" i="3"/>
  <c r="AL62" i="3" s="1"/>
  <c r="AG94" i="3"/>
  <c r="AG26" i="3"/>
  <c r="AG99" i="3"/>
  <c r="AK83" i="3"/>
  <c r="AL83" i="3" s="1"/>
  <c r="AK102" i="3"/>
  <c r="AL102" i="3" s="1"/>
  <c r="AG56" i="3"/>
  <c r="AG120" i="3"/>
  <c r="AK108" i="3"/>
  <c r="AL108" i="3" s="1"/>
  <c r="AG91" i="3"/>
  <c r="AV91" i="3" s="1"/>
  <c r="V91" i="3" s="1"/>
  <c r="AK67" i="3"/>
  <c r="AL67" i="3" s="1"/>
  <c r="AG34" i="3"/>
  <c r="AK66" i="3"/>
  <c r="AL66" i="3" s="1"/>
  <c r="AK98" i="3"/>
  <c r="AL98" i="3" s="1"/>
  <c r="AG32" i="3"/>
  <c r="AG64" i="3"/>
  <c r="AV64" i="3" s="1"/>
  <c r="V64" i="3" s="1"/>
  <c r="AG96" i="3"/>
  <c r="AV96" i="3" s="1"/>
  <c r="V96" i="3" s="1"/>
  <c r="AK76" i="3"/>
  <c r="AL76" i="3" s="1"/>
  <c r="AK115" i="3"/>
  <c r="AL115" i="3" s="1"/>
  <c r="CG68" i="3"/>
  <c r="J85" i="15"/>
  <c r="J86" i="15" s="1"/>
  <c r="J87" i="15" s="1"/>
  <c r="AN27" i="15"/>
  <c r="BH37" i="15"/>
  <c r="BH62" i="15"/>
  <c r="BH63" i="15"/>
  <c r="AO38" i="15"/>
  <c r="AP38" i="15" s="1"/>
  <c r="BH39" i="15"/>
  <c r="BH50" i="15"/>
  <c r="AE57" i="15"/>
  <c r="AF57" i="15" s="1"/>
  <c r="AD57" i="15"/>
  <c r="EC56" i="15"/>
  <c r="BS56" i="15" s="1"/>
  <c r="AE39" i="15"/>
  <c r="AF39" i="15" s="1"/>
  <c r="BH51" i="15"/>
  <c r="BH46" i="15"/>
  <c r="BH30" i="15"/>
  <c r="BH49" i="15"/>
  <c r="BH60" i="15"/>
  <c r="AD39" i="15"/>
  <c r="BH61" i="15"/>
  <c r="BH29" i="15"/>
  <c r="AQ51" i="15"/>
  <c r="AO50" i="15"/>
  <c r="AP50" i="15" s="1"/>
  <c r="AO51" i="15"/>
  <c r="AP51" i="15" s="1"/>
  <c r="BH41" i="15"/>
  <c r="BH36" i="15"/>
  <c r="AO47" i="15"/>
  <c r="AP47" i="15" s="1"/>
  <c r="AQ44" i="15"/>
  <c r="BH55" i="15"/>
  <c r="AE49" i="15"/>
  <c r="AF49" i="15" s="1"/>
  <c r="BH44" i="15"/>
  <c r="AQ39" i="15"/>
  <c r="BH42" i="15"/>
  <c r="BH65" i="15"/>
  <c r="BH34" i="15"/>
  <c r="AK56" i="3"/>
  <c r="AL56" i="3" s="1"/>
  <c r="AK28" i="3"/>
  <c r="AL28" i="3" s="1"/>
  <c r="AK32" i="3"/>
  <c r="AL32" i="3" s="1"/>
  <c r="AK78" i="3"/>
  <c r="AL78" i="3" s="1"/>
  <c r="AK52" i="3"/>
  <c r="AL52" i="3" s="1"/>
  <c r="AK68" i="3"/>
  <c r="AL68" i="3" s="1"/>
  <c r="AK84" i="3"/>
  <c r="AL84" i="3" s="1"/>
  <c r="AK88" i="3"/>
  <c r="AL88" i="3" s="1"/>
  <c r="AG66" i="3"/>
  <c r="EC40" i="15"/>
  <c r="BS40" i="15" s="1"/>
  <c r="AG82" i="3"/>
  <c r="DX123" i="3"/>
  <c r="BL123" i="3" s="1"/>
  <c r="DX107" i="3"/>
  <c r="BL107" i="3" s="1"/>
  <c r="DX91" i="3"/>
  <c r="BL91" i="3" s="1"/>
  <c r="DX75" i="3"/>
  <c r="BL75" i="3" s="1"/>
  <c r="DX59" i="3"/>
  <c r="BL59" i="3" s="1"/>
  <c r="EC64" i="15"/>
  <c r="BS64" i="15" s="1"/>
  <c r="AK94" i="3"/>
  <c r="AL94" i="3" s="1"/>
  <c r="EC37" i="15"/>
  <c r="BS37" i="15" s="1"/>
  <c r="AG114" i="3"/>
  <c r="AV114" i="3" s="1"/>
  <c r="V114" i="3" s="1"/>
  <c r="AK92" i="3"/>
  <c r="AL92" i="3" s="1"/>
  <c r="AG115" i="3"/>
  <c r="DX118" i="3"/>
  <c r="BL118" i="3" s="1"/>
  <c r="DX102" i="3"/>
  <c r="BL102" i="3" s="1"/>
  <c r="DX86" i="3"/>
  <c r="BL86" i="3" s="1"/>
  <c r="DX70" i="3"/>
  <c r="BL70" i="3" s="1"/>
  <c r="DX54" i="3"/>
  <c r="BL54" i="3" s="1"/>
  <c r="AK86" i="3"/>
  <c r="AL86" i="3" s="1"/>
  <c r="DX43" i="3"/>
  <c r="BL43" i="3" s="1"/>
  <c r="DX27" i="3"/>
  <c r="BL27" i="3" s="1"/>
  <c r="DX38" i="3"/>
  <c r="BL38" i="3" s="1"/>
  <c r="EC53" i="15"/>
  <c r="BS53" i="15" s="1"/>
  <c r="AK116" i="3"/>
  <c r="AL116" i="3" s="1"/>
  <c r="AK30" i="3"/>
  <c r="AL30" i="3" s="1"/>
  <c r="AK120" i="3"/>
  <c r="AL120" i="3" s="1"/>
  <c r="EC48" i="15"/>
  <c r="BS48" i="15" s="1"/>
  <c r="BB109" i="3"/>
  <c r="BA109" i="3" s="1"/>
  <c r="AZ109" i="3" s="1"/>
  <c r="BB77" i="3"/>
  <c r="BA77" i="3" s="1"/>
  <c r="AZ77" i="3" s="1"/>
  <c r="BB45" i="3"/>
  <c r="BA45" i="3" s="1"/>
  <c r="AZ45" i="3" s="1"/>
  <c r="BB104" i="3"/>
  <c r="BA104" i="3" s="1"/>
  <c r="AZ104" i="3" s="1"/>
  <c r="BB72" i="3"/>
  <c r="BA72" i="3" s="1"/>
  <c r="AZ72" i="3" s="1"/>
  <c r="BB40" i="3"/>
  <c r="BA40" i="3" s="1"/>
  <c r="AZ40" i="3" s="1"/>
  <c r="BB79" i="3"/>
  <c r="BA79" i="3" s="1"/>
  <c r="AZ79" i="3" s="1"/>
  <c r="BB74" i="3"/>
  <c r="BA74" i="3" s="1"/>
  <c r="AZ74" i="3" s="1"/>
  <c r="AG98" i="3"/>
  <c r="AK60" i="3"/>
  <c r="AL60" i="3" s="1"/>
  <c r="AK44" i="3"/>
  <c r="AL44" i="3" s="1"/>
  <c r="BB97" i="3"/>
  <c r="BA97" i="3" s="1"/>
  <c r="AZ97" i="3" s="1"/>
  <c r="BB65" i="3"/>
  <c r="BA65" i="3" s="1"/>
  <c r="AZ65" i="3" s="1"/>
  <c r="BB33" i="3"/>
  <c r="BA33" i="3" s="1"/>
  <c r="AZ33" i="3" s="1"/>
  <c r="BB108" i="3"/>
  <c r="BA108" i="3" s="1"/>
  <c r="AZ108" i="3" s="1"/>
  <c r="BB76" i="3"/>
  <c r="BA76" i="3" s="1"/>
  <c r="AZ76" i="3" s="1"/>
  <c r="BB44" i="3"/>
  <c r="BA44" i="3" s="1"/>
  <c r="AZ44" i="3" s="1"/>
  <c r="AK36" i="3"/>
  <c r="AL36" i="3" s="1"/>
  <c r="BB59" i="3"/>
  <c r="BA59" i="3" s="1"/>
  <c r="AZ59" i="3" s="1"/>
  <c r="BB118" i="3"/>
  <c r="BA118" i="3" s="1"/>
  <c r="AZ118" i="3" s="1"/>
  <c r="BB121" i="3"/>
  <c r="BA121" i="3" s="1"/>
  <c r="AZ121" i="3" s="1"/>
  <c r="BB57" i="3"/>
  <c r="BA57" i="3" s="1"/>
  <c r="AZ57" i="3" s="1"/>
  <c r="BB100" i="3"/>
  <c r="BA100" i="3" s="1"/>
  <c r="AZ100" i="3" s="1"/>
  <c r="BB36" i="3"/>
  <c r="BA36" i="3" s="1"/>
  <c r="AZ36" i="3" s="1"/>
  <c r="BB88" i="3"/>
  <c r="BA88" i="3" s="1"/>
  <c r="AZ88" i="3" s="1"/>
  <c r="BB87" i="3"/>
  <c r="BA87" i="3" s="1"/>
  <c r="AZ87" i="3" s="1"/>
  <c r="BB98" i="3"/>
  <c r="BA98" i="3" s="1"/>
  <c r="AZ98" i="3" s="1"/>
  <c r="BB50" i="3"/>
  <c r="BA50" i="3" s="1"/>
  <c r="AZ50" i="3" s="1"/>
  <c r="BB93" i="3"/>
  <c r="BA93" i="3" s="1"/>
  <c r="AZ93" i="3" s="1"/>
  <c r="AK100" i="3"/>
  <c r="AL100" i="3" s="1"/>
  <c r="BB101" i="3"/>
  <c r="BA101" i="3" s="1"/>
  <c r="AZ101" i="3" s="1"/>
  <c r="BB37" i="3"/>
  <c r="BA37" i="3" s="1"/>
  <c r="AZ37" i="3" s="1"/>
  <c r="BB96" i="3"/>
  <c r="BA96" i="3" s="1"/>
  <c r="AZ96" i="3" s="1"/>
  <c r="BB32" i="3"/>
  <c r="BA32" i="3" s="1"/>
  <c r="AZ32" i="3" s="1"/>
  <c r="AG102" i="3"/>
  <c r="AG108" i="3"/>
  <c r="BB115" i="3"/>
  <c r="BA115" i="3" s="1"/>
  <c r="AZ115" i="3" s="1"/>
  <c r="BB51" i="3"/>
  <c r="BA51" i="3" s="1"/>
  <c r="AZ51" i="3" s="1"/>
  <c r="BB29" i="3"/>
  <c r="BA29" i="3" s="1"/>
  <c r="AZ29" i="3" s="1"/>
  <c r="AK110" i="3"/>
  <c r="AL110" i="3" s="1"/>
  <c r="BB113" i="3"/>
  <c r="BA113" i="3" s="1"/>
  <c r="AZ113" i="3" s="1"/>
  <c r="BB49" i="3"/>
  <c r="BA49" i="3" s="1"/>
  <c r="AZ49" i="3" s="1"/>
  <c r="BB92" i="3"/>
  <c r="BA92" i="3" s="1"/>
  <c r="AZ92" i="3" s="1"/>
  <c r="AG42" i="3"/>
  <c r="AK104" i="3"/>
  <c r="AL104" i="3" s="1"/>
  <c r="BB91" i="3"/>
  <c r="BA91" i="3" s="1"/>
  <c r="AZ91" i="3" s="1"/>
  <c r="BB75" i="3"/>
  <c r="BA75" i="3" s="1"/>
  <c r="AZ75" i="3" s="1"/>
  <c r="BB27" i="3"/>
  <c r="BA27" i="3" s="1"/>
  <c r="AZ27" i="3" s="1"/>
  <c r="AK46" i="3"/>
  <c r="AL46" i="3" s="1"/>
  <c r="BB89" i="3"/>
  <c r="BA89" i="3" s="1"/>
  <c r="AZ89" i="3" s="1"/>
  <c r="BB73" i="3"/>
  <c r="BA73" i="3" s="1"/>
  <c r="AZ73" i="3" s="1"/>
  <c r="BB25" i="3"/>
  <c r="BA25" i="3" s="1"/>
  <c r="AZ25" i="3" s="1"/>
  <c r="BB116" i="3"/>
  <c r="BA116" i="3" s="1"/>
  <c r="AZ116" i="3" s="1"/>
  <c r="BB68" i="3"/>
  <c r="BA68" i="3" s="1"/>
  <c r="AZ68" i="3" s="1"/>
  <c r="BB52" i="3"/>
  <c r="BA52" i="3" s="1"/>
  <c r="AZ52" i="3" s="1"/>
  <c r="BU66" i="3"/>
  <c r="C66" i="3" s="1"/>
  <c r="BB90" i="3"/>
  <c r="BA90" i="3" s="1"/>
  <c r="AZ90" i="3" s="1"/>
  <c r="BB61" i="3"/>
  <c r="BA61" i="3" s="1"/>
  <c r="AZ61" i="3" s="1"/>
  <c r="BB120" i="3"/>
  <c r="BA120" i="3" s="1"/>
  <c r="AZ120" i="3" s="1"/>
  <c r="AK40" i="3"/>
  <c r="AL40" i="3" s="1"/>
  <c r="AK72" i="3"/>
  <c r="AL72" i="3" s="1"/>
  <c r="AG67" i="3"/>
  <c r="EC57" i="15"/>
  <c r="BS57" i="15" s="1"/>
  <c r="EC41" i="15"/>
  <c r="BS41" i="15" s="1"/>
  <c r="BB119" i="3"/>
  <c r="BA119" i="3" s="1"/>
  <c r="AZ119" i="3" s="1"/>
  <c r="BB103" i="3"/>
  <c r="BA103" i="3" s="1"/>
  <c r="AZ103" i="3" s="1"/>
  <c r="BB55" i="3"/>
  <c r="BA55" i="3" s="1"/>
  <c r="AZ55" i="3" s="1"/>
  <c r="BB39" i="3"/>
  <c r="BA39" i="3" s="1"/>
  <c r="AZ39" i="3" s="1"/>
  <c r="BB82" i="3"/>
  <c r="BA82" i="3" s="1"/>
  <c r="AZ82" i="3" s="1"/>
  <c r="BB34" i="3"/>
  <c r="BA34" i="3" s="1"/>
  <c r="AZ34" i="3" s="1"/>
  <c r="AG50" i="3"/>
  <c r="AK50" i="3" s="1"/>
  <c r="AL50" i="3" s="1"/>
  <c r="AG62" i="3"/>
  <c r="AG76" i="3"/>
  <c r="AK112" i="3"/>
  <c r="AL112" i="3" s="1"/>
  <c r="BB117" i="3"/>
  <c r="BA117" i="3" s="1"/>
  <c r="AZ117" i="3" s="1"/>
  <c r="BB69" i="3"/>
  <c r="BA69" i="3" s="1"/>
  <c r="AZ69" i="3" s="1"/>
  <c r="BB53" i="3"/>
  <c r="BA53" i="3" s="1"/>
  <c r="AZ53" i="3" s="1"/>
  <c r="BB112" i="3"/>
  <c r="BA112" i="3" s="1"/>
  <c r="AZ112" i="3" s="1"/>
  <c r="BB64" i="3"/>
  <c r="BA64" i="3" s="1"/>
  <c r="AZ64" i="3" s="1"/>
  <c r="BB48" i="3"/>
  <c r="BA48" i="3" s="1"/>
  <c r="AZ48" i="3" s="1"/>
  <c r="BB56" i="3"/>
  <c r="BA56" i="3" s="1"/>
  <c r="AZ56" i="3" s="1"/>
  <c r="AK48" i="3"/>
  <c r="AL48" i="3" s="1"/>
  <c r="BB83" i="3"/>
  <c r="BA83" i="3" s="1"/>
  <c r="AZ83" i="3" s="1"/>
  <c r="AO46" i="15"/>
  <c r="AP46" i="15" s="1"/>
  <c r="AQ59" i="15"/>
  <c r="AE37" i="15"/>
  <c r="AF37" i="15" s="1"/>
  <c r="AO39" i="15"/>
  <c r="AP39" i="15" s="1"/>
  <c r="AD37" i="15"/>
  <c r="AO59" i="15"/>
  <c r="AP59" i="15" s="1"/>
  <c r="AE63" i="15"/>
  <c r="AF63" i="15" s="1"/>
  <c r="AD63" i="15"/>
  <c r="AQ46" i="15"/>
  <c r="AO44" i="15"/>
  <c r="AP44" i="15" s="1"/>
  <c r="AQ50" i="15"/>
  <c r="AO52" i="15"/>
  <c r="AP52" i="15" s="1"/>
  <c r="AE59" i="15"/>
  <c r="AF59" i="15" s="1"/>
  <c r="AQ52" i="15"/>
  <c r="DX113" i="3"/>
  <c r="BL113" i="3" s="1"/>
  <c r="DX97" i="3"/>
  <c r="BL97" i="3" s="1"/>
  <c r="DX81" i="3"/>
  <c r="BL81" i="3" s="1"/>
  <c r="DX65" i="3"/>
  <c r="BL65" i="3" s="1"/>
  <c r="DX44" i="3"/>
  <c r="BL44" i="3" s="1"/>
  <c r="AD53" i="15"/>
  <c r="AN42" i="15"/>
  <c r="AQ42" i="15"/>
  <c r="AN58" i="15"/>
  <c r="AQ58" i="15"/>
  <c r="AE53" i="15"/>
  <c r="AF53" i="15" s="1"/>
  <c r="EC59" i="15"/>
  <c r="BS59" i="15" s="1"/>
  <c r="EC43" i="15"/>
  <c r="BS43" i="15" s="1"/>
  <c r="AO32" i="15"/>
  <c r="AP32" i="15" s="1"/>
  <c r="AQ38" i="15"/>
  <c r="AM68" i="15"/>
  <c r="AM71" i="15" s="1"/>
  <c r="EC65" i="15"/>
  <c r="BS65" i="15" s="1"/>
  <c r="EC49" i="15"/>
  <c r="BS49" i="15" s="1"/>
  <c r="DX50" i="3"/>
  <c r="BL50" i="3" s="1"/>
  <c r="AE41" i="15"/>
  <c r="AF41" i="15" s="1"/>
  <c r="AD41" i="15"/>
  <c r="AD49" i="15"/>
  <c r="AD59" i="15"/>
  <c r="DX117" i="3"/>
  <c r="BL117" i="3" s="1"/>
  <c r="DX101" i="3"/>
  <c r="BL101" i="3" s="1"/>
  <c r="DX85" i="3"/>
  <c r="BL85" i="3" s="1"/>
  <c r="DX69" i="3"/>
  <c r="BL69" i="3" s="1"/>
  <c r="DX115" i="3"/>
  <c r="BL115" i="3" s="1"/>
  <c r="DX99" i="3"/>
  <c r="BL99" i="3" s="1"/>
  <c r="DX83" i="3"/>
  <c r="BL83" i="3" s="1"/>
  <c r="DX67" i="3"/>
  <c r="BL67" i="3" s="1"/>
  <c r="AQ55" i="15"/>
  <c r="EC63" i="15"/>
  <c r="BS63" i="15" s="1"/>
  <c r="EC47" i="15"/>
  <c r="BS47" i="15" s="1"/>
  <c r="DX46" i="3"/>
  <c r="BL46" i="3" s="1"/>
  <c r="AE43" i="15"/>
  <c r="AF43" i="15" s="1"/>
  <c r="AO45" i="15"/>
  <c r="AP45" i="15" s="1"/>
  <c r="AO63" i="15"/>
  <c r="AP63" i="15" s="1"/>
  <c r="EC61" i="15"/>
  <c r="BS61" i="15" s="1"/>
  <c r="AD43" i="15"/>
  <c r="DX110" i="3"/>
  <c r="BL110" i="3" s="1"/>
  <c r="DX94" i="3"/>
  <c r="BL94" i="3" s="1"/>
  <c r="DX78" i="3"/>
  <c r="BL78" i="3" s="1"/>
  <c r="DX62" i="3"/>
  <c r="BL62" i="3" s="1"/>
  <c r="DX53" i="3"/>
  <c r="BL53" i="3" s="1"/>
  <c r="DX37" i="3"/>
  <c r="BL37" i="3" s="1"/>
  <c r="DX32" i="3"/>
  <c r="BL32" i="3" s="1"/>
  <c r="AE45" i="15"/>
  <c r="AF45" i="15" s="1"/>
  <c r="EC45" i="15"/>
  <c r="BS45" i="15" s="1"/>
  <c r="DX51" i="3"/>
  <c r="BL51" i="3" s="1"/>
  <c r="DX35" i="3"/>
  <c r="BL35" i="3" s="1"/>
  <c r="DX30" i="3"/>
  <c r="BL30" i="3" s="1"/>
  <c r="AQ63" i="15"/>
  <c r="DX109" i="3"/>
  <c r="BL109" i="3" s="1"/>
  <c r="DX93" i="3"/>
  <c r="BL93" i="3" s="1"/>
  <c r="DX77" i="3"/>
  <c r="BL77" i="3" s="1"/>
  <c r="DX61" i="3"/>
  <c r="BL61" i="3" s="1"/>
  <c r="AO54" i="15"/>
  <c r="AP54" i="15" s="1"/>
  <c r="EC55" i="15"/>
  <c r="BS55" i="15" s="1"/>
  <c r="EC39" i="15"/>
  <c r="BS39" i="15" s="1"/>
  <c r="AQ62" i="15"/>
  <c r="AE61" i="15"/>
  <c r="AF61" i="15" s="1"/>
  <c r="AD61" i="15"/>
  <c r="AQ32" i="15"/>
  <c r="AE47" i="15"/>
  <c r="AF47" i="15" s="1"/>
  <c r="AE55" i="15"/>
  <c r="AF55" i="15" s="1"/>
  <c r="DX45" i="3"/>
  <c r="BL45" i="3" s="1"/>
  <c r="DX29" i="3"/>
  <c r="BL29" i="3" s="1"/>
  <c r="AD47" i="15"/>
  <c r="AD55" i="15"/>
  <c r="AN40" i="15"/>
  <c r="AQ40" i="15"/>
  <c r="AN30" i="15"/>
  <c r="AN48" i="15"/>
  <c r="AQ48" i="15"/>
  <c r="AN57" i="15"/>
  <c r="AQ57" i="15"/>
  <c r="DX105" i="3"/>
  <c r="BL105" i="3" s="1"/>
  <c r="DX89" i="3"/>
  <c r="BL89" i="3" s="1"/>
  <c r="DX73" i="3"/>
  <c r="BL73" i="3" s="1"/>
  <c r="DX57" i="3"/>
  <c r="BL57" i="3" s="1"/>
  <c r="AN56" i="15"/>
  <c r="AQ56" i="15"/>
  <c r="AN65" i="15"/>
  <c r="AQ65" i="15"/>
  <c r="AN49" i="15"/>
  <c r="AQ49" i="15"/>
  <c r="DX121" i="3"/>
  <c r="BL121" i="3" s="1"/>
  <c r="BT37" i="15"/>
  <c r="AN37" i="15"/>
  <c r="AQ37" i="15"/>
  <c r="AN64" i="15"/>
  <c r="AQ64" i="15"/>
  <c r="EC51" i="15"/>
  <c r="BS51" i="15" s="1"/>
  <c r="AN45" i="15"/>
  <c r="AQ45" i="15"/>
  <c r="AO31" i="15"/>
  <c r="AP31" i="15" s="1"/>
  <c r="DX52" i="3"/>
  <c r="BL52" i="3" s="1"/>
  <c r="AO40" i="15"/>
  <c r="AP40" i="15" s="1"/>
  <c r="AN53" i="15"/>
  <c r="AQ53" i="15"/>
  <c r="AQ31" i="15"/>
  <c r="AO48" i="15"/>
  <c r="AP48" i="15" s="1"/>
  <c r="AQ54" i="15"/>
  <c r="AN61" i="15"/>
  <c r="AQ61" i="15"/>
  <c r="AN33" i="15"/>
  <c r="AQ33" i="15"/>
  <c r="AO49" i="15"/>
  <c r="AP49" i="15" s="1"/>
  <c r="AE65" i="15"/>
  <c r="AF65" i="15" s="1"/>
  <c r="AO62" i="15"/>
  <c r="AP62" i="15" s="1"/>
  <c r="AO56" i="15"/>
  <c r="AP56" i="15" s="1"/>
  <c r="AN41" i="15"/>
  <c r="AQ41" i="15"/>
  <c r="AK38" i="3"/>
  <c r="AL38" i="3" s="1"/>
  <c r="EC46" i="15"/>
  <c r="BS46" i="15" s="1"/>
  <c r="EC54" i="15"/>
  <c r="BS54" i="15" s="1"/>
  <c r="EC62" i="15"/>
  <c r="BS62" i="15" s="1"/>
  <c r="EC50" i="15"/>
  <c r="BS50" i="15" s="1"/>
  <c r="EC38" i="15"/>
  <c r="BS38" i="15" s="1"/>
  <c r="DX48" i="3"/>
  <c r="BL48" i="3" s="1"/>
  <c r="DX40" i="3"/>
  <c r="BL40" i="3" s="1"/>
  <c r="DX24" i="3"/>
  <c r="DX120" i="3"/>
  <c r="BL120" i="3" s="1"/>
  <c r="DX116" i="3"/>
  <c r="BL116" i="3" s="1"/>
  <c r="DX112" i="3"/>
  <c r="BL112" i="3" s="1"/>
  <c r="DX108" i="3"/>
  <c r="BL108" i="3" s="1"/>
  <c r="DX104" i="3"/>
  <c r="BL104" i="3" s="1"/>
  <c r="DX100" i="3"/>
  <c r="BL100" i="3" s="1"/>
  <c r="DX96" i="3"/>
  <c r="BL96" i="3" s="1"/>
  <c r="DX92" i="3"/>
  <c r="BL92" i="3" s="1"/>
  <c r="DX88" i="3"/>
  <c r="BL88" i="3" s="1"/>
  <c r="DX84" i="3"/>
  <c r="BL84" i="3" s="1"/>
  <c r="DX80" i="3"/>
  <c r="BL80" i="3" s="1"/>
  <c r="DX76" i="3"/>
  <c r="BL76" i="3" s="1"/>
  <c r="DX72" i="3"/>
  <c r="BL72" i="3" s="1"/>
  <c r="DX68" i="3"/>
  <c r="BL68" i="3" s="1"/>
  <c r="DX64" i="3"/>
  <c r="BL64" i="3" s="1"/>
  <c r="DX60" i="3"/>
  <c r="BL60" i="3" s="1"/>
  <c r="DX56" i="3"/>
  <c r="BL56" i="3" s="1"/>
  <c r="AK75" i="3"/>
  <c r="AL75" i="3" s="1"/>
  <c r="BH48" i="15"/>
  <c r="AB61" i="15"/>
  <c r="BH38" i="15"/>
  <c r="AK54" i="3"/>
  <c r="AL54" i="3" s="1"/>
  <c r="AK64" i="3"/>
  <c r="AL64" i="3" s="1"/>
  <c r="AG74" i="3"/>
  <c r="AK96" i="3"/>
  <c r="AL96" i="3" s="1"/>
  <c r="AK70" i="3"/>
  <c r="AL70" i="3" s="1"/>
  <c r="AG83" i="3"/>
  <c r="AG58" i="3"/>
  <c r="AK118" i="3"/>
  <c r="AL118" i="3" s="1"/>
  <c r="AK80" i="3"/>
  <c r="AL80" i="3" s="1"/>
  <c r="AK91" i="3"/>
  <c r="AL91" i="3" s="1"/>
  <c r="AK99" i="3"/>
  <c r="AL99" i="3" s="1"/>
  <c r="BT68" i="3"/>
  <c r="BU67" i="3"/>
  <c r="C67" i="3" s="1"/>
  <c r="CG69" i="3"/>
  <c r="D70" i="3"/>
  <c r="AC68" i="15"/>
  <c r="BE27" i="15"/>
  <c r="DX28" i="3"/>
  <c r="BL28" i="3" s="1"/>
  <c r="DX49" i="3"/>
  <c r="BL49" i="3" s="1"/>
  <c r="DX41" i="3"/>
  <c r="BL41" i="3" s="1"/>
  <c r="DX36" i="3"/>
  <c r="BL36" i="3" s="1"/>
  <c r="BC63" i="15"/>
  <c r="P63" i="15" s="1"/>
  <c r="BB63" i="15" s="1"/>
  <c r="BB28" i="3"/>
  <c r="BA28" i="3" s="1"/>
  <c r="AZ28" i="3" s="1"/>
  <c r="AB34" i="15"/>
  <c r="AA63" i="15"/>
  <c r="DX33" i="3"/>
  <c r="BL33" i="3" s="1"/>
  <c r="AB63" i="15"/>
  <c r="AA40" i="15"/>
  <c r="DX25" i="3"/>
  <c r="BL25" i="3" s="1"/>
  <c r="AA61" i="15"/>
  <c r="BT39" i="15"/>
  <c r="DX26" i="3"/>
  <c r="BL26" i="3" s="1"/>
  <c r="AD52" i="15"/>
  <c r="AG52" i="15"/>
  <c r="AE52" i="15"/>
  <c r="AF52" i="15" s="1"/>
  <c r="AE46" i="15"/>
  <c r="AF46" i="15" s="1"/>
  <c r="AG46" i="15"/>
  <c r="AD46" i="15"/>
  <c r="AD62" i="15"/>
  <c r="AG62" i="15"/>
  <c r="AD27" i="15"/>
  <c r="EC52" i="15"/>
  <c r="BS52" i="15" s="1"/>
  <c r="Y34" i="15"/>
  <c r="BU38" i="15"/>
  <c r="AE62" i="15"/>
  <c r="AF62" i="15" s="1"/>
  <c r="AZ24" i="3"/>
  <c r="DX122" i="3"/>
  <c r="BL122" i="3" s="1"/>
  <c r="DX114" i="3"/>
  <c r="BL114" i="3" s="1"/>
  <c r="DX106" i="3"/>
  <c r="BL106" i="3" s="1"/>
  <c r="DX98" i="3"/>
  <c r="BL98" i="3" s="1"/>
  <c r="DX90" i="3"/>
  <c r="BL90" i="3" s="1"/>
  <c r="DX82" i="3"/>
  <c r="BL82" i="3" s="1"/>
  <c r="DX74" i="3"/>
  <c r="BL74" i="3" s="1"/>
  <c r="DX66" i="3"/>
  <c r="BL66" i="3" s="1"/>
  <c r="DX58" i="3"/>
  <c r="BL58" i="3" s="1"/>
  <c r="AD40" i="15"/>
  <c r="AE40" i="15"/>
  <c r="AF40" i="15" s="1"/>
  <c r="AG40" i="15"/>
  <c r="AD56" i="15"/>
  <c r="AG56" i="15"/>
  <c r="AE50" i="15"/>
  <c r="AF50" i="15" s="1"/>
  <c r="AD50" i="15"/>
  <c r="AG50" i="15"/>
  <c r="EC60" i="15"/>
  <c r="BS60" i="15" s="1"/>
  <c r="BB26" i="3"/>
  <c r="BA26" i="3" s="1"/>
  <c r="AZ26" i="3" s="1"/>
  <c r="DX119" i="3"/>
  <c r="BL119" i="3" s="1"/>
  <c r="DX111" i="3"/>
  <c r="BL111" i="3" s="1"/>
  <c r="DX103" i="3"/>
  <c r="BL103" i="3" s="1"/>
  <c r="DX95" i="3"/>
  <c r="BL95" i="3" s="1"/>
  <c r="DX87" i="3"/>
  <c r="BL87" i="3" s="1"/>
  <c r="DX79" i="3"/>
  <c r="BL79" i="3" s="1"/>
  <c r="DX71" i="3"/>
  <c r="BL71" i="3" s="1"/>
  <c r="DX63" i="3"/>
  <c r="BL63" i="3" s="1"/>
  <c r="DX55" i="3"/>
  <c r="BL55" i="3" s="1"/>
  <c r="DX42" i="3"/>
  <c r="BL42" i="3" s="1"/>
  <c r="DX47" i="3"/>
  <c r="BL47" i="3" s="1"/>
  <c r="DX39" i="3"/>
  <c r="BL39" i="3" s="1"/>
  <c r="DX31" i="3"/>
  <c r="BL31" i="3" s="1"/>
  <c r="DX34" i="3"/>
  <c r="BL34" i="3" s="1"/>
  <c r="AD44" i="15"/>
  <c r="AG44" i="15"/>
  <c r="AE44" i="15"/>
  <c r="AF44" i="15" s="1"/>
  <c r="AD60" i="15"/>
  <c r="AG60" i="15"/>
  <c r="AE60" i="15"/>
  <c r="AF60" i="15" s="1"/>
  <c r="AE38" i="15"/>
  <c r="AF38" i="15" s="1"/>
  <c r="AD38" i="15"/>
  <c r="AG38" i="15"/>
  <c r="AD54" i="15"/>
  <c r="AG54" i="15"/>
  <c r="EC44" i="15"/>
  <c r="BS44" i="15" s="1"/>
  <c r="AA35" i="15"/>
  <c r="AD48" i="15"/>
  <c r="AE48" i="15"/>
  <c r="AF48" i="15" s="1"/>
  <c r="AG48" i="15"/>
  <c r="AD64" i="15"/>
  <c r="AG64" i="15"/>
  <c r="AE42" i="15"/>
  <c r="AF42" i="15" s="1"/>
  <c r="AD42" i="15"/>
  <c r="AG42" i="15"/>
  <c r="AE58" i="15"/>
  <c r="AF58" i="15" s="1"/>
  <c r="AG58" i="15"/>
  <c r="Y40" i="15"/>
  <c r="BC40" i="15" s="1"/>
  <c r="BA35" i="3"/>
  <c r="AZ35" i="3" s="1"/>
  <c r="BA31" i="3"/>
  <c r="AZ31" i="3" s="1"/>
  <c r="BE57" i="15"/>
  <c r="BE53" i="15"/>
  <c r="BE45" i="15"/>
  <c r="BE33" i="15"/>
  <c r="BA30" i="3"/>
  <c r="AZ30" i="3" s="1"/>
  <c r="BE64" i="15"/>
  <c r="BE56" i="15"/>
  <c r="BE52" i="15"/>
  <c r="BE40" i="15"/>
  <c r="BE32" i="15"/>
  <c r="BE28" i="15"/>
  <c r="BE59" i="15"/>
  <c r="BE47" i="15"/>
  <c r="BE43" i="15"/>
  <c r="BE35" i="15"/>
  <c r="BE26" i="15"/>
  <c r="BE58" i="15"/>
  <c r="BE54" i="15"/>
  <c r="BE31" i="15"/>
  <c r="BA123" i="3"/>
  <c r="AZ123" i="3" s="1"/>
  <c r="BA111" i="3"/>
  <c r="AZ111" i="3" s="1"/>
  <c r="BA107" i="3"/>
  <c r="AZ107" i="3" s="1"/>
  <c r="BA99" i="3"/>
  <c r="AZ99" i="3" s="1"/>
  <c r="BA95" i="3"/>
  <c r="AZ95" i="3" s="1"/>
  <c r="BA71" i="3"/>
  <c r="AZ71" i="3" s="1"/>
  <c r="BA67" i="3"/>
  <c r="AZ67" i="3" s="1"/>
  <c r="BA63" i="3"/>
  <c r="AZ63" i="3" s="1"/>
  <c r="BA47" i="3"/>
  <c r="AZ47" i="3" s="1"/>
  <c r="BA43" i="3"/>
  <c r="AZ43" i="3" s="1"/>
  <c r="BA122" i="3"/>
  <c r="AZ122" i="3" s="1"/>
  <c r="BA114" i="3"/>
  <c r="AZ114" i="3" s="1"/>
  <c r="BA110" i="3"/>
  <c r="AZ110" i="3" s="1"/>
  <c r="BA106" i="3"/>
  <c r="AZ106" i="3" s="1"/>
  <c r="BA102" i="3"/>
  <c r="AZ102" i="3" s="1"/>
  <c r="BA94" i="3"/>
  <c r="AZ94" i="3" s="1"/>
  <c r="BA86" i="3"/>
  <c r="AZ86" i="3" s="1"/>
  <c r="BA78" i="3"/>
  <c r="AZ78" i="3" s="1"/>
  <c r="BA70" i="3"/>
  <c r="AZ70" i="3" s="1"/>
  <c r="BA66" i="3"/>
  <c r="AZ66" i="3" s="1"/>
  <c r="BA62" i="3"/>
  <c r="AZ62" i="3" s="1"/>
  <c r="BA58" i="3"/>
  <c r="AZ58" i="3" s="1"/>
  <c r="BA54" i="3"/>
  <c r="AZ54" i="3" s="1"/>
  <c r="BA46" i="3"/>
  <c r="AZ46" i="3" s="1"/>
  <c r="BA42" i="3"/>
  <c r="AZ42" i="3" s="1"/>
  <c r="BA38" i="3"/>
  <c r="AZ38" i="3" s="1"/>
  <c r="BA105" i="3"/>
  <c r="AZ105" i="3" s="1"/>
  <c r="BA85" i="3"/>
  <c r="AZ85" i="3" s="1"/>
  <c r="BA81" i="3"/>
  <c r="AZ81" i="3" s="1"/>
  <c r="BA41" i="3"/>
  <c r="AZ41" i="3" s="1"/>
  <c r="BA84" i="3"/>
  <c r="AZ84" i="3" s="1"/>
  <c r="BA80" i="3"/>
  <c r="AZ80" i="3" s="1"/>
  <c r="BA60" i="3"/>
  <c r="AZ60" i="3" s="1"/>
  <c r="AG27" i="3"/>
  <c r="AK25" i="3"/>
  <c r="AL25" i="3" s="1"/>
  <c r="CL42" i="15"/>
  <c r="Z42" i="15" s="1"/>
  <c r="CL36" i="15"/>
  <c r="Z36" i="15" s="1"/>
  <c r="BC61" i="15"/>
  <c r="P61" i="15" s="1"/>
  <c r="BB61" i="15" s="1"/>
  <c r="AK26" i="3"/>
  <c r="AL26" i="3" s="1"/>
  <c r="AK34" i="3"/>
  <c r="AL34" i="3" s="1"/>
  <c r="AG90" i="3"/>
  <c r="AG106" i="3"/>
  <c r="AA31" i="15"/>
  <c r="AB48" i="15"/>
  <c r="AB44" i="15"/>
  <c r="AK122" i="3"/>
  <c r="AL122" i="3" s="1"/>
  <c r="AB31" i="15"/>
  <c r="AG51" i="3"/>
  <c r="AK51" i="3" s="1"/>
  <c r="AL51" i="3" s="1"/>
  <c r="BV38" i="15"/>
  <c r="R38" i="15" s="1"/>
  <c r="Y32" i="15"/>
  <c r="AK53" i="3"/>
  <c r="AL53" i="3" s="1"/>
  <c r="AG53" i="3"/>
  <c r="AK59" i="3"/>
  <c r="AL59" i="3" s="1"/>
  <c r="AG59" i="3"/>
  <c r="AK55" i="3"/>
  <c r="AL55" i="3" s="1"/>
  <c r="AG55" i="3"/>
  <c r="AG35" i="3"/>
  <c r="AA48" i="15"/>
  <c r="Y44" i="15"/>
  <c r="BC44" i="15" s="1"/>
  <c r="AA26" i="15"/>
  <c r="AB35" i="15"/>
  <c r="AK107" i="3"/>
  <c r="AL107" i="3" s="1"/>
  <c r="AK123" i="3"/>
  <c r="AL123" i="3" s="1"/>
  <c r="BV40" i="15"/>
  <c r="R40" i="15" s="1"/>
  <c r="BT40" i="15"/>
  <c r="AB32" i="15"/>
  <c r="BC48" i="15"/>
  <c r="CO48" i="15" s="1"/>
  <c r="AA60" i="15"/>
  <c r="AK119" i="3"/>
  <c r="AL119" i="3" s="1"/>
  <c r="AG119" i="3"/>
  <c r="AA62" i="15"/>
  <c r="Y64" i="15"/>
  <c r="BC64" i="15" s="1"/>
  <c r="CO64" i="15" s="1"/>
  <c r="AB56" i="15"/>
  <c r="AA58" i="15"/>
  <c r="AK117" i="3"/>
  <c r="AL117" i="3" s="1"/>
  <c r="AG117" i="3"/>
  <c r="BJ26" i="15"/>
  <c r="Y62" i="15"/>
  <c r="BC62" i="15" s="1"/>
  <c r="CO62" i="15" s="1"/>
  <c r="AB64" i="15"/>
  <c r="Y56" i="15"/>
  <c r="BC56" i="15" s="1"/>
  <c r="CO56" i="15" s="1"/>
  <c r="Y60" i="15"/>
  <c r="BC60" i="15" s="1"/>
  <c r="CO60" i="15" s="1"/>
  <c r="Y58" i="15"/>
  <c r="BC58" i="15" s="1"/>
  <c r="CO58" i="15" s="1"/>
  <c r="AK85" i="3"/>
  <c r="AL85" i="3" s="1"/>
  <c r="AG85" i="3"/>
  <c r="AK87" i="3"/>
  <c r="AL87" i="3" s="1"/>
  <c r="AG87" i="3"/>
  <c r="AG39" i="3"/>
  <c r="AK39" i="3"/>
  <c r="AL39" i="3" s="1"/>
  <c r="AG71" i="3"/>
  <c r="AK71" i="3"/>
  <c r="AL71" i="3" s="1"/>
  <c r="AG103" i="3"/>
  <c r="AK103" i="3"/>
  <c r="AL103" i="3" s="1"/>
  <c r="BU37" i="15"/>
  <c r="AK37" i="3"/>
  <c r="AL37" i="3" s="1"/>
  <c r="AG37" i="3"/>
  <c r="AG43" i="3"/>
  <c r="AK43" i="3"/>
  <c r="AL43" i="3" s="1"/>
  <c r="AK69" i="3"/>
  <c r="AL69" i="3" s="1"/>
  <c r="AG69" i="3"/>
  <c r="AK101" i="3"/>
  <c r="AL101" i="3" s="1"/>
  <c r="AG101" i="3"/>
  <c r="BU39" i="15"/>
  <c r="Y37" i="15"/>
  <c r="BC37" i="15" s="1"/>
  <c r="CO37" i="15" s="1"/>
  <c r="AB37" i="15"/>
  <c r="AA37" i="15"/>
  <c r="Y39" i="15"/>
  <c r="BC39" i="15" s="1"/>
  <c r="CO39" i="15" s="1"/>
  <c r="AA39" i="15"/>
  <c r="AB39" i="15"/>
  <c r="Y41" i="15"/>
  <c r="BC41" i="15" s="1"/>
  <c r="P41" i="15" s="1"/>
  <c r="BB41" i="15" s="1"/>
  <c r="AA41" i="15"/>
  <c r="AB41" i="15"/>
  <c r="AG31" i="3"/>
  <c r="AK31" i="3"/>
  <c r="AL31" i="3" s="1"/>
  <c r="AK45" i="3"/>
  <c r="AL45" i="3" s="1"/>
  <c r="AG45" i="3"/>
  <c r="AK63" i="3"/>
  <c r="AL63" i="3" s="1"/>
  <c r="AG63" i="3"/>
  <c r="AK77" i="3"/>
  <c r="AL77" i="3" s="1"/>
  <c r="AG77" i="3"/>
  <c r="AK95" i="3"/>
  <c r="AL95" i="3" s="1"/>
  <c r="AG95" i="3"/>
  <c r="AK109" i="3"/>
  <c r="AL109" i="3" s="1"/>
  <c r="AG109" i="3"/>
  <c r="AG47" i="3"/>
  <c r="AK47" i="3"/>
  <c r="AL47" i="3" s="1"/>
  <c r="AK61" i="3"/>
  <c r="AL61" i="3" s="1"/>
  <c r="AG61" i="3"/>
  <c r="AK79" i="3"/>
  <c r="AL79" i="3" s="1"/>
  <c r="AG79" i="3"/>
  <c r="AK93" i="3"/>
  <c r="AL93" i="3" s="1"/>
  <c r="AG93" i="3"/>
  <c r="AK111" i="3"/>
  <c r="AL111" i="3" s="1"/>
  <c r="AG111" i="3"/>
  <c r="AA33" i="15"/>
  <c r="AG33" i="3"/>
  <c r="AK33" i="3"/>
  <c r="AL33" i="3" s="1"/>
  <c r="AG41" i="3"/>
  <c r="AK41" i="3" s="1"/>
  <c r="AL41" i="3" s="1"/>
  <c r="AG49" i="3"/>
  <c r="AK49" i="3" s="1"/>
  <c r="AL49" i="3" s="1"/>
  <c r="AG57" i="3"/>
  <c r="AK57" i="3"/>
  <c r="AL57" i="3" s="1"/>
  <c r="AG65" i="3"/>
  <c r="AK65" i="3"/>
  <c r="AL65" i="3" s="1"/>
  <c r="AG73" i="3"/>
  <c r="AK73" i="3"/>
  <c r="AL73" i="3" s="1"/>
  <c r="AG81" i="3"/>
  <c r="AK81" i="3"/>
  <c r="AL81" i="3" s="1"/>
  <c r="AG89" i="3"/>
  <c r="AK89" i="3"/>
  <c r="AL89" i="3" s="1"/>
  <c r="AG97" i="3"/>
  <c r="AK97" i="3"/>
  <c r="AL97" i="3" s="1"/>
  <c r="AG105" i="3"/>
  <c r="AK105" i="3"/>
  <c r="AL105" i="3" s="1"/>
  <c r="AG113" i="3"/>
  <c r="AK113" i="3"/>
  <c r="AL113" i="3" s="1"/>
  <c r="AK121" i="3"/>
  <c r="AL121" i="3" s="1"/>
  <c r="AG121" i="3"/>
  <c r="BU44" i="15"/>
  <c r="BV44" i="15"/>
  <c r="R44" i="15" s="1"/>
  <c r="BT44" i="15"/>
  <c r="BU48" i="15"/>
  <c r="BV48" i="15"/>
  <c r="R48" i="15" s="1"/>
  <c r="BT48" i="15"/>
  <c r="BU52" i="15"/>
  <c r="BV52" i="15"/>
  <c r="R52" i="15" s="1"/>
  <c r="BT52" i="15"/>
  <c r="BU56" i="15"/>
  <c r="BV56" i="15"/>
  <c r="R56" i="15" s="1"/>
  <c r="BT56" i="15"/>
  <c r="BU60" i="15"/>
  <c r="BV60" i="15"/>
  <c r="R60" i="15" s="1"/>
  <c r="BT60" i="15"/>
  <c r="BU64" i="15"/>
  <c r="BV64" i="15"/>
  <c r="R64" i="15" s="1"/>
  <c r="BT64" i="15"/>
  <c r="BU43" i="15"/>
  <c r="BT43" i="15"/>
  <c r="BV43" i="15"/>
  <c r="R43" i="15" s="1"/>
  <c r="BU47" i="15"/>
  <c r="BT47" i="15"/>
  <c r="BV47" i="15"/>
  <c r="R47" i="15" s="1"/>
  <c r="BU51" i="15"/>
  <c r="BT51" i="15"/>
  <c r="BV51" i="15"/>
  <c r="R51" i="15" s="1"/>
  <c r="BU55" i="15"/>
  <c r="BT55" i="15"/>
  <c r="BV55" i="15"/>
  <c r="R55" i="15" s="1"/>
  <c r="BU59" i="15"/>
  <c r="BT59" i="15"/>
  <c r="BV59" i="15"/>
  <c r="R59" i="15" s="1"/>
  <c r="BU63" i="15"/>
  <c r="BT63" i="15"/>
  <c r="BV63" i="15"/>
  <c r="R63" i="15" s="1"/>
  <c r="Y43" i="15"/>
  <c r="BC43" i="15" s="1"/>
  <c r="P43" i="15" s="1"/>
  <c r="BB43" i="15" s="1"/>
  <c r="AB43" i="15"/>
  <c r="AA43" i="15"/>
  <c r="Y53" i="15"/>
  <c r="BC53" i="15" s="1"/>
  <c r="CO53" i="15" s="1"/>
  <c r="AB53" i="15"/>
  <c r="AA53" i="15"/>
  <c r="Y55" i="15"/>
  <c r="BC55" i="15" s="1"/>
  <c r="P55" i="15" s="1"/>
  <c r="BB55" i="15" s="1"/>
  <c r="AA55" i="15"/>
  <c r="AB55" i="15"/>
  <c r="Y57" i="15"/>
  <c r="BC57" i="15" s="1"/>
  <c r="CO57" i="15" s="1"/>
  <c r="AB57" i="15"/>
  <c r="AA57" i="15"/>
  <c r="Y59" i="15"/>
  <c r="BC59" i="15" s="1"/>
  <c r="AB59" i="15"/>
  <c r="AA59" i="15"/>
  <c r="Y65" i="15"/>
  <c r="BC65" i="15" s="1"/>
  <c r="P65" i="15" s="1"/>
  <c r="BB65" i="15" s="1"/>
  <c r="AA65" i="15"/>
  <c r="AB65" i="15"/>
  <c r="Y42" i="15"/>
  <c r="AB42" i="15"/>
  <c r="AA42" i="15"/>
  <c r="BU46" i="15"/>
  <c r="BV46" i="15"/>
  <c r="R46" i="15" s="1"/>
  <c r="BT46" i="15"/>
  <c r="BU50" i="15"/>
  <c r="BV50" i="15"/>
  <c r="R50" i="15" s="1"/>
  <c r="BT50" i="15"/>
  <c r="BU54" i="15"/>
  <c r="BV54" i="15"/>
  <c r="R54" i="15" s="1"/>
  <c r="BT54" i="15"/>
  <c r="BU58" i="15"/>
  <c r="BV58" i="15"/>
  <c r="R58" i="15" s="1"/>
  <c r="BT58" i="15"/>
  <c r="BU62" i="15"/>
  <c r="BV62" i="15"/>
  <c r="R62" i="15" s="1"/>
  <c r="BT62" i="15"/>
  <c r="BU41" i="15"/>
  <c r="BT41" i="15"/>
  <c r="BV41" i="15"/>
  <c r="R41" i="15" s="1"/>
  <c r="BU45" i="15"/>
  <c r="BT45" i="15"/>
  <c r="BV45" i="15"/>
  <c r="R45" i="15" s="1"/>
  <c r="BU49" i="15"/>
  <c r="BT49" i="15"/>
  <c r="BV49" i="15"/>
  <c r="R49" i="15" s="1"/>
  <c r="BU53" i="15"/>
  <c r="BT53" i="15"/>
  <c r="BV53" i="15"/>
  <c r="R53" i="15" s="1"/>
  <c r="BU57" i="15"/>
  <c r="BT57" i="15"/>
  <c r="BV57" i="15"/>
  <c r="R57" i="15" s="1"/>
  <c r="BU61" i="15"/>
  <c r="BT61" i="15"/>
  <c r="BV61" i="15"/>
  <c r="R61" i="15" s="1"/>
  <c r="BU65" i="15"/>
  <c r="BT65" i="15"/>
  <c r="BV65" i="15"/>
  <c r="R65" i="15" s="1"/>
  <c r="AH26" i="15"/>
  <c r="AI26" i="15" s="1"/>
  <c r="CL28" i="15"/>
  <c r="Z28" i="15" s="1"/>
  <c r="CL26" i="15"/>
  <c r="CL27" i="15"/>
  <c r="Z27" i="15" s="1"/>
  <c r="CL29" i="15"/>
  <c r="Z29" i="15" s="1"/>
  <c r="CL30" i="15"/>
  <c r="Z30" i="15" s="1"/>
  <c r="CL31" i="15"/>
  <c r="Z31" i="15" s="1"/>
  <c r="BC31" i="15" s="1"/>
  <c r="CL32" i="15"/>
  <c r="Z32" i="15" s="1"/>
  <c r="CL33" i="15"/>
  <c r="Z33" i="15" s="1"/>
  <c r="BC33" i="15" s="1"/>
  <c r="CL34" i="15"/>
  <c r="Z34" i="15" s="1"/>
  <c r="CL35" i="15"/>
  <c r="Z35" i="15" s="1"/>
  <c r="BC35" i="15" s="1"/>
  <c r="Y30" i="15"/>
  <c r="AB30" i="15"/>
  <c r="AA30" i="15"/>
  <c r="Y36" i="15"/>
  <c r="AB36" i="15"/>
  <c r="AA36" i="15"/>
  <c r="Y38" i="15"/>
  <c r="BC38" i="15" s="1"/>
  <c r="P38" i="15" s="1"/>
  <c r="BB38" i="15" s="1"/>
  <c r="AB38" i="15"/>
  <c r="AA38" i="15"/>
  <c r="Y52" i="15"/>
  <c r="BC52" i="15" s="1"/>
  <c r="P52" i="15" s="1"/>
  <c r="BB52" i="15" s="1"/>
  <c r="AA52" i="15"/>
  <c r="AB52" i="15"/>
  <c r="Y54" i="15"/>
  <c r="BC54" i="15" s="1"/>
  <c r="P54" i="15" s="1"/>
  <c r="BB54" i="15" s="1"/>
  <c r="AB54" i="15"/>
  <c r="AA54" i="15"/>
  <c r="AB33" i="15"/>
  <c r="Y45" i="15"/>
  <c r="BC45" i="15" s="1"/>
  <c r="CO45" i="15" s="1"/>
  <c r="AA45" i="15"/>
  <c r="AB45" i="15"/>
  <c r="Y46" i="15"/>
  <c r="BC46" i="15" s="1"/>
  <c r="P46" i="15" s="1"/>
  <c r="BB46" i="15" s="1"/>
  <c r="AA46" i="15"/>
  <c r="AB46" i="15"/>
  <c r="Y47" i="15"/>
  <c r="BC47" i="15" s="1"/>
  <c r="CO47" i="15" s="1"/>
  <c r="AA47" i="15"/>
  <c r="AB47" i="15"/>
  <c r="Y49" i="15"/>
  <c r="BC49" i="15" s="1"/>
  <c r="P49" i="15" s="1"/>
  <c r="BB49" i="15" s="1"/>
  <c r="AA49" i="15"/>
  <c r="AB49" i="15" s="1"/>
  <c r="Y50" i="15"/>
  <c r="BC50" i="15" s="1"/>
  <c r="CO50" i="15" s="1"/>
  <c r="AA50" i="15"/>
  <c r="AB50" i="15"/>
  <c r="Y51" i="15"/>
  <c r="BC51" i="15" s="1"/>
  <c r="P51" i="15" s="1"/>
  <c r="BB51" i="15" s="1"/>
  <c r="AA51" i="15"/>
  <c r="AB51" i="15"/>
  <c r="Y27" i="15"/>
  <c r="AA27" i="15" s="1"/>
  <c r="AB27" i="15" s="1"/>
  <c r="Y28" i="15"/>
  <c r="Y29" i="15"/>
  <c r="AA29" i="15"/>
  <c r="AB29" i="15"/>
  <c r="V71" i="15"/>
  <c r="AH65" i="15"/>
  <c r="AL65" i="15" s="1"/>
  <c r="AH29" i="15"/>
  <c r="AH49" i="15"/>
  <c r="AJ49" i="15" s="1"/>
  <c r="AK49" i="15" s="1"/>
  <c r="AH48" i="15"/>
  <c r="AL48" i="15" s="1"/>
  <c r="AH57" i="15"/>
  <c r="AJ57" i="15" s="1"/>
  <c r="AK57" i="15" s="1"/>
  <c r="AH41" i="15"/>
  <c r="AJ41" i="15" s="1"/>
  <c r="AK41" i="15" s="1"/>
  <c r="AH54" i="15"/>
  <c r="AI54" i="15" s="1"/>
  <c r="AH61" i="15"/>
  <c r="AJ61" i="15" s="1"/>
  <c r="AK61" i="15" s="1"/>
  <c r="AH53" i="15"/>
  <c r="AJ53" i="15" s="1"/>
  <c r="AK53" i="15" s="1"/>
  <c r="AH45" i="15"/>
  <c r="AJ45" i="15" s="1"/>
  <c r="AK45" i="15" s="1"/>
  <c r="AH37" i="15"/>
  <c r="AJ37" i="15" s="1"/>
  <c r="AK37" i="15" s="1"/>
  <c r="AH64" i="15"/>
  <c r="AL64" i="15" s="1"/>
  <c r="AH32" i="15"/>
  <c r="AJ32" i="15" s="1"/>
  <c r="AK32" i="15" s="1"/>
  <c r="AH38" i="15"/>
  <c r="AL38" i="15" s="1"/>
  <c r="AH63" i="15"/>
  <c r="AJ63" i="15" s="1"/>
  <c r="AK63" i="15" s="1"/>
  <c r="AH59" i="15"/>
  <c r="AJ59" i="15" s="1"/>
  <c r="AK59" i="15" s="1"/>
  <c r="AH55" i="15"/>
  <c r="AJ55" i="15" s="1"/>
  <c r="AK55" i="15" s="1"/>
  <c r="AH51" i="15"/>
  <c r="AJ51" i="15" s="1"/>
  <c r="AK51" i="15" s="1"/>
  <c r="AH47" i="15"/>
  <c r="AJ47" i="15" s="1"/>
  <c r="AK47" i="15" s="1"/>
  <c r="AH43" i="15"/>
  <c r="AJ43" i="15" s="1"/>
  <c r="AK43" i="15" s="1"/>
  <c r="AH39" i="15"/>
  <c r="AJ39" i="15" s="1"/>
  <c r="AK39" i="15" s="1"/>
  <c r="AH33" i="15"/>
  <c r="AJ33" i="15" s="1"/>
  <c r="AK33" i="15" s="1"/>
  <c r="AH56" i="15"/>
  <c r="AJ56" i="15" s="1"/>
  <c r="AK56" i="15" s="1"/>
  <c r="AH40" i="15"/>
  <c r="AJ40" i="15" s="1"/>
  <c r="AK40" i="15" s="1"/>
  <c r="AH62" i="15"/>
  <c r="AI62" i="15" s="1"/>
  <c r="AH46" i="15"/>
  <c r="AL46" i="15" s="1"/>
  <c r="AH30" i="15"/>
  <c r="AI30" i="15" s="1"/>
  <c r="AH35" i="15"/>
  <c r="AI35" i="15" s="1"/>
  <c r="AH31" i="15"/>
  <c r="AJ31" i="15" s="1"/>
  <c r="AK31" i="15" s="1"/>
  <c r="AH27" i="15"/>
  <c r="AI27" i="15" s="1"/>
  <c r="AH60" i="15"/>
  <c r="AH52" i="15"/>
  <c r="AH44" i="15"/>
  <c r="AH36" i="15"/>
  <c r="AH28" i="15"/>
  <c r="AH58" i="15"/>
  <c r="AJ58" i="15" s="1"/>
  <c r="AK58" i="15" s="1"/>
  <c r="AH50" i="15"/>
  <c r="AJ50" i="15" s="1"/>
  <c r="AK50" i="15" s="1"/>
  <c r="AH42" i="15"/>
  <c r="AI42" i="15" s="1"/>
  <c r="AH34" i="15"/>
  <c r="AV29" i="3" l="1"/>
  <c r="V29" i="3" s="1"/>
  <c r="AY29" i="3" s="1"/>
  <c r="AL29" i="3"/>
  <c r="CQ29" i="3"/>
  <c r="AK24" i="3"/>
  <c r="B15" i="13"/>
  <c r="AV25" i="3"/>
  <c r="V25" i="3" s="1"/>
  <c r="AY25" i="3" s="1"/>
  <c r="AY96" i="3"/>
  <c r="AY91" i="3"/>
  <c r="AY107" i="3"/>
  <c r="AY64" i="3"/>
  <c r="AY114" i="3"/>
  <c r="AY86" i="3"/>
  <c r="S96" i="15"/>
  <c r="L68" i="15" s="1"/>
  <c r="CQ43" i="3"/>
  <c r="AV43" i="3"/>
  <c r="V43" i="3" s="1"/>
  <c r="CQ55" i="3"/>
  <c r="AV55" i="3"/>
  <c r="V55" i="3" s="1"/>
  <c r="CQ98" i="3"/>
  <c r="AV98" i="3"/>
  <c r="V98" i="3" s="1"/>
  <c r="CQ36" i="3"/>
  <c r="AV36" i="3"/>
  <c r="V36" i="3" s="1"/>
  <c r="CQ62" i="3"/>
  <c r="AV62" i="3"/>
  <c r="V62" i="3" s="1"/>
  <c r="CQ104" i="3"/>
  <c r="AV104" i="3"/>
  <c r="V104" i="3" s="1"/>
  <c r="CQ100" i="3"/>
  <c r="AV100" i="3"/>
  <c r="V100" i="3" s="1"/>
  <c r="CQ80" i="3"/>
  <c r="AV80" i="3"/>
  <c r="V80" i="3" s="1"/>
  <c r="CQ50" i="3"/>
  <c r="AV50" i="3"/>
  <c r="V50" i="3" s="1"/>
  <c r="CQ82" i="3"/>
  <c r="AV82" i="3"/>
  <c r="V82" i="3" s="1"/>
  <c r="CQ122" i="3"/>
  <c r="AV122" i="3"/>
  <c r="V122" i="3" s="1"/>
  <c r="CQ48" i="3"/>
  <c r="AV48" i="3"/>
  <c r="V48" i="3" s="1"/>
  <c r="CQ114" i="3"/>
  <c r="CQ89" i="3"/>
  <c r="AV89" i="3"/>
  <c r="V89" i="3" s="1"/>
  <c r="CQ57" i="3"/>
  <c r="AV57" i="3"/>
  <c r="V57" i="3" s="1"/>
  <c r="CQ111" i="3"/>
  <c r="AV111" i="3"/>
  <c r="V111" i="3" s="1"/>
  <c r="CQ63" i="3"/>
  <c r="AV63" i="3"/>
  <c r="V63" i="3" s="1"/>
  <c r="CQ74" i="3"/>
  <c r="AV74" i="3"/>
  <c r="V74" i="3" s="1"/>
  <c r="CQ68" i="3"/>
  <c r="AV68" i="3"/>
  <c r="V68" i="3" s="1"/>
  <c r="CQ110" i="3"/>
  <c r="AV110" i="3"/>
  <c r="V110" i="3" s="1"/>
  <c r="CQ107" i="3"/>
  <c r="CQ85" i="3"/>
  <c r="AV85" i="3"/>
  <c r="V85" i="3" s="1"/>
  <c r="CQ117" i="3"/>
  <c r="AV117" i="3"/>
  <c r="V117" i="3" s="1"/>
  <c r="CQ53" i="3"/>
  <c r="AV53" i="3"/>
  <c r="V53" i="3" s="1"/>
  <c r="CQ66" i="3"/>
  <c r="AV66" i="3"/>
  <c r="V66" i="3" s="1"/>
  <c r="CQ34" i="3"/>
  <c r="AV34" i="3"/>
  <c r="V34" i="3" s="1"/>
  <c r="CQ46" i="3"/>
  <c r="AV46" i="3"/>
  <c r="V46" i="3" s="1"/>
  <c r="CQ70" i="3"/>
  <c r="AV70" i="3"/>
  <c r="V70" i="3" s="1"/>
  <c r="CQ91" i="3"/>
  <c r="CQ49" i="3"/>
  <c r="AV49" i="3"/>
  <c r="V49" i="3" s="1"/>
  <c r="CQ109" i="3"/>
  <c r="AV109" i="3"/>
  <c r="V109" i="3" s="1"/>
  <c r="CQ69" i="3"/>
  <c r="AV69" i="3"/>
  <c r="V69" i="3" s="1"/>
  <c r="CQ42" i="3"/>
  <c r="AV42" i="3"/>
  <c r="V42" i="3" s="1"/>
  <c r="CQ38" i="3"/>
  <c r="AV38" i="3"/>
  <c r="V38" i="3" s="1"/>
  <c r="CQ96" i="3"/>
  <c r="CQ87" i="3"/>
  <c r="AV87" i="3"/>
  <c r="V87" i="3" s="1"/>
  <c r="CQ59" i="3"/>
  <c r="AV59" i="3"/>
  <c r="V59" i="3" s="1"/>
  <c r="CQ106" i="3"/>
  <c r="AV106" i="3"/>
  <c r="V106" i="3" s="1"/>
  <c r="CQ78" i="3"/>
  <c r="AV78" i="3"/>
  <c r="V78" i="3" s="1"/>
  <c r="CQ75" i="3"/>
  <c r="AV75" i="3"/>
  <c r="V75" i="3" s="1"/>
  <c r="CQ64" i="3"/>
  <c r="CQ61" i="3"/>
  <c r="AV61" i="3"/>
  <c r="V61" i="3" s="1"/>
  <c r="CQ105" i="3"/>
  <c r="AV105" i="3"/>
  <c r="V105" i="3" s="1"/>
  <c r="CQ41" i="3"/>
  <c r="AV41" i="3"/>
  <c r="V41" i="3" s="1"/>
  <c r="CQ95" i="3"/>
  <c r="AV95" i="3"/>
  <c r="V95" i="3" s="1"/>
  <c r="CQ90" i="3"/>
  <c r="AV90" i="3"/>
  <c r="V90" i="3" s="1"/>
  <c r="CQ58" i="3"/>
  <c r="AV58" i="3"/>
  <c r="V58" i="3" s="1"/>
  <c r="CQ115" i="3"/>
  <c r="AV115" i="3"/>
  <c r="V115" i="3" s="1"/>
  <c r="CQ30" i="3"/>
  <c r="AV30" i="3"/>
  <c r="V30" i="3" s="1"/>
  <c r="CQ60" i="3"/>
  <c r="AV60" i="3"/>
  <c r="V60" i="3" s="1"/>
  <c r="CQ52" i="3"/>
  <c r="AV52" i="3"/>
  <c r="V52" i="3" s="1"/>
  <c r="CQ123" i="3"/>
  <c r="AV123" i="3"/>
  <c r="V123" i="3" s="1"/>
  <c r="CQ86" i="3"/>
  <c r="CQ25" i="3"/>
  <c r="CQ88" i="3"/>
  <c r="AV88" i="3"/>
  <c r="V88" i="3" s="1"/>
  <c r="CQ119" i="3"/>
  <c r="AV119" i="3"/>
  <c r="V119" i="3" s="1"/>
  <c r="CQ39" i="3"/>
  <c r="AV39" i="3"/>
  <c r="V39" i="3" s="1"/>
  <c r="CQ67" i="3"/>
  <c r="AV67" i="3"/>
  <c r="V67" i="3" s="1"/>
  <c r="CQ94" i="3"/>
  <c r="AV94" i="3"/>
  <c r="V94" i="3" s="1"/>
  <c r="CQ31" i="3"/>
  <c r="AV31" i="3"/>
  <c r="V31" i="3" s="1"/>
  <c r="CQ112" i="3"/>
  <c r="AV112" i="3"/>
  <c r="V112" i="3" s="1"/>
  <c r="CQ56" i="3"/>
  <c r="AV56" i="3"/>
  <c r="V56" i="3" s="1"/>
  <c r="CQ33" i="3"/>
  <c r="AV33" i="3"/>
  <c r="V33" i="3" s="1"/>
  <c r="CQ32" i="3"/>
  <c r="AV32" i="3"/>
  <c r="V32" i="3" s="1"/>
  <c r="CQ65" i="3"/>
  <c r="AV65" i="3"/>
  <c r="V65" i="3" s="1"/>
  <c r="CQ97" i="3"/>
  <c r="AV97" i="3"/>
  <c r="V97" i="3" s="1"/>
  <c r="CQ44" i="3"/>
  <c r="AV44" i="3"/>
  <c r="V44" i="3" s="1"/>
  <c r="CQ47" i="3"/>
  <c r="AV47" i="3"/>
  <c r="V47" i="3" s="1"/>
  <c r="CQ103" i="3"/>
  <c r="AV103" i="3"/>
  <c r="V103" i="3" s="1"/>
  <c r="CQ81" i="3"/>
  <c r="AV81" i="3"/>
  <c r="V81" i="3" s="1"/>
  <c r="CQ84" i="3"/>
  <c r="AV84" i="3"/>
  <c r="V84" i="3" s="1"/>
  <c r="CQ54" i="3"/>
  <c r="AV54" i="3"/>
  <c r="V54" i="3" s="1"/>
  <c r="CQ76" i="3"/>
  <c r="AV76" i="3"/>
  <c r="V76" i="3" s="1"/>
  <c r="CQ79" i="3"/>
  <c r="AV79" i="3"/>
  <c r="V79" i="3" s="1"/>
  <c r="CQ120" i="3"/>
  <c r="AV120" i="3"/>
  <c r="V120" i="3" s="1"/>
  <c r="CQ92" i="3"/>
  <c r="AV92" i="3"/>
  <c r="V92" i="3" s="1"/>
  <c r="CQ37" i="3"/>
  <c r="AV37" i="3"/>
  <c r="V37" i="3" s="1"/>
  <c r="CQ116" i="3"/>
  <c r="AV116" i="3"/>
  <c r="V116" i="3" s="1"/>
  <c r="CQ45" i="3"/>
  <c r="AV45" i="3"/>
  <c r="V45" i="3" s="1"/>
  <c r="CQ113" i="3"/>
  <c r="AV113" i="3"/>
  <c r="V113" i="3" s="1"/>
  <c r="CQ40" i="3"/>
  <c r="AV40" i="3"/>
  <c r="V40" i="3" s="1"/>
  <c r="CQ73" i="3"/>
  <c r="AV73" i="3"/>
  <c r="V73" i="3" s="1"/>
  <c r="CQ99" i="3"/>
  <c r="AV99" i="3"/>
  <c r="V99" i="3" s="1"/>
  <c r="AV72" i="3"/>
  <c r="V72" i="3" s="1"/>
  <c r="CQ35" i="3"/>
  <c r="AV35" i="3"/>
  <c r="V35" i="3" s="1"/>
  <c r="CQ121" i="3"/>
  <c r="AV121" i="3"/>
  <c r="V121" i="3" s="1"/>
  <c r="CQ83" i="3"/>
  <c r="AV83" i="3"/>
  <c r="V83" i="3" s="1"/>
  <c r="CQ51" i="3"/>
  <c r="AV51" i="3"/>
  <c r="V51" i="3" s="1"/>
  <c r="CQ108" i="3"/>
  <c r="AV108" i="3"/>
  <c r="V108" i="3" s="1"/>
  <c r="CQ77" i="3"/>
  <c r="AV77" i="3"/>
  <c r="V77" i="3" s="1"/>
  <c r="CQ118" i="3"/>
  <c r="AV118" i="3"/>
  <c r="V118" i="3" s="1"/>
  <c r="CQ101" i="3"/>
  <c r="AV101" i="3"/>
  <c r="V101" i="3" s="1"/>
  <c r="CQ71" i="3"/>
  <c r="AV71" i="3"/>
  <c r="V71" i="3" s="1"/>
  <c r="CQ102" i="3"/>
  <c r="AV102" i="3"/>
  <c r="V102" i="3" s="1"/>
  <c r="CQ93" i="3"/>
  <c r="AV93" i="3"/>
  <c r="V93" i="3" s="1"/>
  <c r="DX21" i="3"/>
  <c r="BL24" i="3"/>
  <c r="BG42" i="15"/>
  <c r="BE42" i="15" s="1"/>
  <c r="BG30" i="15"/>
  <c r="BE30" i="15" s="1"/>
  <c r="BG39" i="15"/>
  <c r="BE39" i="15" s="1"/>
  <c r="BG50" i="15"/>
  <c r="BE50" i="15" s="1"/>
  <c r="BG44" i="15"/>
  <c r="BE44" i="15" s="1"/>
  <c r="BG46" i="15"/>
  <c r="BE46" i="15" s="1"/>
  <c r="BG49" i="15"/>
  <c r="BE49" i="15" s="1"/>
  <c r="BG51" i="15"/>
  <c r="BE51" i="15" s="1"/>
  <c r="BG63" i="15"/>
  <c r="BE63" i="15" s="1"/>
  <c r="BG41" i="15"/>
  <c r="BE41" i="15" s="1"/>
  <c r="BG55" i="15"/>
  <c r="BE55" i="15" s="1"/>
  <c r="BG29" i="15"/>
  <c r="BE29" i="15" s="1"/>
  <c r="BG62" i="15"/>
  <c r="BE62" i="15" s="1"/>
  <c r="BG61" i="15"/>
  <c r="BE61" i="15" s="1"/>
  <c r="BG37" i="15"/>
  <c r="BE37" i="15" s="1"/>
  <c r="BG38" i="15"/>
  <c r="BE38" i="15" s="1"/>
  <c r="BG34" i="15"/>
  <c r="BE34" i="15" s="1"/>
  <c r="BG48" i="15"/>
  <c r="BE48" i="15" s="1"/>
  <c r="BG65" i="15"/>
  <c r="BE65" i="15" s="1"/>
  <c r="BG36" i="15"/>
  <c r="BE36" i="15" s="1"/>
  <c r="BG60" i="15"/>
  <c r="BE60" i="15" s="1"/>
  <c r="CM30" i="15"/>
  <c r="CN30" i="15"/>
  <c r="CQ26" i="3"/>
  <c r="L70" i="15"/>
  <c r="CO63" i="15"/>
  <c r="CO61" i="15"/>
  <c r="AN68" i="15"/>
  <c r="I144" i="15" s="1"/>
  <c r="AC71" i="15"/>
  <c r="P58" i="15"/>
  <c r="BB58" i="15" s="1"/>
  <c r="P64" i="15"/>
  <c r="BB64" i="15" s="1"/>
  <c r="BB85" i="15"/>
  <c r="CO40" i="15"/>
  <c r="P40" i="15"/>
  <c r="BB40" i="15" s="1"/>
  <c r="P56" i="15"/>
  <c r="BB56" i="15" s="1"/>
  <c r="AD68" i="15"/>
  <c r="P48" i="15"/>
  <c r="BB48" i="15" s="1"/>
  <c r="BC34" i="15"/>
  <c r="CO34" i="15" s="1"/>
  <c r="BT69" i="3"/>
  <c r="BU68" i="3"/>
  <c r="C68" i="3" s="1"/>
  <c r="CG70" i="3"/>
  <c r="D71" i="3"/>
  <c r="AV28" i="3"/>
  <c r="V28" i="3" s="1"/>
  <c r="P60" i="15"/>
  <c r="BB60" i="15" s="1"/>
  <c r="P53" i="15"/>
  <c r="BB53" i="15" s="1"/>
  <c r="P62" i="15"/>
  <c r="BB62" i="15" s="1"/>
  <c r="CO41" i="15"/>
  <c r="AJ62" i="15"/>
  <c r="AK62" i="15" s="1"/>
  <c r="AJ48" i="15"/>
  <c r="AK48" i="15" s="1"/>
  <c r="AL54" i="15"/>
  <c r="P37" i="15"/>
  <c r="BB37" i="15" s="1"/>
  <c r="CO52" i="15"/>
  <c r="CO43" i="15"/>
  <c r="CO55" i="15"/>
  <c r="P57" i="15"/>
  <c r="BB57" i="15" s="1"/>
  <c r="AJ65" i="15"/>
  <c r="AK65" i="15" s="1"/>
  <c r="CO38" i="15"/>
  <c r="AI65" i="15"/>
  <c r="CO65" i="15"/>
  <c r="BC36" i="15"/>
  <c r="CO44" i="15"/>
  <c r="P44" i="15"/>
  <c r="BB44" i="15" s="1"/>
  <c r="P39" i="15"/>
  <c r="BB39" i="15" s="1"/>
  <c r="BC32" i="15"/>
  <c r="CO54" i="15"/>
  <c r="BC42" i="15"/>
  <c r="AI38" i="15"/>
  <c r="AL53" i="15"/>
  <c r="AL55" i="15"/>
  <c r="AL49" i="15"/>
  <c r="AI57" i="15"/>
  <c r="AI49" i="15"/>
  <c r="AL57" i="15"/>
  <c r="AL39" i="15"/>
  <c r="AL47" i="15"/>
  <c r="AL63" i="15"/>
  <c r="AI37" i="15"/>
  <c r="AI53" i="15"/>
  <c r="AJ54" i="15"/>
  <c r="AK54" i="15" s="1"/>
  <c r="AI39" i="15"/>
  <c r="AI47" i="15"/>
  <c r="AI55" i="15"/>
  <c r="AI63" i="15"/>
  <c r="AL37" i="15"/>
  <c r="P18" i="3"/>
  <c r="AL59" i="15"/>
  <c r="AL43" i="15"/>
  <c r="AI45" i="15"/>
  <c r="AL51" i="15"/>
  <c r="AI41" i="15"/>
  <c r="AI61" i="15"/>
  <c r="AB26" i="15"/>
  <c r="AI58" i="15"/>
  <c r="AK27" i="3"/>
  <c r="AL27" i="3" s="1"/>
  <c r="AA28" i="15"/>
  <c r="AB28" i="15" s="1"/>
  <c r="BC28" i="15" s="1"/>
  <c r="BC27" i="15"/>
  <c r="P27" i="15" s="1"/>
  <c r="AI33" i="15"/>
  <c r="AL31" i="15"/>
  <c r="AJ30" i="15"/>
  <c r="AK30" i="15" s="1"/>
  <c r="AI29" i="15"/>
  <c r="AI31" i="15"/>
  <c r="AI43" i="15"/>
  <c r="AI51" i="15"/>
  <c r="AI59" i="15"/>
  <c r="AL33" i="15"/>
  <c r="AL41" i="15"/>
  <c r="AL45" i="15"/>
  <c r="AL61" i="15"/>
  <c r="AI64" i="15"/>
  <c r="AJ38" i="15"/>
  <c r="AK38" i="15" s="1"/>
  <c r="AL58" i="15"/>
  <c r="AJ42" i="15"/>
  <c r="AK42" i="15" s="1"/>
  <c r="Z26" i="15"/>
  <c r="CO35" i="15"/>
  <c r="P35" i="15"/>
  <c r="AO35" i="15" s="1"/>
  <c r="AP35" i="15" s="1"/>
  <c r="AI50" i="15"/>
  <c r="AI46" i="15"/>
  <c r="AJ46" i="15"/>
  <c r="AK46" i="15" s="1"/>
  <c r="P31" i="15"/>
  <c r="BB31" i="15" s="1"/>
  <c r="CO31" i="15"/>
  <c r="AI34" i="15"/>
  <c r="AL50" i="15"/>
  <c r="AL30" i="15"/>
  <c r="AL62" i="15"/>
  <c r="AJ64" i="15"/>
  <c r="AK64" i="15" s="1"/>
  <c r="P50" i="15"/>
  <c r="BB50" i="15" s="1"/>
  <c r="P45" i="15"/>
  <c r="BB45" i="15" s="1"/>
  <c r="P47" i="15"/>
  <c r="BB47" i="15" s="1"/>
  <c r="BC29" i="15"/>
  <c r="CL68" i="15"/>
  <c r="AL42" i="15"/>
  <c r="CO46" i="15"/>
  <c r="CO49" i="15"/>
  <c r="CO51" i="15"/>
  <c r="P33" i="15"/>
  <c r="AE33" i="15" s="1"/>
  <c r="AF33" i="15" s="1"/>
  <c r="CO33" i="15"/>
  <c r="BC30" i="15"/>
  <c r="CO30" i="15" s="1"/>
  <c r="P59" i="15"/>
  <c r="BB59" i="15" s="1"/>
  <c r="CO59" i="15"/>
  <c r="AI48" i="15"/>
  <c r="AE35" i="15"/>
  <c r="AF35" i="15" s="1"/>
  <c r="AL32" i="15"/>
  <c r="AI32" i="15"/>
  <c r="AL56" i="15"/>
  <c r="AI56" i="15"/>
  <c r="AL40" i="15"/>
  <c r="AI40" i="15"/>
  <c r="J88" i="15"/>
  <c r="K87" i="15" s="1"/>
  <c r="AI28" i="15"/>
  <c r="AL44" i="15"/>
  <c r="AI44" i="15"/>
  <c r="AJ44" i="15"/>
  <c r="AK44" i="15" s="1"/>
  <c r="AL60" i="15"/>
  <c r="AI60" i="15"/>
  <c r="AJ60" i="15"/>
  <c r="AK60" i="15" s="1"/>
  <c r="AL36" i="15"/>
  <c r="AI36" i="15"/>
  <c r="AJ36" i="15"/>
  <c r="AK36" i="15" s="1"/>
  <c r="AL52" i="15"/>
  <c r="AI52" i="15"/>
  <c r="AJ52" i="15"/>
  <c r="AK52" i="15" s="1"/>
  <c r="AH68" i="15"/>
  <c r="S97" i="15" s="1"/>
  <c r="AV26" i="3" l="1"/>
  <c r="V26" i="3" s="1"/>
  <c r="AY26" i="3" s="1"/>
  <c r="AL24" i="3"/>
  <c r="AV24" i="3" s="1"/>
  <c r="V24" i="3" s="1"/>
  <c r="AY24" i="3" s="1"/>
  <c r="B16" i="13"/>
  <c r="AY47" i="3"/>
  <c r="AY32" i="3"/>
  <c r="AY105" i="3"/>
  <c r="AY38" i="3"/>
  <c r="AY49" i="3"/>
  <c r="AY63" i="3"/>
  <c r="AY101" i="3"/>
  <c r="AY51" i="3"/>
  <c r="AY72" i="3"/>
  <c r="AY106" i="3"/>
  <c r="AY66" i="3"/>
  <c r="AY48" i="3"/>
  <c r="AY80" i="3"/>
  <c r="AY36" i="3"/>
  <c r="AY99" i="3"/>
  <c r="AY45" i="3"/>
  <c r="AY120" i="3"/>
  <c r="AY84" i="3"/>
  <c r="AY44" i="3"/>
  <c r="AY33" i="3"/>
  <c r="AY94" i="3"/>
  <c r="AY88" i="3"/>
  <c r="AY60" i="3"/>
  <c r="AY90" i="3"/>
  <c r="AY61" i="3"/>
  <c r="AY42" i="3"/>
  <c r="AY110" i="3"/>
  <c r="AY111" i="3"/>
  <c r="AY92" i="3"/>
  <c r="AY31" i="3"/>
  <c r="AY28" i="3"/>
  <c r="AY70" i="3"/>
  <c r="AY122" i="3"/>
  <c r="AY73" i="3"/>
  <c r="AY116" i="3"/>
  <c r="AY79" i="3"/>
  <c r="AY81" i="3"/>
  <c r="AY97" i="3"/>
  <c r="AY56" i="3"/>
  <c r="AY67" i="3"/>
  <c r="AY30" i="3"/>
  <c r="AY95" i="3"/>
  <c r="AY69" i="3"/>
  <c r="AY68" i="3"/>
  <c r="AY57" i="3"/>
  <c r="AY54" i="3"/>
  <c r="AY52" i="3"/>
  <c r="AY118" i="3"/>
  <c r="AY53" i="3"/>
  <c r="AY102" i="3"/>
  <c r="AY77" i="3"/>
  <c r="AY121" i="3"/>
  <c r="AY75" i="3"/>
  <c r="AY87" i="3"/>
  <c r="AY46" i="3"/>
  <c r="AY117" i="3"/>
  <c r="AY82" i="3"/>
  <c r="AY104" i="3"/>
  <c r="AY55" i="3"/>
  <c r="AY119" i="3"/>
  <c r="AY83" i="3"/>
  <c r="AY59" i="3"/>
  <c r="AY100" i="3"/>
  <c r="AY40" i="3"/>
  <c r="AY37" i="3"/>
  <c r="AY76" i="3"/>
  <c r="AY103" i="3"/>
  <c r="AY65" i="3"/>
  <c r="AY112" i="3"/>
  <c r="AY39" i="3"/>
  <c r="AY123" i="3"/>
  <c r="AY115" i="3"/>
  <c r="AY41" i="3"/>
  <c r="AY109" i="3"/>
  <c r="AY74" i="3"/>
  <c r="AY89" i="3"/>
  <c r="AY113" i="3"/>
  <c r="AY58" i="3"/>
  <c r="AY93" i="3"/>
  <c r="AY98" i="3"/>
  <c r="AY71" i="3"/>
  <c r="AY108" i="3"/>
  <c r="AY35" i="3"/>
  <c r="AY78" i="3"/>
  <c r="AY34" i="3"/>
  <c r="AY85" i="3"/>
  <c r="AY50" i="3"/>
  <c r="AY62" i="3"/>
  <c r="AY43" i="3"/>
  <c r="BI521" i="3"/>
  <c r="BI517" i="3"/>
  <c r="BI513" i="3"/>
  <c r="BI511" i="3"/>
  <c r="BI509" i="3"/>
  <c r="BI503" i="3"/>
  <c r="BI500" i="3"/>
  <c r="BI499" i="3"/>
  <c r="BI507" i="3"/>
  <c r="BI491" i="3"/>
  <c r="BI484" i="3"/>
  <c r="BI483" i="3"/>
  <c r="BI476" i="3"/>
  <c r="BI457" i="3"/>
  <c r="BI458" i="3"/>
  <c r="BI463" i="3"/>
  <c r="BI466" i="3"/>
  <c r="BI426" i="3"/>
  <c r="BI442" i="3"/>
  <c r="BI430" i="3"/>
  <c r="BI450" i="3"/>
  <c r="BI434" i="3"/>
  <c r="BI438" i="3"/>
  <c r="BI424" i="3"/>
  <c r="BI427" i="3"/>
  <c r="BI454" i="3"/>
  <c r="BI461" i="3"/>
  <c r="BI448" i="3"/>
  <c r="BI494" i="3"/>
  <c r="BI493" i="3"/>
  <c r="BI487" i="3"/>
  <c r="BI431" i="3"/>
  <c r="BI435" i="3"/>
  <c r="BI444" i="3"/>
  <c r="BI460" i="3"/>
  <c r="BI469" i="3"/>
  <c r="BI496" i="3"/>
  <c r="BI522" i="3"/>
  <c r="BI523" i="3"/>
  <c r="BI515" i="3"/>
  <c r="BI518" i="3"/>
  <c r="BI512" i="3"/>
  <c r="BI445" i="3"/>
  <c r="BI471" i="3"/>
  <c r="BI505" i="3"/>
  <c r="BI443" i="3"/>
  <c r="BI441" i="3"/>
  <c r="BI452" i="3"/>
  <c r="BI462" i="3"/>
  <c r="BI482" i="3"/>
  <c r="BI467" i="3"/>
  <c r="BI474" i="3"/>
  <c r="BI470" i="3"/>
  <c r="BI479" i="3"/>
  <c r="BI489" i="3"/>
  <c r="BI498" i="3"/>
  <c r="BI447" i="3"/>
  <c r="BI464" i="3"/>
  <c r="BI480" i="3"/>
  <c r="BI490" i="3"/>
  <c r="BI510" i="3"/>
  <c r="BI449" i="3"/>
  <c r="BI439" i="3"/>
  <c r="BI468" i="3"/>
  <c r="BI459" i="3"/>
  <c r="BI472" i="3"/>
  <c r="BI481" i="3"/>
  <c r="BI485" i="3"/>
  <c r="BI473" i="3"/>
  <c r="BI495" i="3"/>
  <c r="BI514" i="3"/>
  <c r="BI516" i="3"/>
  <c r="BI519" i="3"/>
  <c r="BI506" i="3"/>
  <c r="BI432" i="3"/>
  <c r="BI455" i="3"/>
  <c r="BI453" i="3"/>
  <c r="BI446" i="3"/>
  <c r="BI451" i="3"/>
  <c r="BI504" i="3"/>
  <c r="BI502" i="3"/>
  <c r="BI520" i="3"/>
  <c r="BI436" i="3"/>
  <c r="BI428" i="3"/>
  <c r="BI440" i="3"/>
  <c r="BI477" i="3"/>
  <c r="BI478" i="3"/>
  <c r="BI475" i="3"/>
  <c r="BI497" i="3"/>
  <c r="BI492" i="3"/>
  <c r="BI501" i="3"/>
  <c r="BI437" i="3"/>
  <c r="BI508" i="3"/>
  <c r="BI433" i="3"/>
  <c r="BI456" i="3"/>
  <c r="BI465" i="3"/>
  <c r="BI486" i="3"/>
  <c r="BI488" i="3"/>
  <c r="BI429" i="3"/>
  <c r="BI425" i="3"/>
  <c r="BI405" i="3"/>
  <c r="BI398" i="3"/>
  <c r="BI396" i="3"/>
  <c r="BI386" i="3"/>
  <c r="BI384" i="3"/>
  <c r="BI392" i="3"/>
  <c r="BI390" i="3"/>
  <c r="BI388" i="3"/>
  <c r="BI381" i="3"/>
  <c r="BI377" i="3"/>
  <c r="BI373" i="3"/>
  <c r="BI378" i="3"/>
  <c r="BI353" i="3"/>
  <c r="BI363" i="3"/>
  <c r="BI357" i="3"/>
  <c r="BI361" i="3"/>
  <c r="BI349" i="3"/>
  <c r="BI331" i="3"/>
  <c r="BI323" i="3"/>
  <c r="BI337" i="3"/>
  <c r="BI327" i="3"/>
  <c r="BI324" i="3"/>
  <c r="BI319" i="3"/>
  <c r="BI341" i="3"/>
  <c r="BI293" i="3"/>
  <c r="BI281" i="3"/>
  <c r="BI285" i="3"/>
  <c r="BI273" i="3"/>
  <c r="BI289" i="3"/>
  <c r="BI263" i="3"/>
  <c r="BI262" i="3"/>
  <c r="BI261" i="3"/>
  <c r="BI260" i="3"/>
  <c r="BI252" i="3"/>
  <c r="BI269" i="3"/>
  <c r="BI277" i="3"/>
  <c r="BI231" i="3"/>
  <c r="BI230" i="3"/>
  <c r="BI229" i="3"/>
  <c r="BI228" i="3"/>
  <c r="BI227" i="3"/>
  <c r="BI226" i="3"/>
  <c r="BI234" i="3"/>
  <c r="BI253" i="3"/>
  <c r="BI272" i="3"/>
  <c r="BI268" i="3"/>
  <c r="BI299" i="3"/>
  <c r="BI309" i="3"/>
  <c r="BI339" i="3"/>
  <c r="BI347" i="3"/>
  <c r="BI368" i="3"/>
  <c r="BI379" i="3"/>
  <c r="BI376" i="3"/>
  <c r="BI389" i="3"/>
  <c r="BI391" i="3"/>
  <c r="BI418" i="3"/>
  <c r="BI413" i="3"/>
  <c r="BI225" i="3"/>
  <c r="BI242" i="3"/>
  <c r="BI237" i="3"/>
  <c r="BI254" i="3"/>
  <c r="BI265" i="3"/>
  <c r="BI274" i="3"/>
  <c r="BI287" i="3"/>
  <c r="BI282" i="3"/>
  <c r="BI302" i="3"/>
  <c r="BI330" i="3"/>
  <c r="BI348" i="3"/>
  <c r="BI352" i="3"/>
  <c r="BI335" i="3"/>
  <c r="BI366" i="3"/>
  <c r="BI375" i="3"/>
  <c r="BI372" i="3"/>
  <c r="BI385" i="3"/>
  <c r="BI420" i="3"/>
  <c r="BI243" i="3"/>
  <c r="BI244" i="3"/>
  <c r="BI232" i="3"/>
  <c r="BI240" i="3"/>
  <c r="BI258" i="3"/>
  <c r="BI259" i="3"/>
  <c r="BI278" i="3"/>
  <c r="BI284" i="3"/>
  <c r="BI276" i="3"/>
  <c r="BI297" i="3"/>
  <c r="BI298" i="3"/>
  <c r="BI311" i="3"/>
  <c r="BI362" i="3"/>
  <c r="BI394" i="3"/>
  <c r="BI409" i="3"/>
  <c r="BI411" i="3"/>
  <c r="BI414" i="3"/>
  <c r="BI422" i="3"/>
  <c r="BI235" i="3"/>
  <c r="BI270" i="3"/>
  <c r="BI256" i="3"/>
  <c r="BI266" i="3"/>
  <c r="BI308" i="3"/>
  <c r="BI307" i="3"/>
  <c r="BI332" i="3"/>
  <c r="BI328" i="3"/>
  <c r="BI336" i="3"/>
  <c r="BI333" i="3"/>
  <c r="BI321" i="3"/>
  <c r="BI345" i="3"/>
  <c r="BI358" i="3"/>
  <c r="BI369" i="3"/>
  <c r="BI382" i="3"/>
  <c r="BI407" i="3"/>
  <c r="BI408" i="3"/>
  <c r="BI406" i="3"/>
  <c r="BI416" i="3"/>
  <c r="BI246" i="3"/>
  <c r="BI245" i="3"/>
  <c r="BI248" i="3"/>
  <c r="BI238" i="3"/>
  <c r="BI247" i="3"/>
  <c r="BI271" i="3"/>
  <c r="BI279" i="3"/>
  <c r="BI292" i="3"/>
  <c r="BI303" i="3"/>
  <c r="BI314" i="3"/>
  <c r="BI310" i="3"/>
  <c r="BI325" i="3"/>
  <c r="BI346" i="3"/>
  <c r="BI344" i="3"/>
  <c r="BI356" i="3"/>
  <c r="BI364" i="3"/>
  <c r="BI383" i="3"/>
  <c r="BI367" i="3"/>
  <c r="BI380" i="3"/>
  <c r="BI401" i="3"/>
  <c r="BI404" i="3"/>
  <c r="BI419" i="3"/>
  <c r="BI233" i="3"/>
  <c r="BI241" i="3"/>
  <c r="BI264" i="3"/>
  <c r="BI257" i="3"/>
  <c r="BI267" i="3"/>
  <c r="BI251" i="3"/>
  <c r="BI286" i="3"/>
  <c r="BI283" i="3"/>
  <c r="BI338" i="3"/>
  <c r="BI296" i="3"/>
  <c r="BI295" i="3"/>
  <c r="BI313" i="3"/>
  <c r="BI305" i="3"/>
  <c r="BI294" i="3"/>
  <c r="BI326" i="3"/>
  <c r="BI334" i="3"/>
  <c r="BI350" i="3"/>
  <c r="BI354" i="3"/>
  <c r="BI374" i="3"/>
  <c r="BI370" i="3"/>
  <c r="BI365" i="3"/>
  <c r="BI400" i="3"/>
  <c r="BI397" i="3"/>
  <c r="BI236" i="3"/>
  <c r="BI290" i="3"/>
  <c r="BI250" i="3"/>
  <c r="BI255" i="3"/>
  <c r="BI275" i="3"/>
  <c r="BI288" i="3"/>
  <c r="BI280" i="3"/>
  <c r="BI291" i="3"/>
  <c r="BI317" i="3"/>
  <c r="BI318" i="3"/>
  <c r="BI320" i="3"/>
  <c r="BI343" i="3"/>
  <c r="BI359" i="3"/>
  <c r="BI421" i="3"/>
  <c r="BI395" i="3"/>
  <c r="BI402" i="3"/>
  <c r="BI387" i="3"/>
  <c r="BI393" i="3"/>
  <c r="BI399" i="3"/>
  <c r="BI403" i="3"/>
  <c r="BI410" i="3"/>
  <c r="BI415" i="3"/>
  <c r="BI224" i="3"/>
  <c r="BI239" i="3"/>
  <c r="BI249" i="3"/>
  <c r="BI329" i="3"/>
  <c r="BI300" i="3"/>
  <c r="BI301" i="3"/>
  <c r="BI306" i="3"/>
  <c r="BI316" i="3"/>
  <c r="BI315" i="3"/>
  <c r="BI322" i="3"/>
  <c r="BI304" i="3"/>
  <c r="BI312" i="3"/>
  <c r="BI340" i="3"/>
  <c r="BI351" i="3"/>
  <c r="BI342" i="3"/>
  <c r="BI355" i="3"/>
  <c r="BI360" i="3"/>
  <c r="BI371" i="3"/>
  <c r="BI412" i="3"/>
  <c r="BI423" i="3"/>
  <c r="BI417" i="3"/>
  <c r="BI220" i="3"/>
  <c r="BI216" i="3"/>
  <c r="BI221" i="3"/>
  <c r="BI212" i="3"/>
  <c r="BI206" i="3"/>
  <c r="BI217" i="3"/>
  <c r="BI198" i="3"/>
  <c r="BI184" i="3"/>
  <c r="BI197" i="3"/>
  <c r="BI177" i="3"/>
  <c r="BI194" i="3"/>
  <c r="BI181" i="3"/>
  <c r="BI164" i="3"/>
  <c r="BI136" i="3"/>
  <c r="BI174" i="3"/>
  <c r="BI132" i="3"/>
  <c r="BI128" i="3"/>
  <c r="BI151" i="3"/>
  <c r="BI170" i="3"/>
  <c r="BI152" i="3"/>
  <c r="BI138" i="3"/>
  <c r="BI148" i="3"/>
  <c r="BI156" i="3"/>
  <c r="BI145" i="3"/>
  <c r="BI179" i="3"/>
  <c r="BI190" i="3"/>
  <c r="BI183" i="3"/>
  <c r="BI188" i="3"/>
  <c r="BI202" i="3"/>
  <c r="BI196" i="3"/>
  <c r="BI180" i="3"/>
  <c r="BI203" i="3"/>
  <c r="BI193" i="3"/>
  <c r="BI200" i="3"/>
  <c r="BI129" i="3"/>
  <c r="BI139" i="3"/>
  <c r="BI137" i="3"/>
  <c r="BI165" i="3"/>
  <c r="BI178" i="3"/>
  <c r="BI208" i="3"/>
  <c r="BI191" i="3"/>
  <c r="BI186" i="3"/>
  <c r="BI213" i="3"/>
  <c r="BI204" i="3"/>
  <c r="BI215" i="3"/>
  <c r="BI147" i="3"/>
  <c r="BI161" i="3"/>
  <c r="BI163" i="3"/>
  <c r="BI171" i="3"/>
  <c r="BI199" i="3"/>
  <c r="BI169" i="3"/>
  <c r="BI187" i="3"/>
  <c r="BI223" i="3"/>
  <c r="BI125" i="3"/>
  <c r="BI124" i="3"/>
  <c r="BI127" i="3"/>
  <c r="BI134" i="3"/>
  <c r="BI153" i="3"/>
  <c r="BI167" i="3"/>
  <c r="BI140" i="3"/>
  <c r="BI154" i="3"/>
  <c r="BI157" i="3"/>
  <c r="BI168" i="3"/>
  <c r="BI209" i="3"/>
  <c r="BI210" i="3"/>
  <c r="BI205" i="3"/>
  <c r="BI219" i="3"/>
  <c r="BI222" i="3"/>
  <c r="BI126" i="3"/>
  <c r="BI130" i="3"/>
  <c r="BI133" i="3"/>
  <c r="BI166" i="3"/>
  <c r="BI149" i="3"/>
  <c r="BI155" i="3"/>
  <c r="BI185" i="3"/>
  <c r="BI150" i="3"/>
  <c r="BI160" i="3"/>
  <c r="BI175" i="3"/>
  <c r="BI182" i="3"/>
  <c r="BI218" i="3"/>
  <c r="BI162" i="3"/>
  <c r="BI176" i="3"/>
  <c r="BI144" i="3"/>
  <c r="BI195" i="3"/>
  <c r="BI189" i="3"/>
  <c r="BI192" i="3"/>
  <c r="BI201" i="3"/>
  <c r="BI214" i="3"/>
  <c r="BI135" i="3"/>
  <c r="BI131" i="3"/>
  <c r="BI159" i="3"/>
  <c r="BI141" i="3"/>
  <c r="BI146" i="3"/>
  <c r="BI142" i="3"/>
  <c r="BI143" i="3"/>
  <c r="BI158" i="3"/>
  <c r="BI173" i="3"/>
  <c r="BI172" i="3"/>
  <c r="BI211" i="3"/>
  <c r="BI207" i="3"/>
  <c r="BB27" i="15"/>
  <c r="AO27" i="15"/>
  <c r="AP27" i="15" s="1"/>
  <c r="AJ27" i="15"/>
  <c r="AK27" i="15" s="1"/>
  <c r="K84" i="15"/>
  <c r="K86" i="15"/>
  <c r="K88" i="15"/>
  <c r="K85" i="15"/>
  <c r="BD31" i="15"/>
  <c r="Q31" i="15" s="1"/>
  <c r="AG31" i="15" s="1"/>
  <c r="I136" i="15"/>
  <c r="BC26" i="15"/>
  <c r="P26" i="15" s="1"/>
  <c r="BD62" i="15"/>
  <c r="Q62" i="15" s="1"/>
  <c r="BD30" i="15"/>
  <c r="Q30" i="15" s="1"/>
  <c r="BD42" i="15"/>
  <c r="Q42" i="15" s="1"/>
  <c r="BD33" i="15"/>
  <c r="Q33" i="15" s="1"/>
  <c r="AG33" i="15" s="1"/>
  <c r="BD26" i="15"/>
  <c r="Q26" i="15" s="1"/>
  <c r="BD48" i="15"/>
  <c r="Q48" i="15" s="1"/>
  <c r="BD64" i="15"/>
  <c r="Q64" i="15" s="1"/>
  <c r="BD51" i="15"/>
  <c r="Q51" i="15" s="1"/>
  <c r="BD57" i="15"/>
  <c r="Q57" i="15" s="1"/>
  <c r="BD39" i="15"/>
  <c r="Q39" i="15" s="1"/>
  <c r="BD28" i="15"/>
  <c r="Q28" i="15" s="1"/>
  <c r="AL28" i="15" s="1"/>
  <c r="BD52" i="15"/>
  <c r="Q52" i="15" s="1"/>
  <c r="BD65" i="15"/>
  <c r="Q65" i="15" s="1"/>
  <c r="BD43" i="15"/>
  <c r="Q43" i="15" s="1"/>
  <c r="BD61" i="15"/>
  <c r="Q61" i="15" s="1"/>
  <c r="BD29" i="15"/>
  <c r="Q29" i="15" s="1"/>
  <c r="AL29" i="15" s="1"/>
  <c r="BD35" i="15"/>
  <c r="Q35" i="15" s="1"/>
  <c r="AG35" i="15" s="1"/>
  <c r="BD40" i="15"/>
  <c r="Q40" i="15" s="1"/>
  <c r="BD55" i="15"/>
  <c r="Q55" i="15" s="1"/>
  <c r="BD38" i="15"/>
  <c r="Q38" i="15" s="1"/>
  <c r="BD37" i="15"/>
  <c r="Q37" i="15" s="1"/>
  <c r="BD60" i="15"/>
  <c r="Q60" i="15" s="1"/>
  <c r="BD49" i="15"/>
  <c r="Q49" i="15" s="1"/>
  <c r="BD46" i="15"/>
  <c r="Q46" i="15" s="1"/>
  <c r="BD53" i="15"/>
  <c r="Q53" i="15" s="1"/>
  <c r="BD56" i="15"/>
  <c r="Q56" i="15" s="1"/>
  <c r="BD36" i="15"/>
  <c r="Q36" i="15" s="1"/>
  <c r="BD58" i="15"/>
  <c r="Q58" i="15" s="1"/>
  <c r="BD32" i="15"/>
  <c r="Q32" i="15" s="1"/>
  <c r="AG32" i="15" s="1"/>
  <c r="BD27" i="15"/>
  <c r="Q27" i="15" s="1"/>
  <c r="AL27" i="15" s="1"/>
  <c r="BD34" i="15"/>
  <c r="Q34" i="15" s="1"/>
  <c r="AG34" i="15" s="1"/>
  <c r="BD50" i="15"/>
  <c r="Q50" i="15" s="1"/>
  <c r="BD45" i="15"/>
  <c r="Q45" i="15" s="1"/>
  <c r="BD47" i="15"/>
  <c r="Q47" i="15" s="1"/>
  <c r="BD63" i="15"/>
  <c r="Q63" i="15" s="1"/>
  <c r="BD44" i="15"/>
  <c r="Q44" i="15" s="1"/>
  <c r="BD59" i="15"/>
  <c r="Q59" i="15" s="1"/>
  <c r="BD41" i="15"/>
  <c r="Q41" i="15" s="1"/>
  <c r="BD54" i="15"/>
  <c r="Q54" i="15" s="1"/>
  <c r="P34" i="15"/>
  <c r="BT70" i="3"/>
  <c r="BU69" i="3"/>
  <c r="C69" i="3" s="1"/>
  <c r="CG71" i="3"/>
  <c r="D72" i="3"/>
  <c r="AJ35" i="15"/>
  <c r="AK35" i="15" s="1"/>
  <c r="AE31" i="15"/>
  <c r="AF31" i="15" s="1"/>
  <c r="P36" i="15"/>
  <c r="AE36" i="15" s="1"/>
  <c r="AF36" i="15" s="1"/>
  <c r="CO36" i="15"/>
  <c r="BI30" i="3"/>
  <c r="BI38" i="3"/>
  <c r="BI46" i="3"/>
  <c r="BI31" i="3"/>
  <c r="BI39" i="3"/>
  <c r="BI47" i="3"/>
  <c r="BI55" i="3"/>
  <c r="BI63" i="3"/>
  <c r="BI71" i="3"/>
  <c r="BI79" i="3"/>
  <c r="BI87" i="3"/>
  <c r="BI95" i="3"/>
  <c r="BI103" i="3"/>
  <c r="BI54" i="3"/>
  <c r="BI109" i="3"/>
  <c r="BI117" i="3"/>
  <c r="BI68" i="3"/>
  <c r="BI76" i="3"/>
  <c r="BI84" i="3"/>
  <c r="BI92" i="3"/>
  <c r="BI100" i="3"/>
  <c r="BI108" i="3"/>
  <c r="BI116" i="3"/>
  <c r="BI28" i="3"/>
  <c r="BI44" i="3"/>
  <c r="BI37" i="3"/>
  <c r="BI61" i="3"/>
  <c r="BI77" i="3"/>
  <c r="BI101" i="3"/>
  <c r="BI115" i="3"/>
  <c r="BI66" i="3"/>
  <c r="BI90" i="3"/>
  <c r="BI114" i="3"/>
  <c r="BI32" i="3"/>
  <c r="BI40" i="3"/>
  <c r="BI48" i="3"/>
  <c r="BI33" i="3"/>
  <c r="BI41" i="3"/>
  <c r="BI49" i="3"/>
  <c r="BI57" i="3"/>
  <c r="BI65" i="3"/>
  <c r="BI73" i="3"/>
  <c r="BI81" i="3"/>
  <c r="BI89" i="3"/>
  <c r="BI97" i="3"/>
  <c r="BI105" i="3"/>
  <c r="BI56" i="3"/>
  <c r="BI111" i="3"/>
  <c r="BI119" i="3"/>
  <c r="BI62" i="3"/>
  <c r="BI70" i="3"/>
  <c r="BI78" i="3"/>
  <c r="BI86" i="3"/>
  <c r="BI94" i="3"/>
  <c r="BI102" i="3"/>
  <c r="BI110" i="3"/>
  <c r="BI118" i="3"/>
  <c r="BI36" i="3"/>
  <c r="BI29" i="3"/>
  <c r="BI45" i="3"/>
  <c r="BI69" i="3"/>
  <c r="BI85" i="3"/>
  <c r="BI52" i="3"/>
  <c r="BI123" i="3"/>
  <c r="BI82" i="3"/>
  <c r="BI98" i="3"/>
  <c r="BI122" i="3"/>
  <c r="BI34" i="3"/>
  <c r="BI42" i="3"/>
  <c r="BI50" i="3"/>
  <c r="BI35" i="3"/>
  <c r="BI43" i="3"/>
  <c r="BI51" i="3"/>
  <c r="BI59" i="3"/>
  <c r="BI67" i="3"/>
  <c r="BI75" i="3"/>
  <c r="BI83" i="3"/>
  <c r="BI91" i="3"/>
  <c r="BI99" i="3"/>
  <c r="BI107" i="3"/>
  <c r="BI58" i="3"/>
  <c r="BI113" i="3"/>
  <c r="BI121" i="3"/>
  <c r="BI64" i="3"/>
  <c r="BI72" i="3"/>
  <c r="BI80" i="3"/>
  <c r="BI88" i="3"/>
  <c r="BI96" i="3"/>
  <c r="BI104" i="3"/>
  <c r="BI112" i="3"/>
  <c r="BI120" i="3"/>
  <c r="BI53" i="3"/>
  <c r="BI93" i="3"/>
  <c r="BI60" i="3"/>
  <c r="BI74" i="3"/>
  <c r="BI106" i="3"/>
  <c r="P32" i="15"/>
  <c r="CO32" i="15"/>
  <c r="P42" i="15"/>
  <c r="BB42" i="15" s="1"/>
  <c r="CO42" i="15"/>
  <c r="BI25" i="3"/>
  <c r="BI26" i="3"/>
  <c r="BB35" i="15"/>
  <c r="AG36" i="15"/>
  <c r="AQ36" i="15"/>
  <c r="BB33" i="15"/>
  <c r="P28" i="15"/>
  <c r="CO28" i="15"/>
  <c r="P30" i="15"/>
  <c r="AE27" i="15"/>
  <c r="AF27" i="15" s="1"/>
  <c r="CO27" i="15"/>
  <c r="P29" i="15"/>
  <c r="CO29" i="15"/>
  <c r="AI68" i="15"/>
  <c r="J89" i="15"/>
  <c r="L69" i="15"/>
  <c r="AH71" i="15"/>
  <c r="CQ24" i="3" l="1"/>
  <c r="BI24" i="3" s="1"/>
  <c r="B19" i="13"/>
  <c r="B20" i="13" s="1"/>
  <c r="B21" i="13" s="1"/>
  <c r="B22" i="13" s="1"/>
  <c r="AV27" i="3"/>
  <c r="V27" i="3" s="1"/>
  <c r="L595" i="3" s="1"/>
  <c r="BO27" i="3" s="1"/>
  <c r="CQ27" i="3"/>
  <c r="BI27" i="3" s="1"/>
  <c r="AG30" i="15"/>
  <c r="AQ30" i="15"/>
  <c r="BB30" i="15"/>
  <c r="AO30" i="15"/>
  <c r="AP30" i="15" s="1"/>
  <c r="AO29" i="15"/>
  <c r="AP29" i="15" s="1"/>
  <c r="AJ29" i="15"/>
  <c r="AK29" i="15" s="1"/>
  <c r="AG29" i="15"/>
  <c r="AQ29" i="15"/>
  <c r="AG28" i="15"/>
  <c r="AQ28" i="15"/>
  <c r="AJ28" i="15"/>
  <c r="AK28" i="15" s="1"/>
  <c r="AO28" i="15"/>
  <c r="AP28" i="15" s="1"/>
  <c r="BO337" i="3"/>
  <c r="BO483" i="3"/>
  <c r="BO374" i="3"/>
  <c r="BO314" i="3"/>
  <c r="BO328" i="3"/>
  <c r="BO369" i="3"/>
  <c r="BO254" i="3"/>
  <c r="BO427" i="3"/>
  <c r="BO433" i="3"/>
  <c r="BO275" i="3"/>
  <c r="BO411" i="3"/>
  <c r="BO422" i="3"/>
  <c r="BO451" i="3"/>
  <c r="BO504" i="3"/>
  <c r="BO475" i="3"/>
  <c r="BO322" i="3"/>
  <c r="BO394" i="3"/>
  <c r="BO405" i="3"/>
  <c r="BO243" i="3"/>
  <c r="BO438" i="3"/>
  <c r="BO247" i="3"/>
  <c r="BO500" i="3"/>
  <c r="BO468" i="3"/>
  <c r="BO265" i="3"/>
  <c r="BO393" i="3"/>
  <c r="BO430" i="3"/>
  <c r="BO268" i="3"/>
  <c r="BO398" i="3"/>
  <c r="BO487" i="3"/>
  <c r="BO244" i="3"/>
  <c r="BO426" i="3"/>
  <c r="BO332" i="3"/>
  <c r="BO308" i="3"/>
  <c r="BO508" i="3"/>
  <c r="BO286" i="3"/>
  <c r="BO318" i="3"/>
  <c r="BO495" i="3"/>
  <c r="BO267" i="3"/>
  <c r="BO474" i="3"/>
  <c r="BO516" i="3"/>
  <c r="BO443" i="3"/>
  <c r="BO424" i="3"/>
  <c r="BO447" i="3"/>
  <c r="BO441" i="3"/>
  <c r="BO469" i="3"/>
  <c r="BO353" i="3"/>
  <c r="BO521" i="3"/>
  <c r="BO385" i="3"/>
  <c r="BO386" i="3"/>
  <c r="BO346" i="3"/>
  <c r="BO245" i="3"/>
  <c r="BO454" i="3"/>
  <c r="BO383" i="3"/>
  <c r="BO312" i="3"/>
  <c r="BO246" i="3"/>
  <c r="BO367" i="3"/>
  <c r="BO431" i="3"/>
  <c r="BO298" i="3"/>
  <c r="BO350" i="3"/>
  <c r="BO429" i="3"/>
  <c r="BO460" i="3"/>
  <c r="BO510" i="3"/>
  <c r="BO478" i="3"/>
  <c r="BO518" i="3"/>
  <c r="BO361" i="3"/>
  <c r="BO465" i="3"/>
  <c r="BO442" i="3"/>
  <c r="BO329" i="3"/>
  <c r="BO274" i="3"/>
  <c r="BO505" i="3"/>
  <c r="BO380" i="3"/>
  <c r="BO304" i="3"/>
  <c r="BO355" i="3"/>
  <c r="BO403" i="3"/>
  <c r="BO399" i="3"/>
  <c r="BO341" i="3"/>
  <c r="BO269" i="3"/>
  <c r="BO279" i="3"/>
  <c r="BO512" i="3"/>
  <c r="BO364" i="3"/>
  <c r="BO362" i="3"/>
  <c r="BO471" i="3"/>
  <c r="BO330" i="3"/>
  <c r="BO325" i="3"/>
  <c r="BO440" i="3"/>
  <c r="BO295" i="3"/>
  <c r="BO342" i="3"/>
  <c r="BO271" i="3"/>
  <c r="BO251" i="3"/>
  <c r="BO256" i="3"/>
  <c r="BO262" i="3"/>
  <c r="BO255" i="3"/>
  <c r="BO302" i="3"/>
  <c r="BO418" i="3"/>
  <c r="BO477" i="3"/>
  <c r="BO250" i="3"/>
  <c r="BO455" i="3"/>
  <c r="BO273" i="3"/>
  <c r="BO479" i="3"/>
  <c r="BO473" i="3"/>
  <c r="BO522" i="3"/>
  <c r="BO259" i="3"/>
  <c r="BO320" i="3"/>
  <c r="BO278" i="3"/>
  <c r="BO378" i="3"/>
  <c r="BO264" i="3"/>
  <c r="BO375" i="3"/>
  <c r="BO280" i="3"/>
  <c r="BO446" i="3"/>
  <c r="BO434" i="3"/>
  <c r="BO497" i="3"/>
  <c r="BO414" i="3"/>
  <c r="BO290" i="3"/>
  <c r="BO253" i="3"/>
  <c r="BO300" i="3"/>
  <c r="BO349" i="3"/>
  <c r="BO282" i="3"/>
  <c r="BO324" i="3"/>
  <c r="BO358" i="3"/>
  <c r="BO406" i="3"/>
  <c r="BO316" i="3"/>
  <c r="BO260" i="3"/>
  <c r="BO425" i="3"/>
  <c r="BO501" i="3"/>
  <c r="BO266" i="3"/>
  <c r="BO306" i="3"/>
  <c r="BO261" i="3"/>
  <c r="BO520" i="3"/>
  <c r="BO382" i="3"/>
  <c r="BO461" i="3"/>
  <c r="BO491" i="3"/>
  <c r="BO338" i="3"/>
  <c r="BO472" i="3"/>
  <c r="BO345" i="3"/>
  <c r="BO435" i="3"/>
  <c r="BO376" i="3"/>
  <c r="BO357" i="3"/>
  <c r="BO482" i="3"/>
  <c r="BO428" i="3"/>
  <c r="BO449" i="3"/>
  <c r="BO476" i="3"/>
  <c r="BO493" i="3"/>
  <c r="BO499" i="3"/>
  <c r="BO506" i="3"/>
  <c r="BO511" i="3"/>
  <c r="BO229" i="3"/>
  <c r="BO237" i="3"/>
  <c r="BO288" i="3"/>
  <c r="BO285" i="3"/>
  <c r="BO293" i="3"/>
  <c r="BO343" i="3"/>
  <c r="BO352" i="3"/>
  <c r="BO354" i="3"/>
  <c r="BO384" i="3"/>
  <c r="BO464" i="3"/>
  <c r="BO514" i="3"/>
  <c r="BO444" i="3"/>
  <c r="BO496" i="3"/>
  <c r="BO457" i="3"/>
  <c r="BO484" i="3"/>
  <c r="BO507" i="3"/>
  <c r="BO515" i="3"/>
  <c r="BO257" i="3"/>
  <c r="BO230" i="3"/>
  <c r="BO238" i="3"/>
  <c r="BO270" i="3"/>
  <c r="BO296" i="3"/>
  <c r="BO283" i="3"/>
  <c r="BO291" i="3"/>
  <c r="BO299" i="3"/>
  <c r="BO319" i="3"/>
  <c r="BO323" i="3"/>
  <c r="BO305" i="3"/>
  <c r="BO317" i="3"/>
  <c r="BO327" i="3"/>
  <c r="BO334" i="3"/>
  <c r="BO368" i="3"/>
  <c r="BO390" i="3"/>
  <c r="BO335" i="3"/>
  <c r="BO450" i="3"/>
  <c r="BO519" i="3"/>
  <c r="BO517" i="3"/>
  <c r="BO224" i="3"/>
  <c r="BO231" i="3"/>
  <c r="BO239" i="3"/>
  <c r="BO248" i="3"/>
  <c r="BO277" i="3"/>
  <c r="BO336" i="3"/>
  <c r="BO284" i="3"/>
  <c r="BO360" i="3"/>
  <c r="BO402" i="3"/>
  <c r="BO310" i="3"/>
  <c r="BO458" i="3"/>
  <c r="BO470" i="3"/>
  <c r="BO467" i="3"/>
  <c r="BO485" i="3"/>
  <c r="BO492" i="3"/>
  <c r="BO490" i="3"/>
  <c r="BO502" i="3"/>
  <c r="BO523" i="3"/>
  <c r="BO242" i="3"/>
  <c r="BO225" i="3"/>
  <c r="BO232" i="3"/>
  <c r="BO240" i="3"/>
  <c r="BO272" i="3"/>
  <c r="BO301" i="3"/>
  <c r="BO339" i="3"/>
  <c r="BO437" i="3"/>
  <c r="BO439" i="3"/>
  <c r="BO436" i="3"/>
  <c r="BO466" i="3"/>
  <c r="BO452" i="3"/>
  <c r="BO226" i="3"/>
  <c r="BO233" i="3"/>
  <c r="BO241" i="3"/>
  <c r="BO281" i="3"/>
  <c r="BO289" i="3"/>
  <c r="BO263" i="3"/>
  <c r="BO389" i="3"/>
  <c r="BO351" i="3"/>
  <c r="BO432" i="3"/>
  <c r="BO459" i="3"/>
  <c r="BO462" i="3"/>
  <c r="BO480" i="3"/>
  <c r="BO481" i="3"/>
  <c r="BO503" i="3"/>
  <c r="BO227" i="3"/>
  <c r="BO234" i="3"/>
  <c r="BO287" i="3"/>
  <c r="BO294" i="3"/>
  <c r="BO297" i="3"/>
  <c r="BO292" i="3"/>
  <c r="BO303" i="3"/>
  <c r="BO326" i="3"/>
  <c r="BO252" i="3"/>
  <c r="BO379" i="3"/>
  <c r="BO407" i="3"/>
  <c r="BO448" i="3"/>
  <c r="BO463" i="3"/>
  <c r="BO498" i="3"/>
  <c r="BO509" i="3"/>
  <c r="BO258" i="3"/>
  <c r="BO235" i="3"/>
  <c r="BO276" i="3"/>
  <c r="BO315" i="3"/>
  <c r="BO456" i="3"/>
  <c r="BO453" i="3"/>
  <c r="BO445" i="3"/>
  <c r="BO488" i="3"/>
  <c r="BO489" i="3"/>
  <c r="BO486" i="3"/>
  <c r="BO494" i="3"/>
  <c r="BO513" i="3"/>
  <c r="BO333" i="3"/>
  <c r="BO388" i="3"/>
  <c r="BO404" i="3"/>
  <c r="BO412" i="3"/>
  <c r="BO417" i="3"/>
  <c r="BO249" i="3"/>
  <c r="BO372" i="3"/>
  <c r="BO391" i="3"/>
  <c r="BO410" i="3"/>
  <c r="BO331" i="3"/>
  <c r="BO359" i="3"/>
  <c r="BO373" i="3"/>
  <c r="BO415" i="3"/>
  <c r="BO420" i="3"/>
  <c r="BO228" i="3"/>
  <c r="BO344" i="3"/>
  <c r="BO363" i="3"/>
  <c r="BO371" i="3"/>
  <c r="BO387" i="3"/>
  <c r="BO356" i="3"/>
  <c r="BO396" i="3"/>
  <c r="BO408" i="3"/>
  <c r="BO423" i="3"/>
  <c r="BO236" i="3"/>
  <c r="BO307" i="3"/>
  <c r="BO311" i="3"/>
  <c r="BO321" i="3"/>
  <c r="BO347" i="3"/>
  <c r="BO377" i="3"/>
  <c r="BO381" i="3"/>
  <c r="BO395" i="3"/>
  <c r="BO400" i="3"/>
  <c r="BO401" i="3"/>
  <c r="BO413" i="3"/>
  <c r="BO421" i="3"/>
  <c r="BO309" i="3"/>
  <c r="BO366" i="3"/>
  <c r="BO416" i="3"/>
  <c r="BO370" i="3"/>
  <c r="BO409" i="3"/>
  <c r="BO313" i="3"/>
  <c r="BO340" i="3"/>
  <c r="BO348" i="3"/>
  <c r="BO365" i="3"/>
  <c r="BO397" i="3"/>
  <c r="BO392" i="3"/>
  <c r="BO419" i="3"/>
  <c r="BO135" i="3"/>
  <c r="BO219" i="3"/>
  <c r="BO199" i="3"/>
  <c r="BO198" i="3"/>
  <c r="BO124" i="3"/>
  <c r="BO141" i="3"/>
  <c r="BO156" i="3"/>
  <c r="BO150" i="3"/>
  <c r="BO203" i="3"/>
  <c r="BO189" i="3"/>
  <c r="BO180" i="3"/>
  <c r="BO196" i="3"/>
  <c r="BO153" i="3"/>
  <c r="BO160" i="3"/>
  <c r="BO140" i="3"/>
  <c r="BO161" i="3"/>
  <c r="BO215" i="3"/>
  <c r="BO183" i="3"/>
  <c r="BO208" i="3"/>
  <c r="BO154" i="3"/>
  <c r="BO169" i="3"/>
  <c r="BO147" i="3"/>
  <c r="BO138" i="3"/>
  <c r="BO178" i="3"/>
  <c r="BO209" i="3"/>
  <c r="BO217" i="3"/>
  <c r="BO211" i="3"/>
  <c r="BO184" i="3"/>
  <c r="BO148" i="3"/>
  <c r="BO191" i="3"/>
  <c r="BO129" i="3"/>
  <c r="BO187" i="3"/>
  <c r="BO168" i="3"/>
  <c r="BO172" i="3"/>
  <c r="BO173" i="3"/>
  <c r="BO200" i="3"/>
  <c r="BO206" i="3"/>
  <c r="BO163" i="3"/>
  <c r="BO149" i="3"/>
  <c r="BO170" i="3"/>
  <c r="BO221" i="3"/>
  <c r="BO214" i="3"/>
  <c r="BO132" i="3"/>
  <c r="BO167" i="3"/>
  <c r="BO190" i="3"/>
  <c r="BO193" i="3"/>
  <c r="BO207" i="3"/>
  <c r="BO223" i="3"/>
  <c r="BO213" i="3"/>
  <c r="BO222" i="3"/>
  <c r="BO137" i="3"/>
  <c r="BO192" i="3"/>
  <c r="BO177" i="3"/>
  <c r="BO185" i="3"/>
  <c r="BO157" i="3"/>
  <c r="BO162" i="3"/>
  <c r="BO143" i="3"/>
  <c r="BO210" i="3"/>
  <c r="BO139" i="3"/>
  <c r="BO188" i="3"/>
  <c r="BO194" i="3"/>
  <c r="BO145" i="3"/>
  <c r="BO134" i="3"/>
  <c r="BO174" i="3"/>
  <c r="BO128" i="3"/>
  <c r="BO125" i="3"/>
  <c r="BO142" i="3"/>
  <c r="BO175" i="3"/>
  <c r="BO171" i="3"/>
  <c r="BO181" i="3"/>
  <c r="BO220" i="3"/>
  <c r="BO155" i="3"/>
  <c r="BO176" i="3"/>
  <c r="BO166" i="3"/>
  <c r="BO186" i="3"/>
  <c r="BO126" i="3"/>
  <c r="BO205" i="3"/>
  <c r="BO212" i="3"/>
  <c r="BO158" i="3"/>
  <c r="BO182" i="3"/>
  <c r="BO218" i="3"/>
  <c r="BO136" i="3"/>
  <c r="BO146" i="3"/>
  <c r="BO159" i="3"/>
  <c r="BO151" i="3"/>
  <c r="BO127" i="3"/>
  <c r="BO144" i="3"/>
  <c r="BO179" i="3"/>
  <c r="BO195" i="3"/>
  <c r="BO197" i="3"/>
  <c r="BO202" i="3"/>
  <c r="BO201" i="3"/>
  <c r="BO204" i="3"/>
  <c r="BO216" i="3"/>
  <c r="BO165" i="3"/>
  <c r="BO130" i="3"/>
  <c r="BO131" i="3"/>
  <c r="BO133" i="3"/>
  <c r="BO152" i="3"/>
  <c r="BO164" i="3"/>
  <c r="BO101" i="3"/>
  <c r="BO117" i="3"/>
  <c r="BO87" i="3"/>
  <c r="BO118" i="3"/>
  <c r="BO103" i="3"/>
  <c r="BO119" i="3"/>
  <c r="BO77" i="3"/>
  <c r="BO95" i="3"/>
  <c r="BO111" i="3"/>
  <c r="BO85" i="3"/>
  <c r="BO83" i="3"/>
  <c r="BO115" i="3"/>
  <c r="BO121" i="3"/>
  <c r="BO73" i="3"/>
  <c r="BO102" i="3"/>
  <c r="BO74" i="3"/>
  <c r="BO58" i="3"/>
  <c r="BO96" i="3"/>
  <c r="BO81" i="3"/>
  <c r="BO105" i="3"/>
  <c r="BO62" i="3"/>
  <c r="BO55" i="3"/>
  <c r="BO67" i="3"/>
  <c r="BO70" i="3"/>
  <c r="BO104" i="3"/>
  <c r="BO84" i="3"/>
  <c r="BO80" i="3"/>
  <c r="BO68" i="3"/>
  <c r="BO123" i="3"/>
  <c r="BO107" i="3"/>
  <c r="BO75" i="3"/>
  <c r="BO82" i="3"/>
  <c r="BO122" i="3"/>
  <c r="BO106" i="3"/>
  <c r="BO69" i="3"/>
  <c r="BO116" i="3"/>
  <c r="BO57" i="3"/>
  <c r="BO60" i="3"/>
  <c r="BO99" i="3"/>
  <c r="BO89" i="3"/>
  <c r="BO86" i="3"/>
  <c r="BO90" i="3"/>
  <c r="BO59" i="3"/>
  <c r="BO54" i="3"/>
  <c r="BO72" i="3"/>
  <c r="BO92" i="3"/>
  <c r="BO91" i="3"/>
  <c r="BO109" i="3"/>
  <c r="BO63" i="3"/>
  <c r="BO66" i="3"/>
  <c r="BO108" i="3"/>
  <c r="BO64" i="3"/>
  <c r="BO61" i="3"/>
  <c r="BO114" i="3"/>
  <c r="BO94" i="3"/>
  <c r="BO98" i="3"/>
  <c r="BO65" i="3"/>
  <c r="BO56" i="3"/>
  <c r="BO120" i="3"/>
  <c r="BO113" i="3"/>
  <c r="BO93" i="3"/>
  <c r="BO76" i="3"/>
  <c r="BO110" i="3"/>
  <c r="BO97" i="3"/>
  <c r="BO79" i="3"/>
  <c r="BO71" i="3"/>
  <c r="BO78" i="3"/>
  <c r="BO112" i="3"/>
  <c r="BO100" i="3"/>
  <c r="BO88" i="3"/>
  <c r="AY27" i="3"/>
  <c r="AQ35" i="15"/>
  <c r="AJ34" i="15"/>
  <c r="AK34" i="15" s="1"/>
  <c r="AE34" i="15"/>
  <c r="AF34" i="15" s="1"/>
  <c r="AG27" i="15"/>
  <c r="AQ27" i="15"/>
  <c r="AG26" i="15"/>
  <c r="AQ26" i="15"/>
  <c r="AL26" i="15"/>
  <c r="BB26" i="15"/>
  <c r="AO26" i="15"/>
  <c r="AP26" i="15" s="1"/>
  <c r="AJ26" i="15"/>
  <c r="AK26" i="15" s="1"/>
  <c r="CO26" i="15"/>
  <c r="CO68" i="15" s="1"/>
  <c r="BB34" i="15"/>
  <c r="AE30" i="15"/>
  <c r="AF30" i="15" s="1"/>
  <c r="AL35" i="15"/>
  <c r="AL34" i="15"/>
  <c r="BT71" i="3"/>
  <c r="BU70" i="3"/>
  <c r="C70" i="3" s="1"/>
  <c r="CG72" i="3"/>
  <c r="D73" i="3"/>
  <c r="AE28" i="15"/>
  <c r="AF28" i="15" s="1"/>
  <c r="BB32" i="15"/>
  <c r="AE32" i="15"/>
  <c r="AF32" i="15" s="1"/>
  <c r="AO36" i="15"/>
  <c r="AP36" i="15" s="1"/>
  <c r="BB36" i="15"/>
  <c r="BB28" i="15"/>
  <c r="AE26" i="15"/>
  <c r="BX36" i="15"/>
  <c r="EC36" i="15" s="1"/>
  <c r="BS36" i="15" s="1"/>
  <c r="BX42" i="15"/>
  <c r="EC42" i="15" s="1"/>
  <c r="BS42" i="15" s="1"/>
  <c r="BB29" i="15"/>
  <c r="AE29" i="15"/>
  <c r="BX34" i="15"/>
  <c r="EC34" i="15" s="1"/>
  <c r="BS34" i="15" s="1"/>
  <c r="BX35" i="15"/>
  <c r="EC35" i="15" s="1"/>
  <c r="BS35" i="15" s="1"/>
  <c r="BX26" i="15"/>
  <c r="BX29" i="15"/>
  <c r="EC29" i="15" s="1"/>
  <c r="BS29" i="15" s="1"/>
  <c r="BX33" i="15"/>
  <c r="EC33" i="15" s="1"/>
  <c r="BS33" i="15" s="1"/>
  <c r="BX30" i="15"/>
  <c r="EC30" i="15" s="1"/>
  <c r="BS30" i="15" s="1"/>
  <c r="BX27" i="15"/>
  <c r="EC27" i="15" s="1"/>
  <c r="BS27" i="15" s="1"/>
  <c r="BX31" i="15"/>
  <c r="EC31" i="15" s="1"/>
  <c r="BS31" i="15" s="1"/>
  <c r="BX28" i="15"/>
  <c r="EC28" i="15" s="1"/>
  <c r="BS28" i="15" s="1"/>
  <c r="BX32" i="15"/>
  <c r="EC32" i="15" s="1"/>
  <c r="BS32" i="15" s="1"/>
  <c r="I140" i="15"/>
  <c r="H117" i="15"/>
  <c r="H116" i="15"/>
  <c r="O16" i="15" s="1"/>
  <c r="BO45" i="3" l="1"/>
  <c r="BO52" i="3"/>
  <c r="BO53" i="3"/>
  <c r="BO49" i="3"/>
  <c r="BO38" i="3"/>
  <c r="BO39" i="3"/>
  <c r="BO40" i="3"/>
  <c r="BO36" i="3"/>
  <c r="BO50" i="3"/>
  <c r="BO47" i="3"/>
  <c r="BO43" i="3"/>
  <c r="BO51" i="3"/>
  <c r="BO35" i="3"/>
  <c r="BO41" i="3"/>
  <c r="BO48" i="3"/>
  <c r="BO37" i="3"/>
  <c r="BO44" i="3"/>
  <c r="BO42" i="3"/>
  <c r="BO46" i="3"/>
  <c r="BO34" i="3"/>
  <c r="BO29" i="3"/>
  <c r="BO33" i="3"/>
  <c r="BO32" i="3"/>
  <c r="BO31" i="3"/>
  <c r="BO30" i="3"/>
  <c r="BO25" i="3"/>
  <c r="BO26" i="3"/>
  <c r="BO28" i="3"/>
  <c r="B23" i="13"/>
  <c r="BO24" i="3"/>
  <c r="S591" i="3"/>
  <c r="BN26" i="3" s="1"/>
  <c r="BP26" i="3" s="1"/>
  <c r="AW26" i="3" s="1"/>
  <c r="W26" i="3" s="1"/>
  <c r="P564" i="3"/>
  <c r="U591" i="3"/>
  <c r="P565" i="3"/>
  <c r="E527" i="3" s="1"/>
  <c r="U594" i="3"/>
  <c r="AK68" i="15"/>
  <c r="AJ68" i="15" s="1"/>
  <c r="AG68" i="15"/>
  <c r="I149" i="15"/>
  <c r="BT30" i="15" s="1"/>
  <c r="I157" i="15"/>
  <c r="AQ68" i="15"/>
  <c r="AP68" i="15"/>
  <c r="AO68" i="15" s="1"/>
  <c r="AF26" i="15"/>
  <c r="O89" i="15"/>
  <c r="BT36" i="15"/>
  <c r="AL68" i="15"/>
  <c r="I153" i="15"/>
  <c r="BT34" i="15" s="1"/>
  <c r="BT31" i="15"/>
  <c r="BT32" i="15"/>
  <c r="BT72" i="3"/>
  <c r="BU71" i="3"/>
  <c r="C71" i="3" s="1"/>
  <c r="D74" i="3"/>
  <c r="CG73" i="3"/>
  <c r="AF29" i="15"/>
  <c r="BX68" i="15"/>
  <c r="BX69" i="15" s="1"/>
  <c r="EC26" i="15"/>
  <c r="EC23" i="15" s="1"/>
  <c r="B24" i="13" l="1"/>
  <c r="B25" i="13" s="1"/>
  <c r="BT28" i="15"/>
  <c r="BN25" i="3"/>
  <c r="BP25" i="3" s="1"/>
  <c r="AW25" i="3" s="1"/>
  <c r="W25" i="3" s="1"/>
  <c r="BN27" i="3"/>
  <c r="BP27" i="3" s="1"/>
  <c r="AW27" i="3" s="1"/>
  <c r="W27" i="3" s="1"/>
  <c r="BN29" i="3"/>
  <c r="BP29" i="3" s="1"/>
  <c r="AW29" i="3" s="1"/>
  <c r="W29" i="3" s="1"/>
  <c r="BN24" i="3"/>
  <c r="BP24" i="3" s="1"/>
  <c r="AW24" i="3" s="1"/>
  <c r="W24" i="3" s="1"/>
  <c r="BN378" i="3"/>
  <c r="BP378" i="3" s="1"/>
  <c r="AW378" i="3" s="1"/>
  <c r="W378" i="3" s="1"/>
  <c r="BN402" i="3"/>
  <c r="BP402" i="3" s="1"/>
  <c r="AW402" i="3" s="1"/>
  <c r="W402" i="3" s="1"/>
  <c r="BN451" i="3"/>
  <c r="BP451" i="3" s="1"/>
  <c r="AW451" i="3" s="1"/>
  <c r="W451" i="3" s="1"/>
  <c r="BN299" i="3"/>
  <c r="BP299" i="3" s="1"/>
  <c r="AW299" i="3" s="1"/>
  <c r="W299" i="3" s="1"/>
  <c r="BN437" i="3"/>
  <c r="BP437" i="3" s="1"/>
  <c r="AW437" i="3" s="1"/>
  <c r="W437" i="3" s="1"/>
  <c r="BN418" i="3"/>
  <c r="BP418" i="3" s="1"/>
  <c r="AW418" i="3" s="1"/>
  <c r="W418" i="3" s="1"/>
  <c r="BN455" i="3"/>
  <c r="BP455" i="3" s="1"/>
  <c r="AW455" i="3" s="1"/>
  <c r="W455" i="3" s="1"/>
  <c r="BN373" i="3"/>
  <c r="BP373" i="3" s="1"/>
  <c r="AW373" i="3" s="1"/>
  <c r="W373" i="3" s="1"/>
  <c r="BN429" i="3"/>
  <c r="BP429" i="3" s="1"/>
  <c r="AW429" i="3" s="1"/>
  <c r="W429" i="3" s="1"/>
  <c r="BN435" i="3"/>
  <c r="BP435" i="3" s="1"/>
  <c r="AW435" i="3" s="1"/>
  <c r="W435" i="3" s="1"/>
  <c r="BN425" i="3"/>
  <c r="BP425" i="3" s="1"/>
  <c r="AW425" i="3" s="1"/>
  <c r="W425" i="3" s="1"/>
  <c r="BN294" i="3"/>
  <c r="BP294" i="3" s="1"/>
  <c r="AW294" i="3" s="1"/>
  <c r="W294" i="3" s="1"/>
  <c r="BN242" i="3"/>
  <c r="BP242" i="3" s="1"/>
  <c r="AW242" i="3" s="1"/>
  <c r="W242" i="3" s="1"/>
  <c r="BN500" i="3"/>
  <c r="BP500" i="3" s="1"/>
  <c r="AW500" i="3" s="1"/>
  <c r="W500" i="3" s="1"/>
  <c r="BN427" i="3"/>
  <c r="BP427" i="3" s="1"/>
  <c r="AW427" i="3" s="1"/>
  <c r="W427" i="3" s="1"/>
  <c r="BN274" i="3"/>
  <c r="BP274" i="3" s="1"/>
  <c r="AW274" i="3" s="1"/>
  <c r="W274" i="3" s="1"/>
  <c r="BN351" i="3"/>
  <c r="BP351" i="3" s="1"/>
  <c r="AW351" i="3" s="1"/>
  <c r="W351" i="3" s="1"/>
  <c r="BN244" i="3"/>
  <c r="BP244" i="3" s="1"/>
  <c r="AW244" i="3" s="1"/>
  <c r="W244" i="3" s="1"/>
  <c r="BN488" i="3"/>
  <c r="BP488" i="3" s="1"/>
  <c r="AW488" i="3" s="1"/>
  <c r="W488" i="3" s="1"/>
  <c r="BN264" i="3"/>
  <c r="BP264" i="3" s="1"/>
  <c r="AW264" i="3" s="1"/>
  <c r="W264" i="3" s="1"/>
  <c r="BN452" i="3"/>
  <c r="BP452" i="3" s="1"/>
  <c r="AW452" i="3" s="1"/>
  <c r="W452" i="3" s="1"/>
  <c r="BN470" i="3"/>
  <c r="BP470" i="3" s="1"/>
  <c r="AW470" i="3" s="1"/>
  <c r="W470" i="3" s="1"/>
  <c r="BN454" i="3"/>
  <c r="BP454" i="3" s="1"/>
  <c r="AW454" i="3" s="1"/>
  <c r="W454" i="3" s="1"/>
  <c r="BN472" i="3"/>
  <c r="BP472" i="3" s="1"/>
  <c r="AW472" i="3" s="1"/>
  <c r="W472" i="3" s="1"/>
  <c r="BN426" i="3"/>
  <c r="BP426" i="3" s="1"/>
  <c r="AW426" i="3" s="1"/>
  <c r="W426" i="3" s="1"/>
  <c r="BN282" i="3"/>
  <c r="BP282" i="3" s="1"/>
  <c r="AW282" i="3" s="1"/>
  <c r="W282" i="3" s="1"/>
  <c r="BN440" i="3"/>
  <c r="BP440" i="3" s="1"/>
  <c r="AW440" i="3" s="1"/>
  <c r="W440" i="3" s="1"/>
  <c r="BN353" i="3"/>
  <c r="BP353" i="3" s="1"/>
  <c r="AW353" i="3" s="1"/>
  <c r="W353" i="3" s="1"/>
  <c r="BN298" i="3"/>
  <c r="BP298" i="3" s="1"/>
  <c r="AW298" i="3" s="1"/>
  <c r="W298" i="3" s="1"/>
  <c r="BN504" i="3"/>
  <c r="BP504" i="3" s="1"/>
  <c r="AW504" i="3" s="1"/>
  <c r="W504" i="3" s="1"/>
  <c r="BN266" i="3"/>
  <c r="BP266" i="3" s="1"/>
  <c r="AW266" i="3" s="1"/>
  <c r="W266" i="3" s="1"/>
  <c r="BN268" i="3"/>
  <c r="BP268" i="3" s="1"/>
  <c r="AW268" i="3" s="1"/>
  <c r="W268" i="3" s="1"/>
  <c r="BN364" i="3"/>
  <c r="BP364" i="3" s="1"/>
  <c r="AW364" i="3" s="1"/>
  <c r="W364" i="3" s="1"/>
  <c r="BN397" i="3"/>
  <c r="BP397" i="3" s="1"/>
  <c r="AW397" i="3" s="1"/>
  <c r="W397" i="3" s="1"/>
  <c r="BN246" i="3"/>
  <c r="BP246" i="3" s="1"/>
  <c r="AW246" i="3" s="1"/>
  <c r="W246" i="3" s="1"/>
  <c r="BN374" i="3"/>
  <c r="BP374" i="3" s="1"/>
  <c r="AW374" i="3" s="1"/>
  <c r="W374" i="3" s="1"/>
  <c r="BN270" i="3"/>
  <c r="BP270" i="3" s="1"/>
  <c r="AW270" i="3" s="1"/>
  <c r="W270" i="3" s="1"/>
  <c r="BN422" i="3"/>
  <c r="BP422" i="3" s="1"/>
  <c r="AW422" i="3" s="1"/>
  <c r="W422" i="3" s="1"/>
  <c r="BN302" i="3"/>
  <c r="BP302" i="3" s="1"/>
  <c r="AW302" i="3" s="1"/>
  <c r="W302" i="3" s="1"/>
  <c r="BN275" i="3"/>
  <c r="BP275" i="3" s="1"/>
  <c r="AW275" i="3" s="1"/>
  <c r="W275" i="3" s="1"/>
  <c r="BN443" i="3"/>
  <c r="BP443" i="3" s="1"/>
  <c r="AW443" i="3" s="1"/>
  <c r="W443" i="3" s="1"/>
  <c r="BN424" i="3"/>
  <c r="BP424" i="3" s="1"/>
  <c r="AW424" i="3" s="1"/>
  <c r="W424" i="3" s="1"/>
  <c r="BN447" i="3"/>
  <c r="BP447" i="3" s="1"/>
  <c r="AW447" i="3" s="1"/>
  <c r="W447" i="3" s="1"/>
  <c r="BN431" i="3"/>
  <c r="BP431" i="3" s="1"/>
  <c r="AW431" i="3" s="1"/>
  <c r="W431" i="3" s="1"/>
  <c r="BN522" i="3"/>
  <c r="BP522" i="3" s="1"/>
  <c r="AW522" i="3" s="1"/>
  <c r="W522" i="3" s="1"/>
  <c r="BN290" i="3"/>
  <c r="BP290" i="3" s="1"/>
  <c r="AW290" i="3" s="1"/>
  <c r="W290" i="3" s="1"/>
  <c r="BN245" i="3"/>
  <c r="BP245" i="3" s="1"/>
  <c r="AW245" i="3" s="1"/>
  <c r="W245" i="3" s="1"/>
  <c r="BN306" i="3"/>
  <c r="BP306" i="3" s="1"/>
  <c r="AW306" i="3" s="1"/>
  <c r="W306" i="3" s="1"/>
  <c r="BN393" i="3"/>
  <c r="BP393" i="3" s="1"/>
  <c r="AW393" i="3" s="1"/>
  <c r="W393" i="3" s="1"/>
  <c r="BN505" i="3"/>
  <c r="BP505" i="3" s="1"/>
  <c r="AW505" i="3" s="1"/>
  <c r="W505" i="3" s="1"/>
  <c r="BN335" i="3"/>
  <c r="BP335" i="3" s="1"/>
  <c r="AW335" i="3" s="1"/>
  <c r="W335" i="3" s="1"/>
  <c r="BN271" i="3"/>
  <c r="BP271" i="3" s="1"/>
  <c r="AW271" i="3" s="1"/>
  <c r="W271" i="3" s="1"/>
  <c r="BN249" i="3"/>
  <c r="BP249" i="3" s="1"/>
  <c r="AW249" i="3" s="1"/>
  <c r="W249" i="3" s="1"/>
  <c r="BN439" i="3"/>
  <c r="BP439" i="3" s="1"/>
  <c r="AW439" i="3" s="1"/>
  <c r="W439" i="3" s="1"/>
  <c r="BN254" i="3"/>
  <c r="BP254" i="3" s="1"/>
  <c r="AW254" i="3" s="1"/>
  <c r="W254" i="3" s="1"/>
  <c r="BN318" i="3"/>
  <c r="BP318" i="3" s="1"/>
  <c r="AW318" i="3" s="1"/>
  <c r="W318" i="3" s="1"/>
  <c r="BN482" i="3"/>
  <c r="BP482" i="3" s="1"/>
  <c r="AW482" i="3" s="1"/>
  <c r="W482" i="3" s="1"/>
  <c r="BN436" i="3"/>
  <c r="BP436" i="3" s="1"/>
  <c r="AW436" i="3" s="1"/>
  <c r="W436" i="3" s="1"/>
  <c r="BN297" i="3"/>
  <c r="BP297" i="3" s="1"/>
  <c r="AW297" i="3" s="1"/>
  <c r="W297" i="3" s="1"/>
  <c r="BN247" i="3"/>
  <c r="BP247" i="3" s="1"/>
  <c r="AW247" i="3" s="1"/>
  <c r="W247" i="3" s="1"/>
  <c r="BN449" i="3"/>
  <c r="BP449" i="3" s="1"/>
  <c r="AW449" i="3" s="1"/>
  <c r="W449" i="3" s="1"/>
  <c r="BN314" i="3"/>
  <c r="BP314" i="3" s="1"/>
  <c r="AW314" i="3" s="1"/>
  <c r="W314" i="3" s="1"/>
  <c r="BN467" i="3"/>
  <c r="BP467" i="3" s="1"/>
  <c r="AW467" i="3" s="1"/>
  <c r="W467" i="3" s="1"/>
  <c r="BN514" i="3"/>
  <c r="BP514" i="3" s="1"/>
  <c r="AW514" i="3" s="1"/>
  <c r="W514" i="3" s="1"/>
  <c r="BN409" i="3"/>
  <c r="BP409" i="3" s="1"/>
  <c r="AW409" i="3" s="1"/>
  <c r="W409" i="3" s="1"/>
  <c r="BN478" i="3"/>
  <c r="BP478" i="3" s="1"/>
  <c r="AW478" i="3" s="1"/>
  <c r="W478" i="3" s="1"/>
  <c r="BN320" i="3"/>
  <c r="BP320" i="3" s="1"/>
  <c r="AW320" i="3" s="1"/>
  <c r="W320" i="3" s="1"/>
  <c r="BN398" i="3"/>
  <c r="BP398" i="3" s="1"/>
  <c r="AW398" i="3" s="1"/>
  <c r="W398" i="3" s="1"/>
  <c r="BN382" i="3"/>
  <c r="BP382" i="3" s="1"/>
  <c r="AW382" i="3" s="1"/>
  <c r="W382" i="3" s="1"/>
  <c r="BN406" i="3"/>
  <c r="BP406" i="3" s="1"/>
  <c r="AW406" i="3" s="1"/>
  <c r="W406" i="3" s="1"/>
  <c r="BN323" i="3"/>
  <c r="BP323" i="3" s="1"/>
  <c r="AW323" i="3" s="1"/>
  <c r="W323" i="3" s="1"/>
  <c r="BN310" i="3"/>
  <c r="BP310" i="3" s="1"/>
  <c r="AW310" i="3" s="1"/>
  <c r="W310" i="3" s="1"/>
  <c r="BN501" i="3"/>
  <c r="BP501" i="3" s="1"/>
  <c r="AW501" i="3" s="1"/>
  <c r="W501" i="3" s="1"/>
  <c r="BN257" i="3"/>
  <c r="BP257" i="3" s="1"/>
  <c r="AW257" i="3" s="1"/>
  <c r="W257" i="3" s="1"/>
  <c r="BN400" i="3"/>
  <c r="BP400" i="3" s="1"/>
  <c r="AW400" i="3" s="1"/>
  <c r="W400" i="3" s="1"/>
  <c r="BN296" i="3"/>
  <c r="BP296" i="3" s="1"/>
  <c r="AW296" i="3" s="1"/>
  <c r="W296" i="3" s="1"/>
  <c r="BN368" i="3"/>
  <c r="BP368" i="3" s="1"/>
  <c r="AW368" i="3" s="1"/>
  <c r="W368" i="3" s="1"/>
  <c r="BN369" i="3"/>
  <c r="BP369" i="3" s="1"/>
  <c r="AW369" i="3" s="1"/>
  <c r="W369" i="3" s="1"/>
  <c r="BN474" i="3"/>
  <c r="BP474" i="3" s="1"/>
  <c r="AW474" i="3" s="1"/>
  <c r="W474" i="3" s="1"/>
  <c r="BN516" i="3"/>
  <c r="BP516" i="3" s="1"/>
  <c r="AW516" i="3" s="1"/>
  <c r="W516" i="3" s="1"/>
  <c r="BN278" i="3"/>
  <c r="BP278" i="3" s="1"/>
  <c r="AW278" i="3" s="1"/>
  <c r="W278" i="3" s="1"/>
  <c r="BN399" i="3"/>
  <c r="BP399" i="3" s="1"/>
  <c r="AW399" i="3" s="1"/>
  <c r="W399" i="3" s="1"/>
  <c r="BN476" i="3"/>
  <c r="BP476" i="3" s="1"/>
  <c r="AW476" i="3" s="1"/>
  <c r="W476" i="3" s="1"/>
  <c r="BN518" i="3"/>
  <c r="BP518" i="3" s="1"/>
  <c r="AW518" i="3" s="1"/>
  <c r="W518" i="3" s="1"/>
  <c r="BN510" i="3"/>
  <c r="BP510" i="3" s="1"/>
  <c r="AW510" i="3" s="1"/>
  <c r="W510" i="3" s="1"/>
  <c r="BN480" i="3"/>
  <c r="BP480" i="3" s="1"/>
  <c r="AW480" i="3" s="1"/>
  <c r="W480" i="3" s="1"/>
  <c r="BN377" i="3"/>
  <c r="BP377" i="3" s="1"/>
  <c r="AW377" i="3" s="1"/>
  <c r="W377" i="3" s="1"/>
  <c r="BN324" i="3"/>
  <c r="BP324" i="3" s="1"/>
  <c r="AW324" i="3" s="1"/>
  <c r="W324" i="3" s="1"/>
  <c r="BN428" i="3"/>
  <c r="BP428" i="3" s="1"/>
  <c r="AW428" i="3" s="1"/>
  <c r="W428" i="3" s="1"/>
  <c r="BN303" i="3"/>
  <c r="BP303" i="3" s="1"/>
  <c r="AW303" i="3" s="1"/>
  <c r="W303" i="3" s="1"/>
  <c r="BN370" i="3"/>
  <c r="BP370" i="3" s="1"/>
  <c r="AW370" i="3" s="1"/>
  <c r="W370" i="3" s="1"/>
  <c r="BN224" i="3"/>
  <c r="BP224" i="3" s="1"/>
  <c r="AW224" i="3" s="1"/>
  <c r="W224" i="3" s="1"/>
  <c r="BN389" i="3"/>
  <c r="BP389" i="3" s="1"/>
  <c r="AW389" i="3" s="1"/>
  <c r="W389" i="3" s="1"/>
  <c r="BN251" i="3"/>
  <c r="BP251" i="3" s="1"/>
  <c r="AW251" i="3" s="1"/>
  <c r="W251" i="3" s="1"/>
  <c r="BN433" i="3"/>
  <c r="BP433" i="3" s="1"/>
  <c r="AW433" i="3" s="1"/>
  <c r="W433" i="3" s="1"/>
  <c r="BN269" i="3"/>
  <c r="BP269" i="3" s="1"/>
  <c r="AW269" i="3" s="1"/>
  <c r="W269" i="3" s="1"/>
  <c r="BN385" i="3"/>
  <c r="BP385" i="3" s="1"/>
  <c r="AW385" i="3" s="1"/>
  <c r="W385" i="3" s="1"/>
  <c r="BN469" i="3"/>
  <c r="BP469" i="3" s="1"/>
  <c r="AW469" i="3" s="1"/>
  <c r="W469" i="3" s="1"/>
  <c r="BN489" i="3"/>
  <c r="BP489" i="3" s="1"/>
  <c r="AW489" i="3" s="1"/>
  <c r="W489" i="3" s="1"/>
  <c r="BN517" i="3"/>
  <c r="BP517" i="3" s="1"/>
  <c r="AW517" i="3" s="1"/>
  <c r="W517" i="3" s="1"/>
  <c r="BN229" i="3"/>
  <c r="BP229" i="3" s="1"/>
  <c r="AW229" i="3" s="1"/>
  <c r="W229" i="3" s="1"/>
  <c r="BN233" i="3"/>
  <c r="BP233" i="3" s="1"/>
  <c r="AW233" i="3" s="1"/>
  <c r="W233" i="3" s="1"/>
  <c r="BN258" i="3"/>
  <c r="BP258" i="3" s="1"/>
  <c r="AW258" i="3" s="1"/>
  <c r="W258" i="3" s="1"/>
  <c r="BN261" i="3"/>
  <c r="BP261" i="3" s="1"/>
  <c r="AW261" i="3" s="1"/>
  <c r="W261" i="3" s="1"/>
  <c r="BN283" i="3"/>
  <c r="BP283" i="3" s="1"/>
  <c r="AW283" i="3" s="1"/>
  <c r="W283" i="3" s="1"/>
  <c r="BN295" i="3"/>
  <c r="BP295" i="3" s="1"/>
  <c r="AW295" i="3" s="1"/>
  <c r="W295" i="3" s="1"/>
  <c r="BN308" i="3"/>
  <c r="BP308" i="3" s="1"/>
  <c r="AW308" i="3" s="1"/>
  <c r="W308" i="3" s="1"/>
  <c r="BN305" i="3"/>
  <c r="BP305" i="3" s="1"/>
  <c r="AW305" i="3" s="1"/>
  <c r="W305" i="3" s="1"/>
  <c r="BN326" i="3"/>
  <c r="BP326" i="3" s="1"/>
  <c r="AW326" i="3" s="1"/>
  <c r="W326" i="3" s="1"/>
  <c r="BN340" i="3"/>
  <c r="BP340" i="3" s="1"/>
  <c r="AW340" i="3" s="1"/>
  <c r="W340" i="3" s="1"/>
  <c r="BN341" i="3"/>
  <c r="BP341" i="3" s="1"/>
  <c r="AW341" i="3" s="1"/>
  <c r="W341" i="3" s="1"/>
  <c r="BN388" i="3"/>
  <c r="BP388" i="3" s="1"/>
  <c r="AW388" i="3" s="1"/>
  <c r="W388" i="3" s="1"/>
  <c r="BN376" i="3"/>
  <c r="BP376" i="3" s="1"/>
  <c r="AW376" i="3" s="1"/>
  <c r="W376" i="3" s="1"/>
  <c r="BN414" i="3"/>
  <c r="BP414" i="3" s="1"/>
  <c r="AW414" i="3" s="1"/>
  <c r="W414" i="3" s="1"/>
  <c r="BN286" i="3"/>
  <c r="BP286" i="3" s="1"/>
  <c r="AW286" i="3" s="1"/>
  <c r="W286" i="3" s="1"/>
  <c r="BN453" i="3"/>
  <c r="BP453" i="3" s="1"/>
  <c r="AW453" i="3" s="1"/>
  <c r="W453" i="3" s="1"/>
  <c r="BN471" i="3"/>
  <c r="BP471" i="3" s="1"/>
  <c r="AW471" i="3" s="1"/>
  <c r="W471" i="3" s="1"/>
  <c r="BN473" i="3"/>
  <c r="BP473" i="3" s="1"/>
  <c r="AW473" i="3" s="1"/>
  <c r="W473" i="3" s="1"/>
  <c r="BN502" i="3"/>
  <c r="BP502" i="3" s="1"/>
  <c r="AW502" i="3" s="1"/>
  <c r="W502" i="3" s="1"/>
  <c r="BN503" i="3"/>
  <c r="BP503" i="3" s="1"/>
  <c r="AW503" i="3" s="1"/>
  <c r="W503" i="3" s="1"/>
  <c r="BN511" i="3"/>
  <c r="BP511" i="3" s="1"/>
  <c r="AW511" i="3" s="1"/>
  <c r="W511" i="3" s="1"/>
  <c r="BN255" i="3"/>
  <c r="BP255" i="3" s="1"/>
  <c r="AW255" i="3" s="1"/>
  <c r="W255" i="3" s="1"/>
  <c r="BN236" i="3"/>
  <c r="BP236" i="3" s="1"/>
  <c r="AW236" i="3" s="1"/>
  <c r="W236" i="3" s="1"/>
  <c r="BN235" i="3"/>
  <c r="BP235" i="3" s="1"/>
  <c r="AW235" i="3" s="1"/>
  <c r="W235" i="3" s="1"/>
  <c r="BN265" i="3"/>
  <c r="BP265" i="3" s="1"/>
  <c r="AW265" i="3" s="1"/>
  <c r="W265" i="3" s="1"/>
  <c r="BN277" i="3"/>
  <c r="BP277" i="3" s="1"/>
  <c r="AW277" i="3" s="1"/>
  <c r="W277" i="3" s="1"/>
  <c r="BN262" i="3"/>
  <c r="BP262" i="3" s="1"/>
  <c r="AW262" i="3" s="1"/>
  <c r="W262" i="3" s="1"/>
  <c r="BN281" i="3"/>
  <c r="BP281" i="3" s="1"/>
  <c r="AW281" i="3" s="1"/>
  <c r="W281" i="3" s="1"/>
  <c r="BN321" i="3"/>
  <c r="BP321" i="3" s="1"/>
  <c r="AW321" i="3" s="1"/>
  <c r="W321" i="3" s="1"/>
  <c r="BN301" i="3"/>
  <c r="BP301" i="3" s="1"/>
  <c r="AW301" i="3" s="1"/>
  <c r="W301" i="3" s="1"/>
  <c r="BN312" i="3"/>
  <c r="BP312" i="3" s="1"/>
  <c r="AW312" i="3" s="1"/>
  <c r="W312" i="3" s="1"/>
  <c r="BN309" i="3"/>
  <c r="BP309" i="3" s="1"/>
  <c r="AW309" i="3" s="1"/>
  <c r="W309" i="3" s="1"/>
  <c r="BN329" i="3"/>
  <c r="BP329" i="3" s="1"/>
  <c r="AW329" i="3" s="1"/>
  <c r="W329" i="3" s="1"/>
  <c r="BN330" i="3"/>
  <c r="BP330" i="3" s="1"/>
  <c r="AW330" i="3" s="1"/>
  <c r="W330" i="3" s="1"/>
  <c r="BN350" i="3"/>
  <c r="BP350" i="3" s="1"/>
  <c r="AW350" i="3" s="1"/>
  <c r="W350" i="3" s="1"/>
  <c r="BN345" i="3"/>
  <c r="BP345" i="3" s="1"/>
  <c r="AW345" i="3" s="1"/>
  <c r="W345" i="3" s="1"/>
  <c r="BN358" i="3"/>
  <c r="BP358" i="3" s="1"/>
  <c r="AW358" i="3" s="1"/>
  <c r="W358" i="3" s="1"/>
  <c r="BN375" i="3"/>
  <c r="BP375" i="3" s="1"/>
  <c r="AW375" i="3" s="1"/>
  <c r="W375" i="3" s="1"/>
  <c r="BN380" i="3"/>
  <c r="BP380" i="3" s="1"/>
  <c r="AW380" i="3" s="1"/>
  <c r="W380" i="3" s="1"/>
  <c r="BN410" i="3"/>
  <c r="BP410" i="3" s="1"/>
  <c r="AW410" i="3" s="1"/>
  <c r="W410" i="3" s="1"/>
  <c r="BN456" i="3"/>
  <c r="BP456" i="3" s="1"/>
  <c r="AW456" i="3" s="1"/>
  <c r="W456" i="3" s="1"/>
  <c r="BN432" i="3"/>
  <c r="BP432" i="3" s="1"/>
  <c r="AW432" i="3" s="1"/>
  <c r="W432" i="3" s="1"/>
  <c r="BN458" i="3"/>
  <c r="BP458" i="3" s="1"/>
  <c r="AW458" i="3" s="1"/>
  <c r="W458" i="3" s="1"/>
  <c r="BN496" i="3"/>
  <c r="BP496" i="3" s="1"/>
  <c r="AW496" i="3" s="1"/>
  <c r="W496" i="3" s="1"/>
  <c r="BN442" i="3"/>
  <c r="BP442" i="3" s="1"/>
  <c r="AW442" i="3" s="1"/>
  <c r="W442" i="3" s="1"/>
  <c r="BN457" i="3"/>
  <c r="BP457" i="3" s="1"/>
  <c r="AW457" i="3" s="1"/>
  <c r="W457" i="3" s="1"/>
  <c r="BN493" i="3"/>
  <c r="BP493" i="3" s="1"/>
  <c r="AW493" i="3" s="1"/>
  <c r="W493" i="3" s="1"/>
  <c r="BN487" i="3"/>
  <c r="BP487" i="3" s="1"/>
  <c r="AW487" i="3" s="1"/>
  <c r="W487" i="3" s="1"/>
  <c r="BN506" i="3"/>
  <c r="BP506" i="3" s="1"/>
  <c r="AW506" i="3" s="1"/>
  <c r="W506" i="3" s="1"/>
  <c r="BN507" i="3"/>
  <c r="BP507" i="3" s="1"/>
  <c r="AW507" i="3" s="1"/>
  <c r="W507" i="3" s="1"/>
  <c r="BN509" i="3"/>
  <c r="BP509" i="3" s="1"/>
  <c r="AW509" i="3" s="1"/>
  <c r="W509" i="3" s="1"/>
  <c r="BN237" i="3"/>
  <c r="BP237" i="3" s="1"/>
  <c r="AW237" i="3" s="1"/>
  <c r="W237" i="3" s="1"/>
  <c r="BN263" i="3"/>
  <c r="BP263" i="3" s="1"/>
  <c r="AW263" i="3" s="1"/>
  <c r="W263" i="3" s="1"/>
  <c r="BN273" i="3"/>
  <c r="BP273" i="3" s="1"/>
  <c r="AW273" i="3" s="1"/>
  <c r="W273" i="3" s="1"/>
  <c r="BN287" i="3"/>
  <c r="BP287" i="3" s="1"/>
  <c r="AW287" i="3" s="1"/>
  <c r="W287" i="3" s="1"/>
  <c r="BN307" i="3"/>
  <c r="BP307" i="3" s="1"/>
  <c r="AW307" i="3" s="1"/>
  <c r="W307" i="3" s="1"/>
  <c r="BN311" i="3"/>
  <c r="BP311" i="3" s="1"/>
  <c r="AW311" i="3" s="1"/>
  <c r="W311" i="3" s="1"/>
  <c r="BN316" i="3"/>
  <c r="BP316" i="3" s="1"/>
  <c r="AW316" i="3" s="1"/>
  <c r="W316" i="3" s="1"/>
  <c r="BN313" i="3"/>
  <c r="BP313" i="3" s="1"/>
  <c r="AW313" i="3" s="1"/>
  <c r="W313" i="3" s="1"/>
  <c r="BN319" i="3"/>
  <c r="BP319" i="3" s="1"/>
  <c r="AW319" i="3" s="1"/>
  <c r="W319" i="3" s="1"/>
  <c r="BN484" i="3"/>
  <c r="BP484" i="3" s="1"/>
  <c r="AW484" i="3" s="1"/>
  <c r="W484" i="3" s="1"/>
  <c r="BN444" i="3"/>
  <c r="BP444" i="3" s="1"/>
  <c r="AW444" i="3" s="1"/>
  <c r="W444" i="3" s="1"/>
  <c r="BN430" i="3"/>
  <c r="BP430" i="3" s="1"/>
  <c r="AW430" i="3" s="1"/>
  <c r="W430" i="3" s="1"/>
  <c r="BN441" i="3"/>
  <c r="BP441" i="3" s="1"/>
  <c r="AW441" i="3" s="1"/>
  <c r="W441" i="3" s="1"/>
  <c r="BN446" i="3"/>
  <c r="BP446" i="3" s="1"/>
  <c r="AW446" i="3" s="1"/>
  <c r="W446" i="3" s="1"/>
  <c r="BN464" i="3"/>
  <c r="BP464" i="3" s="1"/>
  <c r="AW464" i="3" s="1"/>
  <c r="W464" i="3" s="1"/>
  <c r="BN477" i="3"/>
  <c r="BP477" i="3" s="1"/>
  <c r="AW477" i="3" s="1"/>
  <c r="W477" i="3" s="1"/>
  <c r="BN475" i="3"/>
  <c r="BP475" i="3" s="1"/>
  <c r="AW475" i="3" s="1"/>
  <c r="W475" i="3" s="1"/>
  <c r="BN491" i="3"/>
  <c r="BP491" i="3" s="1"/>
  <c r="AW491" i="3" s="1"/>
  <c r="W491" i="3" s="1"/>
  <c r="BN515" i="3"/>
  <c r="BP515" i="3" s="1"/>
  <c r="AW515" i="3" s="1"/>
  <c r="W515" i="3" s="1"/>
  <c r="BN521" i="3"/>
  <c r="BP521" i="3" s="1"/>
  <c r="AW521" i="3" s="1"/>
  <c r="W521" i="3" s="1"/>
  <c r="BN238" i="3"/>
  <c r="BP238" i="3" s="1"/>
  <c r="AW238" i="3" s="1"/>
  <c r="W238" i="3" s="1"/>
  <c r="BN225" i="3"/>
  <c r="BP225" i="3" s="1"/>
  <c r="AW225" i="3" s="1"/>
  <c r="W225" i="3" s="1"/>
  <c r="BN267" i="3"/>
  <c r="BP267" i="3" s="1"/>
  <c r="AW267" i="3" s="1"/>
  <c r="W267" i="3" s="1"/>
  <c r="BN285" i="3"/>
  <c r="BP285" i="3" s="1"/>
  <c r="AW285" i="3" s="1"/>
  <c r="W285" i="3" s="1"/>
  <c r="BN317" i="3"/>
  <c r="BP317" i="3" s="1"/>
  <c r="AW317" i="3" s="1"/>
  <c r="W317" i="3" s="1"/>
  <c r="BN276" i="3"/>
  <c r="BP276" i="3" s="1"/>
  <c r="AW276" i="3" s="1"/>
  <c r="W276" i="3" s="1"/>
  <c r="BN508" i="3"/>
  <c r="BP508" i="3" s="1"/>
  <c r="AW508" i="3" s="1"/>
  <c r="W508" i="3" s="1"/>
  <c r="BN407" i="3"/>
  <c r="BP407" i="3" s="1"/>
  <c r="AW407" i="3" s="1"/>
  <c r="W407" i="3" s="1"/>
  <c r="BN450" i="3"/>
  <c r="BP450" i="3" s="1"/>
  <c r="AW450" i="3" s="1"/>
  <c r="W450" i="3" s="1"/>
  <c r="BN434" i="3"/>
  <c r="BP434" i="3" s="1"/>
  <c r="AW434" i="3" s="1"/>
  <c r="W434" i="3" s="1"/>
  <c r="BN468" i="3"/>
  <c r="BP468" i="3" s="1"/>
  <c r="AW468" i="3" s="1"/>
  <c r="W468" i="3" s="1"/>
  <c r="BN485" i="3"/>
  <c r="BP485" i="3" s="1"/>
  <c r="AW485" i="3" s="1"/>
  <c r="W485" i="3" s="1"/>
  <c r="BN479" i="3"/>
  <c r="BP479" i="3" s="1"/>
  <c r="AW479" i="3" s="1"/>
  <c r="W479" i="3" s="1"/>
  <c r="BN492" i="3"/>
  <c r="BP492" i="3" s="1"/>
  <c r="AW492" i="3" s="1"/>
  <c r="W492" i="3" s="1"/>
  <c r="BN486" i="3"/>
  <c r="BP486" i="3" s="1"/>
  <c r="AW486" i="3" s="1"/>
  <c r="W486" i="3" s="1"/>
  <c r="BN495" i="3"/>
  <c r="BP495" i="3" s="1"/>
  <c r="AW495" i="3" s="1"/>
  <c r="W495" i="3" s="1"/>
  <c r="BN520" i="3"/>
  <c r="BP520" i="3" s="1"/>
  <c r="AW520" i="3" s="1"/>
  <c r="W520" i="3" s="1"/>
  <c r="BN243" i="3"/>
  <c r="BP243" i="3" s="1"/>
  <c r="AW243" i="3" s="1"/>
  <c r="W243" i="3" s="1"/>
  <c r="BN253" i="3"/>
  <c r="BP253" i="3" s="1"/>
  <c r="AW253" i="3" s="1"/>
  <c r="W253" i="3" s="1"/>
  <c r="BN239" i="3"/>
  <c r="BP239" i="3" s="1"/>
  <c r="AW239" i="3" s="1"/>
  <c r="W239" i="3" s="1"/>
  <c r="BN228" i="3"/>
  <c r="BP228" i="3" s="1"/>
  <c r="AW228" i="3" s="1"/>
  <c r="W228" i="3" s="1"/>
  <c r="BN291" i="3"/>
  <c r="BP291" i="3" s="1"/>
  <c r="AW291" i="3" s="1"/>
  <c r="W291" i="3" s="1"/>
  <c r="BN280" i="3"/>
  <c r="BP280" i="3" s="1"/>
  <c r="AW280" i="3" s="1"/>
  <c r="W280" i="3" s="1"/>
  <c r="BN315" i="3"/>
  <c r="BP315" i="3" s="1"/>
  <c r="AW315" i="3" s="1"/>
  <c r="W315" i="3" s="1"/>
  <c r="BN332" i="3"/>
  <c r="BP332" i="3" s="1"/>
  <c r="AW332" i="3" s="1"/>
  <c r="W332" i="3" s="1"/>
  <c r="BN342" i="3"/>
  <c r="BP342" i="3" s="1"/>
  <c r="AW342" i="3" s="1"/>
  <c r="W342" i="3" s="1"/>
  <c r="BN343" i="3"/>
  <c r="BP343" i="3" s="1"/>
  <c r="AW343" i="3" s="1"/>
  <c r="W343" i="3" s="1"/>
  <c r="BN348" i="3"/>
  <c r="BP348" i="3" s="1"/>
  <c r="AW348" i="3" s="1"/>
  <c r="W348" i="3" s="1"/>
  <c r="BN512" i="3"/>
  <c r="BP512" i="3" s="1"/>
  <c r="AW512" i="3" s="1"/>
  <c r="W512" i="3" s="1"/>
  <c r="BN328" i="3"/>
  <c r="BP328" i="3" s="1"/>
  <c r="AW328" i="3" s="1"/>
  <c r="W328" i="3" s="1"/>
  <c r="BN279" i="3"/>
  <c r="BP279" i="3" s="1"/>
  <c r="AW279" i="3" s="1"/>
  <c r="W279" i="3" s="1"/>
  <c r="BN499" i="3"/>
  <c r="BP499" i="3" s="1"/>
  <c r="AW499" i="3" s="1"/>
  <c r="W499" i="3" s="1"/>
  <c r="BN466" i="3"/>
  <c r="BP466" i="3" s="1"/>
  <c r="AW466" i="3" s="1"/>
  <c r="W466" i="3" s="1"/>
  <c r="BN438" i="3"/>
  <c r="BP438" i="3" s="1"/>
  <c r="AW438" i="3" s="1"/>
  <c r="W438" i="3" s="1"/>
  <c r="BN445" i="3"/>
  <c r="BP445" i="3" s="1"/>
  <c r="AW445" i="3" s="1"/>
  <c r="W445" i="3" s="1"/>
  <c r="BN460" i="3"/>
  <c r="BP460" i="3" s="1"/>
  <c r="AW460" i="3" s="1"/>
  <c r="W460" i="3" s="1"/>
  <c r="BN461" i="3"/>
  <c r="BP461" i="3" s="1"/>
  <c r="AW461" i="3" s="1"/>
  <c r="W461" i="3" s="1"/>
  <c r="BN481" i="3"/>
  <c r="BP481" i="3" s="1"/>
  <c r="AW481" i="3" s="1"/>
  <c r="W481" i="3" s="1"/>
  <c r="BN483" i="3"/>
  <c r="BP483" i="3" s="1"/>
  <c r="AW483" i="3" s="1"/>
  <c r="W483" i="3" s="1"/>
  <c r="BN497" i="3"/>
  <c r="BP497" i="3" s="1"/>
  <c r="AW497" i="3" s="1"/>
  <c r="W497" i="3" s="1"/>
  <c r="BN240" i="3"/>
  <c r="BP240" i="3" s="1"/>
  <c r="AW240" i="3" s="1"/>
  <c r="W240" i="3" s="1"/>
  <c r="BN248" i="3"/>
  <c r="BP248" i="3" s="1"/>
  <c r="AW248" i="3" s="1"/>
  <c r="W248" i="3" s="1"/>
  <c r="BN226" i="3"/>
  <c r="BP226" i="3" s="1"/>
  <c r="AW226" i="3" s="1"/>
  <c r="W226" i="3" s="1"/>
  <c r="BN256" i="3"/>
  <c r="BP256" i="3" s="1"/>
  <c r="AW256" i="3" s="1"/>
  <c r="W256" i="3" s="1"/>
  <c r="BN231" i="3"/>
  <c r="BP231" i="3" s="1"/>
  <c r="AW231" i="3" s="1"/>
  <c r="W231" i="3" s="1"/>
  <c r="BN272" i="3"/>
  <c r="BP272" i="3" s="1"/>
  <c r="AW272" i="3" s="1"/>
  <c r="W272" i="3" s="1"/>
  <c r="BN284" i="3"/>
  <c r="BP284" i="3" s="1"/>
  <c r="AW284" i="3" s="1"/>
  <c r="W284" i="3" s="1"/>
  <c r="BN289" i="3"/>
  <c r="BP289" i="3" s="1"/>
  <c r="AW289" i="3" s="1"/>
  <c r="W289" i="3" s="1"/>
  <c r="BN462" i="3"/>
  <c r="BP462" i="3" s="1"/>
  <c r="AW462" i="3" s="1"/>
  <c r="W462" i="3" s="1"/>
  <c r="BN465" i="3"/>
  <c r="BP465" i="3" s="1"/>
  <c r="AW465" i="3" s="1"/>
  <c r="W465" i="3" s="1"/>
  <c r="BN490" i="3"/>
  <c r="BP490" i="3" s="1"/>
  <c r="AW490" i="3" s="1"/>
  <c r="W490" i="3" s="1"/>
  <c r="BN498" i="3"/>
  <c r="BP498" i="3" s="1"/>
  <c r="AW498" i="3" s="1"/>
  <c r="W498" i="3" s="1"/>
  <c r="BN519" i="3"/>
  <c r="BP519" i="3" s="1"/>
  <c r="AW519" i="3" s="1"/>
  <c r="W519" i="3" s="1"/>
  <c r="BN513" i="3"/>
  <c r="BP513" i="3" s="1"/>
  <c r="AW513" i="3" s="1"/>
  <c r="W513" i="3" s="1"/>
  <c r="BN241" i="3"/>
  <c r="BP241" i="3" s="1"/>
  <c r="AW241" i="3" s="1"/>
  <c r="W241" i="3" s="1"/>
  <c r="BN230" i="3"/>
  <c r="BP230" i="3" s="1"/>
  <c r="AW230" i="3" s="1"/>
  <c r="W230" i="3" s="1"/>
  <c r="BN234" i="3"/>
  <c r="BP234" i="3" s="1"/>
  <c r="AW234" i="3" s="1"/>
  <c r="W234" i="3" s="1"/>
  <c r="BN259" i="3"/>
  <c r="BP259" i="3" s="1"/>
  <c r="AW259" i="3" s="1"/>
  <c r="W259" i="3" s="1"/>
  <c r="BN288" i="3"/>
  <c r="BP288" i="3" s="1"/>
  <c r="AW288" i="3" s="1"/>
  <c r="W288" i="3" s="1"/>
  <c r="BN448" i="3"/>
  <c r="BP448" i="3" s="1"/>
  <c r="AW448" i="3" s="1"/>
  <c r="W448" i="3" s="1"/>
  <c r="BN459" i="3"/>
  <c r="BP459" i="3" s="1"/>
  <c r="AW459" i="3" s="1"/>
  <c r="W459" i="3" s="1"/>
  <c r="BN463" i="3"/>
  <c r="BP463" i="3" s="1"/>
  <c r="AW463" i="3" s="1"/>
  <c r="W463" i="3" s="1"/>
  <c r="BN494" i="3"/>
  <c r="BP494" i="3" s="1"/>
  <c r="AW494" i="3" s="1"/>
  <c r="W494" i="3" s="1"/>
  <c r="BN523" i="3"/>
  <c r="BP523" i="3" s="1"/>
  <c r="AW523" i="3" s="1"/>
  <c r="W523" i="3" s="1"/>
  <c r="BN250" i="3"/>
  <c r="BP250" i="3" s="1"/>
  <c r="AW250" i="3" s="1"/>
  <c r="W250" i="3" s="1"/>
  <c r="BN292" i="3"/>
  <c r="BP292" i="3" s="1"/>
  <c r="AW292" i="3" s="1"/>
  <c r="W292" i="3" s="1"/>
  <c r="BN347" i="3"/>
  <c r="BP347" i="3" s="1"/>
  <c r="AW347" i="3" s="1"/>
  <c r="W347" i="3" s="1"/>
  <c r="BN355" i="3"/>
  <c r="BP355" i="3" s="1"/>
  <c r="AW355" i="3" s="1"/>
  <c r="W355" i="3" s="1"/>
  <c r="BN362" i="3"/>
  <c r="BP362" i="3" s="1"/>
  <c r="AW362" i="3" s="1"/>
  <c r="W362" i="3" s="1"/>
  <c r="BN366" i="3"/>
  <c r="BP366" i="3" s="1"/>
  <c r="AW366" i="3" s="1"/>
  <c r="W366" i="3" s="1"/>
  <c r="BN379" i="3"/>
  <c r="BP379" i="3" s="1"/>
  <c r="AW379" i="3" s="1"/>
  <c r="W379" i="3" s="1"/>
  <c r="BN408" i="3"/>
  <c r="BP408" i="3" s="1"/>
  <c r="AW408" i="3" s="1"/>
  <c r="W408" i="3" s="1"/>
  <c r="BN417" i="3"/>
  <c r="BP417" i="3" s="1"/>
  <c r="AW417" i="3" s="1"/>
  <c r="W417" i="3" s="1"/>
  <c r="BN356" i="3"/>
  <c r="BP356" i="3" s="1"/>
  <c r="AW356" i="3" s="1"/>
  <c r="W356" i="3" s="1"/>
  <c r="BN363" i="3"/>
  <c r="BP363" i="3" s="1"/>
  <c r="AW363" i="3" s="1"/>
  <c r="W363" i="3" s="1"/>
  <c r="BN401" i="3"/>
  <c r="BP401" i="3" s="1"/>
  <c r="AW401" i="3" s="1"/>
  <c r="W401" i="3" s="1"/>
  <c r="BN232" i="3"/>
  <c r="BP232" i="3" s="1"/>
  <c r="AW232" i="3" s="1"/>
  <c r="W232" i="3" s="1"/>
  <c r="BN322" i="3"/>
  <c r="BP322" i="3" s="1"/>
  <c r="AW322" i="3" s="1"/>
  <c r="W322" i="3" s="1"/>
  <c r="BN338" i="3"/>
  <c r="BP338" i="3" s="1"/>
  <c r="AW338" i="3" s="1"/>
  <c r="W338" i="3" s="1"/>
  <c r="BN346" i="3"/>
  <c r="BP346" i="3" s="1"/>
  <c r="AW346" i="3" s="1"/>
  <c r="W346" i="3" s="1"/>
  <c r="BN352" i="3"/>
  <c r="BP352" i="3" s="1"/>
  <c r="AW352" i="3" s="1"/>
  <c r="W352" i="3" s="1"/>
  <c r="BN337" i="3"/>
  <c r="BP337" i="3" s="1"/>
  <c r="AW337" i="3" s="1"/>
  <c r="W337" i="3" s="1"/>
  <c r="BN359" i="3"/>
  <c r="BP359" i="3" s="1"/>
  <c r="AW359" i="3" s="1"/>
  <c r="W359" i="3" s="1"/>
  <c r="BN383" i="3"/>
  <c r="BP383" i="3" s="1"/>
  <c r="AW383" i="3" s="1"/>
  <c r="W383" i="3" s="1"/>
  <c r="BN415" i="3"/>
  <c r="BP415" i="3" s="1"/>
  <c r="AW415" i="3" s="1"/>
  <c r="W415" i="3" s="1"/>
  <c r="BN421" i="3"/>
  <c r="BP421" i="3" s="1"/>
  <c r="AW421" i="3" s="1"/>
  <c r="W421" i="3" s="1"/>
  <c r="BN260" i="3"/>
  <c r="BP260" i="3" s="1"/>
  <c r="AW260" i="3" s="1"/>
  <c r="W260" i="3" s="1"/>
  <c r="BN300" i="3"/>
  <c r="BP300" i="3" s="1"/>
  <c r="AW300" i="3" s="1"/>
  <c r="W300" i="3" s="1"/>
  <c r="BN336" i="3"/>
  <c r="BP336" i="3" s="1"/>
  <c r="AW336" i="3" s="1"/>
  <c r="W336" i="3" s="1"/>
  <c r="BN325" i="3"/>
  <c r="BP325" i="3" s="1"/>
  <c r="AW325" i="3" s="1"/>
  <c r="W325" i="3" s="1"/>
  <c r="BN333" i="3"/>
  <c r="BP333" i="3" s="1"/>
  <c r="AW333" i="3" s="1"/>
  <c r="W333" i="3" s="1"/>
  <c r="BN349" i="3"/>
  <c r="BP349" i="3" s="1"/>
  <c r="AW349" i="3" s="1"/>
  <c r="W349" i="3" s="1"/>
  <c r="BN360" i="3"/>
  <c r="BP360" i="3" s="1"/>
  <c r="AW360" i="3" s="1"/>
  <c r="W360" i="3" s="1"/>
  <c r="BN357" i="3"/>
  <c r="BP357" i="3" s="1"/>
  <c r="AW357" i="3" s="1"/>
  <c r="W357" i="3" s="1"/>
  <c r="BN384" i="3"/>
  <c r="BP384" i="3" s="1"/>
  <c r="AW384" i="3" s="1"/>
  <c r="W384" i="3" s="1"/>
  <c r="BN381" i="3"/>
  <c r="BP381" i="3" s="1"/>
  <c r="AW381" i="3" s="1"/>
  <c r="W381" i="3" s="1"/>
  <c r="BN394" i="3"/>
  <c r="BP394" i="3" s="1"/>
  <c r="AW394" i="3" s="1"/>
  <c r="W394" i="3" s="1"/>
  <c r="BN293" i="3"/>
  <c r="BP293" i="3" s="1"/>
  <c r="AW293" i="3" s="1"/>
  <c r="W293" i="3" s="1"/>
  <c r="BN304" i="3"/>
  <c r="BP304" i="3" s="1"/>
  <c r="AW304" i="3" s="1"/>
  <c r="W304" i="3" s="1"/>
  <c r="BN339" i="3"/>
  <c r="BP339" i="3" s="1"/>
  <c r="AW339" i="3" s="1"/>
  <c r="W339" i="3" s="1"/>
  <c r="BN334" i="3"/>
  <c r="BP334" i="3" s="1"/>
  <c r="AW334" i="3" s="1"/>
  <c r="W334" i="3" s="1"/>
  <c r="BN372" i="3"/>
  <c r="BP372" i="3" s="1"/>
  <c r="AW372" i="3" s="1"/>
  <c r="W372" i="3" s="1"/>
  <c r="BN371" i="3"/>
  <c r="BP371" i="3" s="1"/>
  <c r="AW371" i="3" s="1"/>
  <c r="W371" i="3" s="1"/>
  <c r="BN387" i="3"/>
  <c r="BP387" i="3" s="1"/>
  <c r="AW387" i="3" s="1"/>
  <c r="W387" i="3" s="1"/>
  <c r="BN361" i="3"/>
  <c r="BP361" i="3" s="1"/>
  <c r="AW361" i="3" s="1"/>
  <c r="W361" i="3" s="1"/>
  <c r="BN386" i="3"/>
  <c r="BP386" i="3" s="1"/>
  <c r="AW386" i="3" s="1"/>
  <c r="W386" i="3" s="1"/>
  <c r="BN392" i="3"/>
  <c r="BP392" i="3" s="1"/>
  <c r="AW392" i="3" s="1"/>
  <c r="W392" i="3" s="1"/>
  <c r="BN405" i="3"/>
  <c r="BP405" i="3" s="1"/>
  <c r="AW405" i="3" s="1"/>
  <c r="W405" i="3" s="1"/>
  <c r="BN419" i="3"/>
  <c r="BP419" i="3" s="1"/>
  <c r="AW419" i="3" s="1"/>
  <c r="W419" i="3" s="1"/>
  <c r="BN412" i="3"/>
  <c r="BP412" i="3" s="1"/>
  <c r="AW412" i="3" s="1"/>
  <c r="W412" i="3" s="1"/>
  <c r="BN327" i="3"/>
  <c r="BP327" i="3" s="1"/>
  <c r="AW327" i="3" s="1"/>
  <c r="W327" i="3" s="1"/>
  <c r="BN367" i="3"/>
  <c r="BP367" i="3" s="1"/>
  <c r="AW367" i="3" s="1"/>
  <c r="W367" i="3" s="1"/>
  <c r="BN411" i="3"/>
  <c r="BP411" i="3" s="1"/>
  <c r="AW411" i="3" s="1"/>
  <c r="W411" i="3" s="1"/>
  <c r="BN416" i="3"/>
  <c r="BP416" i="3" s="1"/>
  <c r="AW416" i="3" s="1"/>
  <c r="W416" i="3" s="1"/>
  <c r="BN227" i="3"/>
  <c r="BP227" i="3" s="1"/>
  <c r="AW227" i="3" s="1"/>
  <c r="W227" i="3" s="1"/>
  <c r="BN252" i="3"/>
  <c r="BP252" i="3" s="1"/>
  <c r="AW252" i="3" s="1"/>
  <c r="W252" i="3" s="1"/>
  <c r="BN331" i="3"/>
  <c r="BP331" i="3" s="1"/>
  <c r="AW331" i="3" s="1"/>
  <c r="W331" i="3" s="1"/>
  <c r="BN354" i="3"/>
  <c r="BP354" i="3" s="1"/>
  <c r="AW354" i="3" s="1"/>
  <c r="W354" i="3" s="1"/>
  <c r="BN396" i="3"/>
  <c r="BP396" i="3" s="1"/>
  <c r="AW396" i="3" s="1"/>
  <c r="W396" i="3" s="1"/>
  <c r="BN404" i="3"/>
  <c r="BP404" i="3" s="1"/>
  <c r="AW404" i="3" s="1"/>
  <c r="W404" i="3" s="1"/>
  <c r="BN423" i="3"/>
  <c r="BP423" i="3" s="1"/>
  <c r="AW423" i="3" s="1"/>
  <c r="W423" i="3" s="1"/>
  <c r="BN420" i="3"/>
  <c r="BP420" i="3" s="1"/>
  <c r="AW420" i="3" s="1"/>
  <c r="W420" i="3" s="1"/>
  <c r="BN413" i="3"/>
  <c r="BP413" i="3" s="1"/>
  <c r="AW413" i="3" s="1"/>
  <c r="W413" i="3" s="1"/>
  <c r="BN344" i="3"/>
  <c r="BP344" i="3" s="1"/>
  <c r="AW344" i="3" s="1"/>
  <c r="W344" i="3" s="1"/>
  <c r="BN365" i="3"/>
  <c r="BP365" i="3" s="1"/>
  <c r="AW365" i="3" s="1"/>
  <c r="W365" i="3" s="1"/>
  <c r="BN391" i="3"/>
  <c r="BP391" i="3" s="1"/>
  <c r="AW391" i="3" s="1"/>
  <c r="W391" i="3" s="1"/>
  <c r="BN390" i="3"/>
  <c r="BP390" i="3" s="1"/>
  <c r="AW390" i="3" s="1"/>
  <c r="W390" i="3" s="1"/>
  <c r="BN395" i="3"/>
  <c r="BP395" i="3" s="1"/>
  <c r="AW395" i="3" s="1"/>
  <c r="W395" i="3" s="1"/>
  <c r="BN403" i="3"/>
  <c r="BP403" i="3" s="1"/>
  <c r="AW403" i="3" s="1"/>
  <c r="W403" i="3" s="1"/>
  <c r="BN189" i="3"/>
  <c r="BP189" i="3" s="1"/>
  <c r="AW189" i="3" s="1"/>
  <c r="W189" i="3" s="1"/>
  <c r="BN205" i="3"/>
  <c r="BP205" i="3" s="1"/>
  <c r="AW205" i="3" s="1"/>
  <c r="W205" i="3" s="1"/>
  <c r="BN201" i="3"/>
  <c r="BP201" i="3" s="1"/>
  <c r="AW201" i="3" s="1"/>
  <c r="W201" i="3" s="1"/>
  <c r="BN174" i="3"/>
  <c r="BP174" i="3" s="1"/>
  <c r="AW174" i="3" s="1"/>
  <c r="W174" i="3" s="1"/>
  <c r="BN152" i="3"/>
  <c r="BP152" i="3" s="1"/>
  <c r="AW152" i="3" s="1"/>
  <c r="W152" i="3" s="1"/>
  <c r="BN160" i="3"/>
  <c r="BP160" i="3" s="1"/>
  <c r="AW160" i="3" s="1"/>
  <c r="W160" i="3" s="1"/>
  <c r="BN207" i="3"/>
  <c r="BP207" i="3" s="1"/>
  <c r="AW207" i="3" s="1"/>
  <c r="W207" i="3" s="1"/>
  <c r="BN186" i="3"/>
  <c r="BP186" i="3" s="1"/>
  <c r="AW186" i="3" s="1"/>
  <c r="W186" i="3" s="1"/>
  <c r="BN212" i="3"/>
  <c r="BP212" i="3" s="1"/>
  <c r="AW212" i="3" s="1"/>
  <c r="W212" i="3" s="1"/>
  <c r="BN165" i="3"/>
  <c r="BP165" i="3" s="1"/>
  <c r="AW165" i="3" s="1"/>
  <c r="W165" i="3" s="1"/>
  <c r="BN222" i="3"/>
  <c r="BP222" i="3" s="1"/>
  <c r="AW222" i="3" s="1"/>
  <c r="W222" i="3" s="1"/>
  <c r="BN214" i="3"/>
  <c r="BP214" i="3" s="1"/>
  <c r="AW214" i="3" s="1"/>
  <c r="W214" i="3" s="1"/>
  <c r="BN144" i="3"/>
  <c r="BP144" i="3" s="1"/>
  <c r="AW144" i="3" s="1"/>
  <c r="W144" i="3" s="1"/>
  <c r="BN221" i="3"/>
  <c r="BP221" i="3" s="1"/>
  <c r="AW221" i="3" s="1"/>
  <c r="W221" i="3" s="1"/>
  <c r="BN210" i="3"/>
  <c r="BP210" i="3" s="1"/>
  <c r="AW210" i="3" s="1"/>
  <c r="W210" i="3" s="1"/>
  <c r="BN170" i="3"/>
  <c r="BP170" i="3" s="1"/>
  <c r="AW170" i="3" s="1"/>
  <c r="W170" i="3" s="1"/>
  <c r="BN191" i="3"/>
  <c r="BP191" i="3" s="1"/>
  <c r="AW191" i="3" s="1"/>
  <c r="W191" i="3" s="1"/>
  <c r="BN134" i="3"/>
  <c r="BP134" i="3" s="1"/>
  <c r="AW134" i="3" s="1"/>
  <c r="W134" i="3" s="1"/>
  <c r="BN179" i="3"/>
  <c r="BP179" i="3" s="1"/>
  <c r="AW179" i="3" s="1"/>
  <c r="W179" i="3" s="1"/>
  <c r="BN171" i="3"/>
  <c r="BP171" i="3" s="1"/>
  <c r="AW171" i="3" s="1"/>
  <c r="W171" i="3" s="1"/>
  <c r="BN136" i="3"/>
  <c r="BP136" i="3" s="1"/>
  <c r="AW136" i="3" s="1"/>
  <c r="W136" i="3" s="1"/>
  <c r="BN146" i="3"/>
  <c r="BP146" i="3" s="1"/>
  <c r="AW146" i="3" s="1"/>
  <c r="W146" i="3" s="1"/>
  <c r="BN155" i="3"/>
  <c r="BP155" i="3" s="1"/>
  <c r="AW155" i="3" s="1"/>
  <c r="W155" i="3" s="1"/>
  <c r="BN164" i="3"/>
  <c r="BP164" i="3" s="1"/>
  <c r="AW164" i="3" s="1"/>
  <c r="W164" i="3" s="1"/>
  <c r="BN183" i="3"/>
  <c r="BP183" i="3" s="1"/>
  <c r="AW183" i="3" s="1"/>
  <c r="W183" i="3" s="1"/>
  <c r="BN176" i="3"/>
  <c r="BP176" i="3" s="1"/>
  <c r="AW176" i="3" s="1"/>
  <c r="W176" i="3" s="1"/>
  <c r="BN177" i="3"/>
  <c r="BP177" i="3" s="1"/>
  <c r="AW177" i="3" s="1"/>
  <c r="W177" i="3" s="1"/>
  <c r="BN213" i="3"/>
  <c r="BP213" i="3" s="1"/>
  <c r="AW213" i="3" s="1"/>
  <c r="W213" i="3" s="1"/>
  <c r="BN140" i="3"/>
  <c r="BP140" i="3" s="1"/>
  <c r="AW140" i="3" s="1"/>
  <c r="W140" i="3" s="1"/>
  <c r="BN133" i="3"/>
  <c r="BP133" i="3" s="1"/>
  <c r="AW133" i="3" s="1"/>
  <c r="W133" i="3" s="1"/>
  <c r="BN203" i="3"/>
  <c r="BP203" i="3" s="1"/>
  <c r="AW203" i="3" s="1"/>
  <c r="W203" i="3" s="1"/>
  <c r="BN124" i="3"/>
  <c r="BP124" i="3" s="1"/>
  <c r="AW124" i="3" s="1"/>
  <c r="W124" i="3" s="1"/>
  <c r="BN135" i="3"/>
  <c r="BP135" i="3" s="1"/>
  <c r="AW135" i="3" s="1"/>
  <c r="W135" i="3" s="1"/>
  <c r="BN147" i="3"/>
  <c r="BP147" i="3" s="1"/>
  <c r="AW147" i="3" s="1"/>
  <c r="W147" i="3" s="1"/>
  <c r="BN156" i="3"/>
  <c r="BP156" i="3" s="1"/>
  <c r="AW156" i="3" s="1"/>
  <c r="W156" i="3" s="1"/>
  <c r="BN166" i="3"/>
  <c r="BP166" i="3" s="1"/>
  <c r="AW166" i="3" s="1"/>
  <c r="W166" i="3" s="1"/>
  <c r="BN168" i="3"/>
  <c r="BP168" i="3" s="1"/>
  <c r="AW168" i="3" s="1"/>
  <c r="W168" i="3" s="1"/>
  <c r="BN172" i="3"/>
  <c r="BP172" i="3" s="1"/>
  <c r="AW172" i="3" s="1"/>
  <c r="W172" i="3" s="1"/>
  <c r="BN184" i="3"/>
  <c r="BP184" i="3" s="1"/>
  <c r="AW184" i="3" s="1"/>
  <c r="W184" i="3" s="1"/>
  <c r="BN180" i="3"/>
  <c r="BP180" i="3" s="1"/>
  <c r="AW180" i="3" s="1"/>
  <c r="W180" i="3" s="1"/>
  <c r="BN181" i="3"/>
  <c r="BP181" i="3" s="1"/>
  <c r="AW181" i="3" s="1"/>
  <c r="W181" i="3" s="1"/>
  <c r="BN208" i="3"/>
  <c r="BP208" i="3" s="1"/>
  <c r="AW208" i="3" s="1"/>
  <c r="W208" i="3" s="1"/>
  <c r="BN175" i="3"/>
  <c r="BP175" i="3" s="1"/>
  <c r="AW175" i="3" s="1"/>
  <c r="W175" i="3" s="1"/>
  <c r="BN141" i="3"/>
  <c r="BP141" i="3" s="1"/>
  <c r="AW141" i="3" s="1"/>
  <c r="W141" i="3" s="1"/>
  <c r="BN126" i="3"/>
  <c r="BP126" i="3" s="1"/>
  <c r="AW126" i="3" s="1"/>
  <c r="W126" i="3" s="1"/>
  <c r="BN131" i="3"/>
  <c r="BP131" i="3" s="1"/>
  <c r="AW131" i="3" s="1"/>
  <c r="W131" i="3" s="1"/>
  <c r="BN127" i="3"/>
  <c r="BP127" i="3" s="1"/>
  <c r="AW127" i="3" s="1"/>
  <c r="W127" i="3" s="1"/>
  <c r="BN132" i="3"/>
  <c r="BP132" i="3" s="1"/>
  <c r="AW132" i="3" s="1"/>
  <c r="W132" i="3" s="1"/>
  <c r="BN138" i="3"/>
  <c r="BP138" i="3" s="1"/>
  <c r="AW138" i="3" s="1"/>
  <c r="W138" i="3" s="1"/>
  <c r="BN148" i="3"/>
  <c r="BP148" i="3" s="1"/>
  <c r="AW148" i="3" s="1"/>
  <c r="W148" i="3" s="1"/>
  <c r="BN157" i="3"/>
  <c r="BP157" i="3" s="1"/>
  <c r="AW157" i="3" s="1"/>
  <c r="W157" i="3" s="1"/>
  <c r="BN220" i="3"/>
  <c r="BP220" i="3" s="1"/>
  <c r="AW220" i="3" s="1"/>
  <c r="W220" i="3" s="1"/>
  <c r="BN217" i="3"/>
  <c r="BP217" i="3" s="1"/>
  <c r="AW217" i="3" s="1"/>
  <c r="W217" i="3" s="1"/>
  <c r="BN128" i="3"/>
  <c r="BP128" i="3" s="1"/>
  <c r="AW128" i="3" s="1"/>
  <c r="W128" i="3" s="1"/>
  <c r="BN202" i="3"/>
  <c r="BP202" i="3" s="1"/>
  <c r="AW202" i="3" s="1"/>
  <c r="W202" i="3" s="1"/>
  <c r="BN182" i="3"/>
  <c r="BP182" i="3" s="1"/>
  <c r="AW182" i="3" s="1"/>
  <c r="W182" i="3" s="1"/>
  <c r="BN211" i="3"/>
  <c r="BP211" i="3" s="1"/>
  <c r="AW211" i="3" s="1"/>
  <c r="W211" i="3" s="1"/>
  <c r="BN149" i="3"/>
  <c r="BP149" i="3" s="1"/>
  <c r="AW149" i="3" s="1"/>
  <c r="W149" i="3" s="1"/>
  <c r="BN158" i="3"/>
  <c r="BP158" i="3" s="1"/>
  <c r="AW158" i="3" s="1"/>
  <c r="W158" i="3" s="1"/>
  <c r="BN192" i="3"/>
  <c r="BP192" i="3" s="1"/>
  <c r="AW192" i="3" s="1"/>
  <c r="W192" i="3" s="1"/>
  <c r="BN190" i="3"/>
  <c r="BP190" i="3" s="1"/>
  <c r="AW190" i="3" s="1"/>
  <c r="W190" i="3" s="1"/>
  <c r="BN169" i="3"/>
  <c r="BP169" i="3" s="1"/>
  <c r="AW169" i="3" s="1"/>
  <c r="W169" i="3" s="1"/>
  <c r="BN206" i="3"/>
  <c r="BP206" i="3" s="1"/>
  <c r="AW206" i="3" s="1"/>
  <c r="W206" i="3" s="1"/>
  <c r="BN178" i="3"/>
  <c r="BP178" i="3" s="1"/>
  <c r="AW178" i="3" s="1"/>
  <c r="W178" i="3" s="1"/>
  <c r="BN125" i="3"/>
  <c r="BP125" i="3" s="1"/>
  <c r="AW125" i="3" s="1"/>
  <c r="W125" i="3" s="1"/>
  <c r="BN139" i="3"/>
  <c r="BP139" i="3" s="1"/>
  <c r="AW139" i="3" s="1"/>
  <c r="W139" i="3" s="1"/>
  <c r="BN150" i="3"/>
  <c r="BP150" i="3" s="1"/>
  <c r="AW150" i="3" s="1"/>
  <c r="W150" i="3" s="1"/>
  <c r="BN159" i="3"/>
  <c r="BP159" i="3" s="1"/>
  <c r="AW159" i="3" s="1"/>
  <c r="W159" i="3" s="1"/>
  <c r="BN194" i="3"/>
  <c r="BP194" i="3" s="1"/>
  <c r="AW194" i="3" s="1"/>
  <c r="W194" i="3" s="1"/>
  <c r="BN193" i="3"/>
  <c r="BP193" i="3" s="1"/>
  <c r="AW193" i="3" s="1"/>
  <c r="W193" i="3" s="1"/>
  <c r="BN196" i="3"/>
  <c r="BP196" i="3" s="1"/>
  <c r="AW196" i="3" s="1"/>
  <c r="W196" i="3" s="1"/>
  <c r="BN204" i="3"/>
  <c r="BP204" i="3" s="1"/>
  <c r="AW204" i="3" s="1"/>
  <c r="W204" i="3" s="1"/>
  <c r="BN137" i="3"/>
  <c r="BP137" i="3" s="1"/>
  <c r="AW137" i="3" s="1"/>
  <c r="W137" i="3" s="1"/>
  <c r="BN218" i="3"/>
  <c r="BP218" i="3" s="1"/>
  <c r="AW218" i="3" s="1"/>
  <c r="W218" i="3" s="1"/>
  <c r="BN130" i="3"/>
  <c r="BP130" i="3" s="1"/>
  <c r="AW130" i="3" s="1"/>
  <c r="W130" i="3" s="1"/>
  <c r="BN216" i="3"/>
  <c r="BP216" i="3" s="1"/>
  <c r="AW216" i="3" s="1"/>
  <c r="W216" i="3" s="1"/>
  <c r="BN167" i="3"/>
  <c r="BP167" i="3" s="1"/>
  <c r="AW167" i="3" s="1"/>
  <c r="W167" i="3" s="1"/>
  <c r="BN142" i="3"/>
  <c r="BP142" i="3" s="1"/>
  <c r="AW142" i="3" s="1"/>
  <c r="W142" i="3" s="1"/>
  <c r="BN143" i="3"/>
  <c r="BP143" i="3" s="1"/>
  <c r="AW143" i="3" s="1"/>
  <c r="W143" i="3" s="1"/>
  <c r="BN151" i="3"/>
  <c r="BP151" i="3" s="1"/>
  <c r="AW151" i="3" s="1"/>
  <c r="W151" i="3" s="1"/>
  <c r="BN198" i="3"/>
  <c r="BP198" i="3" s="1"/>
  <c r="AW198" i="3" s="1"/>
  <c r="W198" i="3" s="1"/>
  <c r="BN215" i="3"/>
  <c r="BP215" i="3" s="1"/>
  <c r="AW215" i="3" s="1"/>
  <c r="W215" i="3" s="1"/>
  <c r="BN185" i="3"/>
  <c r="BP185" i="3" s="1"/>
  <c r="AW185" i="3" s="1"/>
  <c r="W185" i="3" s="1"/>
  <c r="BN163" i="3"/>
  <c r="BP163" i="3" s="1"/>
  <c r="AW163" i="3" s="1"/>
  <c r="W163" i="3" s="1"/>
  <c r="BN200" i="3"/>
  <c r="BP200" i="3" s="1"/>
  <c r="AW200" i="3" s="1"/>
  <c r="W200" i="3" s="1"/>
  <c r="BN129" i="3"/>
  <c r="BP129" i="3" s="1"/>
  <c r="AW129" i="3" s="1"/>
  <c r="W129" i="3" s="1"/>
  <c r="BN153" i="3"/>
  <c r="BP153" i="3" s="1"/>
  <c r="AW153" i="3" s="1"/>
  <c r="W153" i="3" s="1"/>
  <c r="BN162" i="3"/>
  <c r="BP162" i="3" s="1"/>
  <c r="AW162" i="3" s="1"/>
  <c r="W162" i="3" s="1"/>
  <c r="BN187" i="3"/>
  <c r="BP187" i="3" s="1"/>
  <c r="AW187" i="3" s="1"/>
  <c r="W187" i="3" s="1"/>
  <c r="BN199" i="3"/>
  <c r="BP199" i="3" s="1"/>
  <c r="AW199" i="3" s="1"/>
  <c r="W199" i="3" s="1"/>
  <c r="BN219" i="3"/>
  <c r="BP219" i="3" s="1"/>
  <c r="AW219" i="3" s="1"/>
  <c r="W219" i="3" s="1"/>
  <c r="BN161" i="3"/>
  <c r="BP161" i="3" s="1"/>
  <c r="AW161" i="3" s="1"/>
  <c r="W161" i="3" s="1"/>
  <c r="BN145" i="3"/>
  <c r="BP145" i="3" s="1"/>
  <c r="AW145" i="3" s="1"/>
  <c r="W145" i="3" s="1"/>
  <c r="BN154" i="3"/>
  <c r="BP154" i="3" s="1"/>
  <c r="AW154" i="3" s="1"/>
  <c r="W154" i="3" s="1"/>
  <c r="BN188" i="3"/>
  <c r="BP188" i="3" s="1"/>
  <c r="AW188" i="3" s="1"/>
  <c r="W188" i="3" s="1"/>
  <c r="BN195" i="3"/>
  <c r="BP195" i="3" s="1"/>
  <c r="AW195" i="3" s="1"/>
  <c r="W195" i="3" s="1"/>
  <c r="BN173" i="3"/>
  <c r="BP173" i="3" s="1"/>
  <c r="AW173" i="3" s="1"/>
  <c r="W173" i="3" s="1"/>
  <c r="BN197" i="3"/>
  <c r="BP197" i="3" s="1"/>
  <c r="AW197" i="3" s="1"/>
  <c r="W197" i="3" s="1"/>
  <c r="BN223" i="3"/>
  <c r="BP223" i="3" s="1"/>
  <c r="AW223" i="3" s="1"/>
  <c r="W223" i="3" s="1"/>
  <c r="BN209" i="3"/>
  <c r="BP209" i="3" s="1"/>
  <c r="AW209" i="3" s="1"/>
  <c r="W209" i="3" s="1"/>
  <c r="BN117" i="3"/>
  <c r="BP117" i="3" s="1"/>
  <c r="AW117" i="3" s="1"/>
  <c r="W117" i="3" s="1"/>
  <c r="BN87" i="3"/>
  <c r="BP87" i="3" s="1"/>
  <c r="AW87" i="3" s="1"/>
  <c r="W87" i="3" s="1"/>
  <c r="BN103" i="3"/>
  <c r="BP103" i="3" s="1"/>
  <c r="AW103" i="3" s="1"/>
  <c r="W103" i="3" s="1"/>
  <c r="BN77" i="3"/>
  <c r="BP77" i="3" s="1"/>
  <c r="AW77" i="3" s="1"/>
  <c r="W77" i="3" s="1"/>
  <c r="BN95" i="3"/>
  <c r="BP95" i="3" s="1"/>
  <c r="AW95" i="3" s="1"/>
  <c r="W95" i="3" s="1"/>
  <c r="BN111" i="3"/>
  <c r="BP111" i="3" s="1"/>
  <c r="AW111" i="3" s="1"/>
  <c r="W111" i="3" s="1"/>
  <c r="BN101" i="3"/>
  <c r="BP101" i="3" s="1"/>
  <c r="AW101" i="3" s="1"/>
  <c r="W101" i="3" s="1"/>
  <c r="BN51" i="3"/>
  <c r="BP51" i="3" s="1"/>
  <c r="AW51" i="3" s="1"/>
  <c r="W51" i="3" s="1"/>
  <c r="BN97" i="3"/>
  <c r="BP97" i="3" s="1"/>
  <c r="AW97" i="3" s="1"/>
  <c r="W97" i="3" s="1"/>
  <c r="BN58" i="3"/>
  <c r="BP58" i="3" s="1"/>
  <c r="AW58" i="3" s="1"/>
  <c r="W58" i="3" s="1"/>
  <c r="BN63" i="3"/>
  <c r="BP63" i="3" s="1"/>
  <c r="AW63" i="3" s="1"/>
  <c r="W63" i="3" s="1"/>
  <c r="BN55" i="3"/>
  <c r="BP55" i="3" s="1"/>
  <c r="AW55" i="3" s="1"/>
  <c r="W55" i="3" s="1"/>
  <c r="BN48" i="3"/>
  <c r="BP48" i="3" s="1"/>
  <c r="AW48" i="3" s="1"/>
  <c r="W48" i="3" s="1"/>
  <c r="BN116" i="3"/>
  <c r="BP116" i="3" s="1"/>
  <c r="AW116" i="3" s="1"/>
  <c r="W116" i="3" s="1"/>
  <c r="BN100" i="3"/>
  <c r="BP100" i="3" s="1"/>
  <c r="AW100" i="3" s="1"/>
  <c r="W100" i="3" s="1"/>
  <c r="BN84" i="3"/>
  <c r="BP84" i="3" s="1"/>
  <c r="AW84" i="3" s="1"/>
  <c r="W84" i="3" s="1"/>
  <c r="BN65" i="3"/>
  <c r="BP65" i="3" s="1"/>
  <c r="AW65" i="3" s="1"/>
  <c r="W65" i="3" s="1"/>
  <c r="BN33" i="3"/>
  <c r="BP33" i="3" s="1"/>
  <c r="AW33" i="3" s="1"/>
  <c r="W33" i="3" s="1"/>
  <c r="BN36" i="3"/>
  <c r="BP36" i="3" s="1"/>
  <c r="AW36" i="3" s="1"/>
  <c r="W36" i="3" s="1"/>
  <c r="BN121" i="3"/>
  <c r="BP121" i="3" s="1"/>
  <c r="AW121" i="3" s="1"/>
  <c r="W121" i="3" s="1"/>
  <c r="BN34" i="3"/>
  <c r="BP34" i="3" s="1"/>
  <c r="AW34" i="3" s="1"/>
  <c r="W34" i="3" s="1"/>
  <c r="BN42" i="3"/>
  <c r="BP42" i="3" s="1"/>
  <c r="AW42" i="3" s="1"/>
  <c r="W42" i="3" s="1"/>
  <c r="BN40" i="3"/>
  <c r="BP40" i="3" s="1"/>
  <c r="AW40" i="3" s="1"/>
  <c r="W40" i="3" s="1"/>
  <c r="BN114" i="3"/>
  <c r="BP114" i="3" s="1"/>
  <c r="AW114" i="3" s="1"/>
  <c r="W114" i="3" s="1"/>
  <c r="BN98" i="3"/>
  <c r="BP98" i="3" s="1"/>
  <c r="AW98" i="3" s="1"/>
  <c r="W98" i="3" s="1"/>
  <c r="BN82" i="3"/>
  <c r="BP82" i="3" s="1"/>
  <c r="AW82" i="3" s="1"/>
  <c r="W82" i="3" s="1"/>
  <c r="BN61" i="3"/>
  <c r="BP61" i="3" s="1"/>
  <c r="AW61" i="3" s="1"/>
  <c r="W61" i="3" s="1"/>
  <c r="BN67" i="3"/>
  <c r="BP67" i="3" s="1"/>
  <c r="AW67" i="3" s="1"/>
  <c r="W67" i="3" s="1"/>
  <c r="BN47" i="3"/>
  <c r="BP47" i="3" s="1"/>
  <c r="AW47" i="3" s="1"/>
  <c r="W47" i="3" s="1"/>
  <c r="BN39" i="3"/>
  <c r="BP39" i="3" s="1"/>
  <c r="AW39" i="3" s="1"/>
  <c r="W39" i="3" s="1"/>
  <c r="BN59" i="3"/>
  <c r="BP59" i="3" s="1"/>
  <c r="AW59" i="3" s="1"/>
  <c r="W59" i="3" s="1"/>
  <c r="BN46" i="3"/>
  <c r="BP46" i="3" s="1"/>
  <c r="AW46" i="3" s="1"/>
  <c r="W46" i="3" s="1"/>
  <c r="BN66" i="3"/>
  <c r="BP66" i="3" s="1"/>
  <c r="AW66" i="3" s="1"/>
  <c r="W66" i="3" s="1"/>
  <c r="BN32" i="3"/>
  <c r="BP32" i="3" s="1"/>
  <c r="AW32" i="3" s="1"/>
  <c r="W32" i="3" s="1"/>
  <c r="BN112" i="3"/>
  <c r="BP112" i="3" s="1"/>
  <c r="AW112" i="3" s="1"/>
  <c r="W112" i="3" s="1"/>
  <c r="BN96" i="3"/>
  <c r="BP96" i="3" s="1"/>
  <c r="AW96" i="3" s="1"/>
  <c r="W96" i="3" s="1"/>
  <c r="BN80" i="3"/>
  <c r="BP80" i="3" s="1"/>
  <c r="AW80" i="3" s="1"/>
  <c r="W80" i="3" s="1"/>
  <c r="BN57" i="3"/>
  <c r="BP57" i="3" s="1"/>
  <c r="AW57" i="3" s="1"/>
  <c r="W57" i="3" s="1"/>
  <c r="BN91" i="3"/>
  <c r="BP91" i="3" s="1"/>
  <c r="AW91" i="3" s="1"/>
  <c r="W91" i="3" s="1"/>
  <c r="BN81" i="3"/>
  <c r="BP81" i="3" s="1"/>
  <c r="AW81" i="3" s="1"/>
  <c r="W81" i="3" s="1"/>
  <c r="BN54" i="3"/>
  <c r="BP54" i="3" s="1"/>
  <c r="AW54" i="3" s="1"/>
  <c r="W54" i="3" s="1"/>
  <c r="BN50" i="3"/>
  <c r="BP50" i="3" s="1"/>
  <c r="AW50" i="3" s="1"/>
  <c r="W50" i="3" s="1"/>
  <c r="BN60" i="3"/>
  <c r="BP60" i="3" s="1"/>
  <c r="AW60" i="3" s="1"/>
  <c r="W60" i="3" s="1"/>
  <c r="BN110" i="3"/>
  <c r="BP110" i="3" s="1"/>
  <c r="AW110" i="3" s="1"/>
  <c r="W110" i="3" s="1"/>
  <c r="BN94" i="3"/>
  <c r="BP94" i="3" s="1"/>
  <c r="AW94" i="3" s="1"/>
  <c r="W94" i="3" s="1"/>
  <c r="BN78" i="3"/>
  <c r="BP78" i="3" s="1"/>
  <c r="AW78" i="3" s="1"/>
  <c r="W78" i="3" s="1"/>
  <c r="BN53" i="3"/>
  <c r="BP53" i="3" s="1"/>
  <c r="AW53" i="3" s="1"/>
  <c r="W53" i="3" s="1"/>
  <c r="BN119" i="3"/>
  <c r="BP119" i="3" s="1"/>
  <c r="AW119" i="3" s="1"/>
  <c r="W119" i="3" s="1"/>
  <c r="BN123" i="3"/>
  <c r="BP123" i="3" s="1"/>
  <c r="AW123" i="3" s="1"/>
  <c r="W123" i="3" s="1"/>
  <c r="BN107" i="3"/>
  <c r="BP107" i="3" s="1"/>
  <c r="AW107" i="3" s="1"/>
  <c r="W107" i="3" s="1"/>
  <c r="BN85" i="3"/>
  <c r="BP85" i="3" s="1"/>
  <c r="AW85" i="3" s="1"/>
  <c r="W85" i="3" s="1"/>
  <c r="BN38" i="3"/>
  <c r="BP38" i="3" s="1"/>
  <c r="AW38" i="3" s="1"/>
  <c r="W38" i="3" s="1"/>
  <c r="BN43" i="3"/>
  <c r="BP43" i="3" s="1"/>
  <c r="AW43" i="3" s="1"/>
  <c r="W43" i="3" s="1"/>
  <c r="BN108" i="3"/>
  <c r="BP108" i="3" s="1"/>
  <c r="AW108" i="3" s="1"/>
  <c r="W108" i="3" s="1"/>
  <c r="BN92" i="3"/>
  <c r="BP92" i="3" s="1"/>
  <c r="AW92" i="3" s="1"/>
  <c r="W92" i="3" s="1"/>
  <c r="BN76" i="3"/>
  <c r="BP76" i="3" s="1"/>
  <c r="AW76" i="3" s="1"/>
  <c r="W76" i="3" s="1"/>
  <c r="BN49" i="3"/>
  <c r="BP49" i="3" s="1"/>
  <c r="AW49" i="3" s="1"/>
  <c r="W49" i="3" s="1"/>
  <c r="BN83" i="3"/>
  <c r="BP83" i="3" s="1"/>
  <c r="AW83" i="3" s="1"/>
  <c r="W83" i="3" s="1"/>
  <c r="BN113" i="3"/>
  <c r="BP113" i="3" s="1"/>
  <c r="AW113" i="3" s="1"/>
  <c r="W113" i="3" s="1"/>
  <c r="BN31" i="3"/>
  <c r="BP31" i="3" s="1"/>
  <c r="AW31" i="3" s="1"/>
  <c r="W31" i="3" s="1"/>
  <c r="BN68" i="3"/>
  <c r="BP68" i="3" s="1"/>
  <c r="AW68" i="3" s="1"/>
  <c r="W68" i="3" s="1"/>
  <c r="BN72" i="3"/>
  <c r="BP72" i="3" s="1"/>
  <c r="AW72" i="3" s="1"/>
  <c r="W72" i="3" s="1"/>
  <c r="BN122" i="3"/>
  <c r="BP122" i="3" s="1"/>
  <c r="AW122" i="3" s="1"/>
  <c r="W122" i="3" s="1"/>
  <c r="BN106" i="3"/>
  <c r="BP106" i="3" s="1"/>
  <c r="AW106" i="3" s="1"/>
  <c r="W106" i="3" s="1"/>
  <c r="BN90" i="3"/>
  <c r="BP90" i="3" s="1"/>
  <c r="AW90" i="3" s="1"/>
  <c r="W90" i="3" s="1"/>
  <c r="BN74" i="3"/>
  <c r="BP74" i="3" s="1"/>
  <c r="AW74" i="3" s="1"/>
  <c r="W74" i="3" s="1"/>
  <c r="BN45" i="3"/>
  <c r="BP45" i="3" s="1"/>
  <c r="AW45" i="3" s="1"/>
  <c r="W45" i="3" s="1"/>
  <c r="BN99" i="3"/>
  <c r="BP99" i="3" s="1"/>
  <c r="AW99" i="3" s="1"/>
  <c r="W99" i="3" s="1"/>
  <c r="BN79" i="3"/>
  <c r="BP79" i="3" s="1"/>
  <c r="AW79" i="3" s="1"/>
  <c r="W79" i="3" s="1"/>
  <c r="BN105" i="3"/>
  <c r="BP105" i="3" s="1"/>
  <c r="AW105" i="3" s="1"/>
  <c r="W105" i="3" s="1"/>
  <c r="BN109" i="3"/>
  <c r="BP109" i="3" s="1"/>
  <c r="AW109" i="3" s="1"/>
  <c r="W109" i="3" s="1"/>
  <c r="BN35" i="3"/>
  <c r="BP35" i="3" s="1"/>
  <c r="AW35" i="3" s="1"/>
  <c r="W35" i="3" s="1"/>
  <c r="BN71" i="3"/>
  <c r="BP71" i="3" s="1"/>
  <c r="AW71" i="3" s="1"/>
  <c r="W71" i="3" s="1"/>
  <c r="BN62" i="3"/>
  <c r="BP62" i="3" s="1"/>
  <c r="AW62" i="3" s="1"/>
  <c r="W62" i="3" s="1"/>
  <c r="BN44" i="3"/>
  <c r="BP44" i="3" s="1"/>
  <c r="AW44" i="3" s="1"/>
  <c r="W44" i="3" s="1"/>
  <c r="BN64" i="3"/>
  <c r="BP64" i="3" s="1"/>
  <c r="AW64" i="3" s="1"/>
  <c r="W64" i="3" s="1"/>
  <c r="BN120" i="3"/>
  <c r="BP120" i="3" s="1"/>
  <c r="AW120" i="3" s="1"/>
  <c r="W120" i="3" s="1"/>
  <c r="BN104" i="3"/>
  <c r="BP104" i="3" s="1"/>
  <c r="AW104" i="3" s="1"/>
  <c r="W104" i="3" s="1"/>
  <c r="BN88" i="3"/>
  <c r="BP88" i="3" s="1"/>
  <c r="AW88" i="3" s="1"/>
  <c r="W88" i="3" s="1"/>
  <c r="BN30" i="3"/>
  <c r="BP30" i="3" s="1"/>
  <c r="AW30" i="3" s="1"/>
  <c r="W30" i="3" s="1"/>
  <c r="BN41" i="3"/>
  <c r="BP41" i="3" s="1"/>
  <c r="AW41" i="3" s="1"/>
  <c r="W41" i="3" s="1"/>
  <c r="BN75" i="3"/>
  <c r="BP75" i="3" s="1"/>
  <c r="AW75" i="3" s="1"/>
  <c r="W75" i="3" s="1"/>
  <c r="BN115" i="3"/>
  <c r="BP115" i="3" s="1"/>
  <c r="AW115" i="3" s="1"/>
  <c r="W115" i="3" s="1"/>
  <c r="BN73" i="3"/>
  <c r="BP73" i="3" s="1"/>
  <c r="AW73" i="3" s="1"/>
  <c r="W73" i="3" s="1"/>
  <c r="BN70" i="3"/>
  <c r="BP70" i="3" s="1"/>
  <c r="AW70" i="3" s="1"/>
  <c r="W70" i="3" s="1"/>
  <c r="BN89" i="3"/>
  <c r="BP89" i="3" s="1"/>
  <c r="AW89" i="3" s="1"/>
  <c r="W89" i="3" s="1"/>
  <c r="BN93" i="3"/>
  <c r="BP93" i="3" s="1"/>
  <c r="AW93" i="3" s="1"/>
  <c r="W93" i="3" s="1"/>
  <c r="BN52" i="3"/>
  <c r="BP52" i="3" s="1"/>
  <c r="AW52" i="3" s="1"/>
  <c r="W52" i="3" s="1"/>
  <c r="BN56" i="3"/>
  <c r="BP56" i="3" s="1"/>
  <c r="AW56" i="3" s="1"/>
  <c r="W56" i="3" s="1"/>
  <c r="BN118" i="3"/>
  <c r="BP118" i="3" s="1"/>
  <c r="AW118" i="3" s="1"/>
  <c r="W118" i="3" s="1"/>
  <c r="BN102" i="3"/>
  <c r="BP102" i="3" s="1"/>
  <c r="AW102" i="3" s="1"/>
  <c r="W102" i="3" s="1"/>
  <c r="BN86" i="3"/>
  <c r="BP86" i="3" s="1"/>
  <c r="AW86" i="3" s="1"/>
  <c r="W86" i="3" s="1"/>
  <c r="BN69" i="3"/>
  <c r="BP69" i="3" s="1"/>
  <c r="AW69" i="3" s="1"/>
  <c r="W69" i="3" s="1"/>
  <c r="BN37" i="3"/>
  <c r="BP37" i="3" s="1"/>
  <c r="AW37" i="3" s="1"/>
  <c r="W37" i="3" s="1"/>
  <c r="BN28" i="3"/>
  <c r="BP28" i="3" s="1"/>
  <c r="AW28" i="3" s="1"/>
  <c r="W28" i="3" s="1"/>
  <c r="BK511" i="3"/>
  <c r="BK520" i="3"/>
  <c r="BK504" i="3"/>
  <c r="BK507" i="3"/>
  <c r="BK489" i="3"/>
  <c r="BK488" i="3"/>
  <c r="BK502" i="3"/>
  <c r="BK494" i="3"/>
  <c r="BH491" i="3"/>
  <c r="BK474" i="3"/>
  <c r="BK459" i="3"/>
  <c r="BK475" i="3"/>
  <c r="BK457" i="3"/>
  <c r="BK487" i="3"/>
  <c r="BK461" i="3"/>
  <c r="BK458" i="3"/>
  <c r="BK424" i="3"/>
  <c r="BK456" i="3"/>
  <c r="BK433" i="3"/>
  <c r="BK452" i="3"/>
  <c r="BH453" i="3"/>
  <c r="BH471" i="3"/>
  <c r="BH510" i="3"/>
  <c r="BH460" i="3"/>
  <c r="BH523" i="3"/>
  <c r="BH476" i="3"/>
  <c r="BH489" i="3"/>
  <c r="BH468" i="3"/>
  <c r="BH514" i="3"/>
  <c r="BH432" i="3"/>
  <c r="BH449" i="3"/>
  <c r="BH490" i="3"/>
  <c r="BH497" i="3"/>
  <c r="BK493" i="3"/>
  <c r="BK500" i="3"/>
  <c r="BK503" i="3"/>
  <c r="BK485" i="3"/>
  <c r="BK498" i="3"/>
  <c r="BH483" i="3"/>
  <c r="BH484" i="3"/>
  <c r="BH456" i="3"/>
  <c r="BK441" i="3"/>
  <c r="BK442" i="3"/>
  <c r="BH473" i="3"/>
  <c r="BH462" i="3"/>
  <c r="BH502" i="3"/>
  <c r="BH515" i="3"/>
  <c r="BH467" i="3"/>
  <c r="BH485" i="3"/>
  <c r="BH509" i="3"/>
  <c r="BH455" i="3"/>
  <c r="BH500" i="3"/>
  <c r="BH428" i="3"/>
  <c r="BH501" i="3"/>
  <c r="BH488" i="3"/>
  <c r="BK501" i="3"/>
  <c r="BK463" i="3"/>
  <c r="BK427" i="3"/>
  <c r="BH517" i="3"/>
  <c r="BK512" i="3"/>
  <c r="BK499" i="3"/>
  <c r="BK490" i="3"/>
  <c r="BH469" i="3"/>
  <c r="BK460" i="3"/>
  <c r="BK447" i="3"/>
  <c r="BK446" i="3"/>
  <c r="BK453" i="3"/>
  <c r="BK429" i="3"/>
  <c r="BH436" i="3"/>
  <c r="BH429" i="3"/>
  <c r="BH480" i="3"/>
  <c r="BH505" i="3"/>
  <c r="BH448" i="3"/>
  <c r="BH487" i="3"/>
  <c r="BH431" i="3"/>
  <c r="BH443" i="3"/>
  <c r="BH446" i="3"/>
  <c r="BH474" i="3"/>
  <c r="BH516" i="3"/>
  <c r="BH439" i="3"/>
  <c r="BH492" i="3"/>
  <c r="BH503" i="3"/>
  <c r="BK478" i="3"/>
  <c r="BK449" i="3"/>
  <c r="BH466" i="3"/>
  <c r="BH513" i="3"/>
  <c r="BH427" i="3"/>
  <c r="BK521" i="3"/>
  <c r="BK497" i="3"/>
  <c r="BK484" i="3"/>
  <c r="BK443" i="3"/>
  <c r="BK445" i="3"/>
  <c r="BK440" i="3"/>
  <c r="BK438" i="3"/>
  <c r="BH457" i="3"/>
  <c r="BH451" i="3"/>
  <c r="BH437" i="3"/>
  <c r="BH495" i="3"/>
  <c r="BH441" i="3"/>
  <c r="BH470" i="3"/>
  <c r="BH506" i="3"/>
  <c r="BH433" i="3"/>
  <c r="BH461" i="3"/>
  <c r="BH440" i="3"/>
  <c r="BH477" i="3"/>
  <c r="BK476" i="3"/>
  <c r="BH479" i="3"/>
  <c r="BK451" i="3"/>
  <c r="BH482" i="3"/>
  <c r="BK517" i="3"/>
  <c r="BK495" i="3"/>
  <c r="BK486" i="3"/>
  <c r="BK483" i="3"/>
  <c r="BK473" i="3"/>
  <c r="BK472" i="3"/>
  <c r="BK462" i="3"/>
  <c r="BK454" i="3"/>
  <c r="BH465" i="3"/>
  <c r="BK439" i="3"/>
  <c r="BK434" i="3"/>
  <c r="BK437" i="3"/>
  <c r="BH442" i="3"/>
  <c r="BH450" i="3"/>
  <c r="BH434" i="3"/>
  <c r="BH508" i="3"/>
  <c r="BH444" i="3"/>
  <c r="BH522" i="3"/>
  <c r="BH425" i="3"/>
  <c r="BH445" i="3"/>
  <c r="BK515" i="3"/>
  <c r="BH498" i="3"/>
  <c r="BH438" i="3"/>
  <c r="BH493" i="3"/>
  <c r="BH481" i="3"/>
  <c r="BK523" i="3"/>
  <c r="BK522" i="3"/>
  <c r="BK513" i="3"/>
  <c r="BK516" i="3"/>
  <c r="BK491" i="3"/>
  <c r="BK481" i="3"/>
  <c r="BK479" i="3"/>
  <c r="BK471" i="3"/>
  <c r="BK470" i="3"/>
  <c r="BK468" i="3"/>
  <c r="BK465" i="3"/>
  <c r="BK450" i="3"/>
  <c r="BK448" i="3"/>
  <c r="BH458" i="3"/>
  <c r="BK436" i="3"/>
  <c r="BK435" i="3"/>
  <c r="BK430" i="3"/>
  <c r="BH426" i="3"/>
  <c r="BH430" i="3"/>
  <c r="BH447" i="3"/>
  <c r="BH424" i="3"/>
  <c r="BH511" i="3"/>
  <c r="BH496" i="3"/>
  <c r="BH518" i="3"/>
  <c r="BH452" i="3"/>
  <c r="BH507" i="3"/>
  <c r="BH519" i="3"/>
  <c r="BH499" i="3"/>
  <c r="BH521" i="3"/>
  <c r="BH454" i="3"/>
  <c r="BK492" i="3"/>
  <c r="BK466" i="3"/>
  <c r="BK428" i="3"/>
  <c r="BH464" i="3"/>
  <c r="BH478" i="3"/>
  <c r="BK519" i="3"/>
  <c r="BK518" i="3"/>
  <c r="BK505" i="3"/>
  <c r="BK514" i="3"/>
  <c r="BK510" i="3"/>
  <c r="BK496" i="3"/>
  <c r="BK508" i="3"/>
  <c r="BK506" i="3"/>
  <c r="BK477" i="3"/>
  <c r="BK480" i="3"/>
  <c r="BK482" i="3"/>
  <c r="BK467" i="3"/>
  <c r="BK464" i="3"/>
  <c r="BH475" i="3"/>
  <c r="BK469" i="3"/>
  <c r="BK444" i="3"/>
  <c r="BK432" i="3"/>
  <c r="BK431" i="3"/>
  <c r="BK455" i="3"/>
  <c r="BK426" i="3"/>
  <c r="BK425" i="3"/>
  <c r="BH494" i="3"/>
  <c r="BH459" i="3"/>
  <c r="BH463" i="3"/>
  <c r="BH512" i="3"/>
  <c r="BH472" i="3"/>
  <c r="BH504" i="3"/>
  <c r="BH486" i="3"/>
  <c r="BK509" i="3"/>
  <c r="BH435" i="3"/>
  <c r="BH520" i="3"/>
  <c r="BJ518" i="3"/>
  <c r="BJ513" i="3"/>
  <c r="BF499" i="3"/>
  <c r="BJ480" i="3"/>
  <c r="BJ483" i="3"/>
  <c r="BJ464" i="3"/>
  <c r="BJ444" i="3"/>
  <c r="BJ450" i="3"/>
  <c r="BF463" i="3"/>
  <c r="BF448" i="3"/>
  <c r="BJ434" i="3"/>
  <c r="BJ429" i="3"/>
  <c r="BG488" i="3"/>
  <c r="BG436" i="3"/>
  <c r="BG472" i="3"/>
  <c r="BG495" i="3"/>
  <c r="BG424" i="3"/>
  <c r="BF453" i="3"/>
  <c r="BF472" i="3"/>
  <c r="BF521" i="3"/>
  <c r="BF442" i="3"/>
  <c r="BG523" i="3"/>
  <c r="BF456" i="3"/>
  <c r="BG476" i="3"/>
  <c r="BG503" i="3"/>
  <c r="BG494" i="3"/>
  <c r="BG432" i="3"/>
  <c r="BG457" i="3"/>
  <c r="BF494" i="3"/>
  <c r="BG520" i="3"/>
  <c r="BF477" i="3"/>
  <c r="BJ523" i="3"/>
  <c r="BJ514" i="3"/>
  <c r="BF507" i="3"/>
  <c r="BJ500" i="3"/>
  <c r="BJ486" i="3"/>
  <c r="BJ476" i="3"/>
  <c r="BJ479" i="3"/>
  <c r="BJ470" i="3"/>
  <c r="BJ453" i="3"/>
  <c r="BF470" i="3"/>
  <c r="BJ461" i="3"/>
  <c r="BJ440" i="3"/>
  <c r="BJ447" i="3"/>
  <c r="BF449" i="3"/>
  <c r="BF462" i="3"/>
  <c r="BJ426" i="3"/>
  <c r="BF444" i="3"/>
  <c r="BF432" i="3"/>
  <c r="BG439" i="3"/>
  <c r="BF440" i="3"/>
  <c r="BG463" i="3"/>
  <c r="BG511" i="3"/>
  <c r="BG452" i="3"/>
  <c r="BF475" i="3"/>
  <c r="BG478" i="3"/>
  <c r="BG442" i="3"/>
  <c r="BG449" i="3"/>
  <c r="BF480" i="3"/>
  <c r="BG425" i="3"/>
  <c r="BF488" i="3"/>
  <c r="BG515" i="3"/>
  <c r="BG429" i="3"/>
  <c r="BG482" i="3"/>
  <c r="BF443" i="3"/>
  <c r="BF465" i="3"/>
  <c r="BG513" i="3"/>
  <c r="BG455" i="3"/>
  <c r="BG466" i="3"/>
  <c r="BF513" i="3"/>
  <c r="BG500" i="3"/>
  <c r="BF467" i="3"/>
  <c r="BF427" i="3"/>
  <c r="BG435" i="3"/>
  <c r="BF437" i="3"/>
  <c r="BG461" i="3"/>
  <c r="BF454" i="3"/>
  <c r="BJ520" i="3"/>
  <c r="BJ519" i="3"/>
  <c r="BJ510" i="3"/>
  <c r="BJ508" i="3"/>
  <c r="BJ505" i="3"/>
  <c r="BJ493" i="3"/>
  <c r="BJ495" i="3"/>
  <c r="BF484" i="3"/>
  <c r="BJ472" i="3"/>
  <c r="BJ475" i="3"/>
  <c r="BJ478" i="3"/>
  <c r="BJ471" i="3"/>
  <c r="BJ466" i="3"/>
  <c r="BG467" i="3"/>
  <c r="BJ455" i="3"/>
  <c r="BJ443" i="3"/>
  <c r="BJ445" i="3"/>
  <c r="BJ439" i="3"/>
  <c r="BJ441" i="3"/>
  <c r="BJ442" i="3"/>
  <c r="BF518" i="3"/>
  <c r="BG454" i="3"/>
  <c r="BF473" i="3"/>
  <c r="BF511" i="3"/>
  <c r="BF430" i="3"/>
  <c r="BG473" i="3"/>
  <c r="BF505" i="3"/>
  <c r="BG502" i="3"/>
  <c r="BF426" i="3"/>
  <c r="BF509" i="3"/>
  <c r="BG443" i="3"/>
  <c r="BG456" i="3"/>
  <c r="BF497" i="3"/>
  <c r="BF433" i="3"/>
  <c r="BG474" i="3"/>
  <c r="BG514" i="3"/>
  <c r="BG437" i="3"/>
  <c r="BF481" i="3"/>
  <c r="BF517" i="3"/>
  <c r="BJ517" i="3"/>
  <c r="BJ448" i="3"/>
  <c r="BG430" i="3"/>
  <c r="BG469" i="3"/>
  <c r="BF487" i="3"/>
  <c r="BJ516" i="3"/>
  <c r="BJ515" i="3"/>
  <c r="BJ506" i="3"/>
  <c r="BF503" i="3"/>
  <c r="BJ509" i="3"/>
  <c r="BJ507" i="3"/>
  <c r="BF491" i="3"/>
  <c r="BJ497" i="3"/>
  <c r="BJ491" i="3"/>
  <c r="BJ494" i="3"/>
  <c r="BJ481" i="3"/>
  <c r="BJ490" i="3"/>
  <c r="BJ474" i="3"/>
  <c r="BJ467" i="3"/>
  <c r="BJ462" i="3"/>
  <c r="BJ468" i="3"/>
  <c r="BJ465" i="3"/>
  <c r="BJ456" i="3"/>
  <c r="BJ454" i="3"/>
  <c r="BG471" i="3"/>
  <c r="BF458" i="3"/>
  <c r="BJ435" i="3"/>
  <c r="BJ437" i="3"/>
  <c r="BJ425" i="3"/>
  <c r="BF435" i="3"/>
  <c r="BF508" i="3"/>
  <c r="BG447" i="3"/>
  <c r="BG480" i="3"/>
  <c r="BG505" i="3"/>
  <c r="BG501" i="3"/>
  <c r="BF438" i="3"/>
  <c r="BF459" i="3"/>
  <c r="BG484" i="3"/>
  <c r="BG508" i="3"/>
  <c r="BG499" i="3"/>
  <c r="BG444" i="3"/>
  <c r="BF476" i="3"/>
  <c r="BG522" i="3"/>
  <c r="BF424" i="3"/>
  <c r="BG465" i="3"/>
  <c r="BG489" i="3"/>
  <c r="BF523" i="3"/>
  <c r="BG431" i="3"/>
  <c r="BG433" i="3"/>
  <c r="BG481" i="3"/>
  <c r="BG509" i="3"/>
  <c r="BF434" i="3"/>
  <c r="BF492" i="3"/>
  <c r="BF498" i="3"/>
  <c r="BG521" i="3"/>
  <c r="BJ451" i="3"/>
  <c r="BF506" i="3"/>
  <c r="BG460" i="3"/>
  <c r="BG485" i="3"/>
  <c r="BJ512" i="3"/>
  <c r="BJ511" i="3"/>
  <c r="BJ502" i="3"/>
  <c r="BJ501" i="3"/>
  <c r="BJ504" i="3"/>
  <c r="BJ503" i="3"/>
  <c r="BJ489" i="3"/>
  <c r="BJ496" i="3"/>
  <c r="BJ487" i="3"/>
  <c r="BJ477" i="3"/>
  <c r="BJ463" i="3"/>
  <c r="BJ449" i="3"/>
  <c r="BG459" i="3"/>
  <c r="BJ446" i="3"/>
  <c r="BJ436" i="3"/>
  <c r="BJ431" i="3"/>
  <c r="BJ430" i="3"/>
  <c r="BG462" i="3"/>
  <c r="BF478" i="3"/>
  <c r="BF522" i="3"/>
  <c r="BF446" i="3"/>
  <c r="BG445" i="3"/>
  <c r="BF520" i="3"/>
  <c r="BF428" i="3"/>
  <c r="BG507" i="3"/>
  <c r="BF451" i="3"/>
  <c r="BG496" i="3"/>
  <c r="BF504" i="3"/>
  <c r="BG518" i="3"/>
  <c r="BG441" i="3"/>
  <c r="BF474" i="3"/>
  <c r="BF515" i="3"/>
  <c r="BF489" i="3"/>
  <c r="BG516" i="3"/>
  <c r="BG427" i="3"/>
  <c r="BG451" i="3"/>
  <c r="BF469" i="3"/>
  <c r="BF483" i="3"/>
  <c r="BF516" i="3"/>
  <c r="BJ469" i="3"/>
  <c r="BJ459" i="3"/>
  <c r="BG446" i="3"/>
  <c r="BF495" i="3"/>
  <c r="BG491" i="3"/>
  <c r="BJ498" i="3"/>
  <c r="BJ499" i="3"/>
  <c r="BJ485" i="3"/>
  <c r="BJ492" i="3"/>
  <c r="BJ473" i="3"/>
  <c r="BG464" i="3"/>
  <c r="BJ432" i="3"/>
  <c r="BJ427" i="3"/>
  <c r="BJ433" i="3"/>
  <c r="BJ438" i="3"/>
  <c r="BG434" i="3"/>
  <c r="BF501" i="3"/>
  <c r="BG453" i="3"/>
  <c r="BF464" i="3"/>
  <c r="BF496" i="3"/>
  <c r="BG428" i="3"/>
  <c r="BG438" i="3"/>
  <c r="BF450" i="3"/>
  <c r="BG504" i="3"/>
  <c r="BF460" i="3"/>
  <c r="BF466" i="3"/>
  <c r="BF493" i="3"/>
  <c r="BF490" i="3"/>
  <c r="BF512" i="3"/>
  <c r="BF447" i="3"/>
  <c r="BG470" i="3"/>
  <c r="BF441" i="3"/>
  <c r="BG458" i="3"/>
  <c r="BG479" i="3"/>
  <c r="BG497" i="3"/>
  <c r="BF468" i="3"/>
  <c r="BF485" i="3"/>
  <c r="BF502" i="3"/>
  <c r="BJ522" i="3"/>
  <c r="BJ484" i="3"/>
  <c r="BF457" i="3"/>
  <c r="BF471" i="3"/>
  <c r="BG448" i="3"/>
  <c r="BF429" i="3"/>
  <c r="BF482" i="3"/>
  <c r="BJ521" i="3"/>
  <c r="BJ488" i="3"/>
  <c r="BG512" i="3"/>
  <c r="BJ482" i="3"/>
  <c r="BJ458" i="3"/>
  <c r="BJ460" i="3"/>
  <c r="BJ457" i="3"/>
  <c r="BJ428" i="3"/>
  <c r="BJ452" i="3"/>
  <c r="BF436" i="3"/>
  <c r="BF439" i="3"/>
  <c r="BF445" i="3"/>
  <c r="BG486" i="3"/>
  <c r="BF431" i="3"/>
  <c r="BF425" i="3"/>
  <c r="BF486" i="3"/>
  <c r="BG426" i="3"/>
  <c r="BG510" i="3"/>
  <c r="BG493" i="3"/>
  <c r="BG490" i="3"/>
  <c r="BG492" i="3"/>
  <c r="BF455" i="3"/>
  <c r="BG483" i="3"/>
  <c r="BG517" i="3"/>
  <c r="BF452" i="3"/>
  <c r="BG450" i="3"/>
  <c r="BG468" i="3"/>
  <c r="BG477" i="3"/>
  <c r="BG519" i="3"/>
  <c r="BF461" i="3"/>
  <c r="BG475" i="3"/>
  <c r="BG487" i="3"/>
  <c r="BF519" i="3"/>
  <c r="BG440" i="3"/>
  <c r="BG498" i="3"/>
  <c r="BJ424" i="3"/>
  <c r="BG506" i="3"/>
  <c r="BF514" i="3"/>
  <c r="BF479" i="3"/>
  <c r="BF500" i="3"/>
  <c r="BF510" i="3"/>
  <c r="BJ422" i="3"/>
  <c r="BJ417" i="3"/>
  <c r="BJ397" i="3"/>
  <c r="BJ394" i="3"/>
  <c r="BJ393" i="3"/>
  <c r="BF385" i="3"/>
  <c r="BJ374" i="3"/>
  <c r="BF377" i="3"/>
  <c r="BF372" i="3"/>
  <c r="BJ367" i="3"/>
  <c r="BJ373" i="3"/>
  <c r="BF366" i="3"/>
  <c r="BJ362" i="3"/>
  <c r="BF353" i="3"/>
  <c r="BJ354" i="3"/>
  <c r="BJ349" i="3"/>
  <c r="BJ340" i="3"/>
  <c r="BJ329" i="3"/>
  <c r="BJ351" i="3"/>
  <c r="BJ296" i="3"/>
  <c r="BJ315" i="3"/>
  <c r="BJ292" i="3"/>
  <c r="BJ291" i="3"/>
  <c r="BF294" i="3"/>
  <c r="BJ290" i="3"/>
  <c r="BJ309" i="3"/>
  <c r="BF277" i="3"/>
  <c r="BG286" i="3"/>
  <c r="BJ268" i="3"/>
  <c r="BJ260" i="3"/>
  <c r="BJ269" i="3"/>
  <c r="BJ244" i="3"/>
  <c r="BF236" i="3"/>
  <c r="BF246" i="3"/>
  <c r="BF251" i="3"/>
  <c r="BF271" i="3"/>
  <c r="BJ270" i="3"/>
  <c r="BJ250" i="3"/>
  <c r="BJ230" i="3"/>
  <c r="BF274" i="3"/>
  <c r="BF338" i="3"/>
  <c r="BF302" i="3"/>
  <c r="BG312" i="3"/>
  <c r="BG355" i="3"/>
  <c r="BG388" i="3"/>
  <c r="BG415" i="3"/>
  <c r="BF254" i="3"/>
  <c r="BF329" i="3"/>
  <c r="BG304" i="3"/>
  <c r="BG339" i="3"/>
  <c r="BG327" i="3"/>
  <c r="BF405" i="3"/>
  <c r="BF422" i="3"/>
  <c r="BG247" i="3"/>
  <c r="BG329" i="3"/>
  <c r="BF304" i="3"/>
  <c r="BF324" i="3"/>
  <c r="BF360" i="3"/>
  <c r="BF370" i="3"/>
  <c r="BG401" i="3"/>
  <c r="BG404" i="3"/>
  <c r="BG227" i="3"/>
  <c r="BG293" i="3"/>
  <c r="BF339" i="3"/>
  <c r="BG361" i="3"/>
  <c r="BF265" i="3"/>
  <c r="BF266" i="3"/>
  <c r="BG331" i="3"/>
  <c r="BG358" i="3"/>
  <c r="BF290" i="3"/>
  <c r="BG314" i="3"/>
  <c r="BG345" i="3"/>
  <c r="BF421" i="3"/>
  <c r="BG392" i="3"/>
  <c r="BG271" i="3"/>
  <c r="BF306" i="3"/>
  <c r="BG309" i="3"/>
  <c r="BF345" i="3"/>
  <c r="BG363" i="3"/>
  <c r="BF407" i="3"/>
  <c r="BG400" i="3"/>
  <c r="BG264" i="3"/>
  <c r="BG364" i="3"/>
  <c r="BG399" i="3"/>
  <c r="BJ404" i="3"/>
  <c r="BJ353" i="3"/>
  <c r="BJ352" i="3"/>
  <c r="BJ287" i="3"/>
  <c r="BJ247" i="3"/>
  <c r="BG290" i="3"/>
  <c r="BG395" i="3"/>
  <c r="BF314" i="3"/>
  <c r="BF413" i="3"/>
  <c r="BG316" i="3"/>
  <c r="BG269" i="3"/>
  <c r="BF356" i="3"/>
  <c r="BJ423" i="3"/>
  <c r="BJ418" i="3"/>
  <c r="BJ413" i="3"/>
  <c r="BJ411" i="3"/>
  <c r="BJ395" i="3"/>
  <c r="BJ390" i="3"/>
  <c r="BF388" i="3"/>
  <c r="BJ389" i="3"/>
  <c r="BG389" i="3"/>
  <c r="BF368" i="3"/>
  <c r="BJ356" i="3"/>
  <c r="BJ350" i="3"/>
  <c r="BJ345" i="3"/>
  <c r="BF336" i="3"/>
  <c r="BF327" i="3"/>
  <c r="BJ337" i="3"/>
  <c r="BJ318" i="3"/>
  <c r="BJ302" i="3"/>
  <c r="BJ288" i="3"/>
  <c r="BJ313" i="3"/>
  <c r="BF289" i="3"/>
  <c r="BF288" i="3"/>
  <c r="BJ272" i="3"/>
  <c r="BF263" i="3"/>
  <c r="BJ264" i="3"/>
  <c r="BJ259" i="3"/>
  <c r="BJ267" i="3"/>
  <c r="BF234" i="3"/>
  <c r="BG246" i="3"/>
  <c r="BF235" i="3"/>
  <c r="BG245" i="3"/>
  <c r="BF252" i="3"/>
  <c r="BJ246" i="3"/>
  <c r="BF227" i="3"/>
  <c r="BJ229" i="3"/>
  <c r="BF224" i="3"/>
  <c r="BG254" i="3"/>
  <c r="BG300" i="3"/>
  <c r="BG359" i="3"/>
  <c r="BG403" i="3"/>
  <c r="BG258" i="3"/>
  <c r="BF300" i="3"/>
  <c r="BF328" i="3"/>
  <c r="BF395" i="3"/>
  <c r="BG412" i="3"/>
  <c r="BG347" i="3"/>
  <c r="BF374" i="3"/>
  <c r="BF248" i="3"/>
  <c r="BF310" i="3"/>
  <c r="BG366" i="3"/>
  <c r="BG381" i="3"/>
  <c r="BG251" i="3"/>
  <c r="BG231" i="3"/>
  <c r="BF286" i="3"/>
  <c r="BG341" i="3"/>
  <c r="BF361" i="3"/>
  <c r="BG421" i="3"/>
  <c r="BF420" i="3"/>
  <c r="BG249" i="3"/>
  <c r="BG340" i="3"/>
  <c r="BF402" i="3"/>
  <c r="BF257" i="3"/>
  <c r="BF383" i="3"/>
  <c r="BG408" i="3"/>
  <c r="BG253" i="3"/>
  <c r="BG275" i="3"/>
  <c r="BG338" i="3"/>
  <c r="BG320" i="3"/>
  <c r="BF380" i="3"/>
  <c r="BJ415" i="3"/>
  <c r="BF357" i="3"/>
  <c r="BJ330" i="3"/>
  <c r="BJ331" i="3"/>
  <c r="BJ307" i="3"/>
  <c r="BJ257" i="3"/>
  <c r="BJ240" i="3"/>
  <c r="BF283" i="3"/>
  <c r="BG357" i="3"/>
  <c r="BG396" i="3"/>
  <c r="BG342" i="3"/>
  <c r="BG417" i="3"/>
  <c r="BF316" i="3"/>
  <c r="BJ420" i="3"/>
  <c r="BJ419" i="3"/>
  <c r="BJ414" i="3"/>
  <c r="BJ408" i="3"/>
  <c r="BF409" i="3"/>
  <c r="BJ391" i="3"/>
  <c r="BJ383" i="3"/>
  <c r="BF399" i="3"/>
  <c r="BJ359" i="3"/>
  <c r="BJ358" i="3"/>
  <c r="BF365" i="3"/>
  <c r="BF348" i="3"/>
  <c r="BJ341" i="3"/>
  <c r="BJ335" i="3"/>
  <c r="BJ325" i="3"/>
  <c r="BJ336" i="3"/>
  <c r="BJ321" i="3"/>
  <c r="BF323" i="3"/>
  <c r="BJ311" i="3"/>
  <c r="BJ319" i="3"/>
  <c r="BJ284" i="3"/>
  <c r="BJ295" i="3"/>
  <c r="BF301" i="3"/>
  <c r="BJ286" i="3"/>
  <c r="BJ298" i="3"/>
  <c r="BJ266" i="3"/>
  <c r="BF262" i="3"/>
  <c r="BJ258" i="3"/>
  <c r="BF233" i="3"/>
  <c r="BF232" i="3"/>
  <c r="BF229" i="3"/>
  <c r="BJ242" i="3"/>
  <c r="BF245" i="3"/>
  <c r="BJ239" i="3"/>
  <c r="BJ255" i="3"/>
  <c r="BJ249" i="3"/>
  <c r="BJ226" i="3"/>
  <c r="BG259" i="3"/>
  <c r="BG280" i="3"/>
  <c r="BF378" i="3"/>
  <c r="BG405" i="3"/>
  <c r="BF278" i="3"/>
  <c r="BF297" i="3"/>
  <c r="BF337" i="3"/>
  <c r="BF342" i="3"/>
  <c r="BF240" i="3"/>
  <c r="BG288" i="3"/>
  <c r="BG302" i="3"/>
  <c r="BG352" i="3"/>
  <c r="BG368" i="3"/>
  <c r="BF376" i="3"/>
  <c r="BF406" i="3"/>
  <c r="BF347" i="3"/>
  <c r="BG420" i="3"/>
  <c r="BF264" i="3"/>
  <c r="BG235" i="3"/>
  <c r="BG317" i="3"/>
  <c r="BG328" i="3"/>
  <c r="BG385" i="3"/>
  <c r="BG255" i="3"/>
  <c r="BG299" i="3"/>
  <c r="BG390" i="3"/>
  <c r="BG295" i="3"/>
  <c r="BG333" i="3"/>
  <c r="BF346" i="3"/>
  <c r="BF364" i="3"/>
  <c r="BF253" i="3"/>
  <c r="BF270" i="3"/>
  <c r="BJ416" i="3"/>
  <c r="BJ398" i="3"/>
  <c r="BJ380" i="3"/>
  <c r="BF381" i="3"/>
  <c r="BG387" i="3"/>
  <c r="BJ369" i="3"/>
  <c r="BJ368" i="3"/>
  <c r="BJ347" i="3"/>
  <c r="BJ333" i="3"/>
  <c r="BF261" i="3"/>
  <c r="BG244" i="3"/>
  <c r="BG306" i="3"/>
  <c r="BG248" i="3"/>
  <c r="BG263" i="3"/>
  <c r="BG375" i="3"/>
  <c r="BF392" i="3"/>
  <c r="BF349" i="3"/>
  <c r="BJ412" i="3"/>
  <c r="BJ400" i="3"/>
  <c r="BJ407" i="3"/>
  <c r="BJ406" i="3"/>
  <c r="BF397" i="3"/>
  <c r="BJ410" i="3"/>
  <c r="BJ379" i="3"/>
  <c r="BF386" i="3"/>
  <c r="BJ381" i="3"/>
  <c r="BJ385" i="3"/>
  <c r="BJ372" i="3"/>
  <c r="BJ365" i="3"/>
  <c r="BJ364" i="3"/>
  <c r="BG374" i="3"/>
  <c r="BG365" i="3"/>
  <c r="BJ343" i="3"/>
  <c r="BF344" i="3"/>
  <c r="BJ326" i="3"/>
  <c r="BG346" i="3"/>
  <c r="BJ334" i="3"/>
  <c r="BJ327" i="3"/>
  <c r="BJ312" i="3"/>
  <c r="BJ303" i="3"/>
  <c r="BF312" i="3"/>
  <c r="BJ276" i="3"/>
  <c r="BF285" i="3"/>
  <c r="BF319" i="3"/>
  <c r="BJ293" i="3"/>
  <c r="BF279" i="3"/>
  <c r="BF260" i="3"/>
  <c r="BJ271" i="3"/>
  <c r="BJ241" i="3"/>
  <c r="BF230" i="3"/>
  <c r="BJ237" i="3"/>
  <c r="BJ232" i="3"/>
  <c r="BJ236" i="3"/>
  <c r="BJ248" i="3"/>
  <c r="BJ234" i="3"/>
  <c r="BJ225" i="3"/>
  <c r="BG229" i="3"/>
  <c r="BF282" i="3"/>
  <c r="BG292" i="3"/>
  <c r="BF320" i="3"/>
  <c r="BG337" i="3"/>
  <c r="BG402" i="3"/>
  <c r="BG266" i="3"/>
  <c r="BF322" i="3"/>
  <c r="BF318" i="3"/>
  <c r="BF359" i="3"/>
  <c r="BG367" i="3"/>
  <c r="BG378" i="3"/>
  <c r="BF412" i="3"/>
  <c r="BF272" i="3"/>
  <c r="BG287" i="3"/>
  <c r="BG313" i="3"/>
  <c r="BF352" i="3"/>
  <c r="BF367" i="3"/>
  <c r="BF401" i="3"/>
  <c r="BG257" i="3"/>
  <c r="BG252" i="3"/>
  <c r="BG284" i="3"/>
  <c r="BF313" i="3"/>
  <c r="BF330" i="3"/>
  <c r="BF375" i="3"/>
  <c r="BG308" i="3"/>
  <c r="BG315" i="3"/>
  <c r="BG323" i="3"/>
  <c r="BG353" i="3"/>
  <c r="BG386" i="3"/>
  <c r="BF410" i="3"/>
  <c r="BG228" i="3"/>
  <c r="BF308" i="3"/>
  <c r="BG289" i="3"/>
  <c r="BG371" i="3"/>
  <c r="BF390" i="3"/>
  <c r="BF398" i="3"/>
  <c r="BF416" i="3"/>
  <c r="BF309" i="3"/>
  <c r="BG348" i="3"/>
  <c r="BF419" i="3"/>
  <c r="BF408" i="3"/>
  <c r="BJ233" i="3"/>
  <c r="BG297" i="3"/>
  <c r="BG372" i="3"/>
  <c r="BG350" i="3"/>
  <c r="BG325" i="3"/>
  <c r="BG422" i="3"/>
  <c r="BJ403" i="3"/>
  <c r="BF404" i="3"/>
  <c r="BJ405" i="3"/>
  <c r="BJ396" i="3"/>
  <c r="BJ376" i="3"/>
  <c r="BJ377" i="3"/>
  <c r="BJ370" i="3"/>
  <c r="BJ387" i="3"/>
  <c r="BJ366" i="3"/>
  <c r="BJ361" i="3"/>
  <c r="BJ342" i="3"/>
  <c r="BG383" i="3"/>
  <c r="BF355" i="3"/>
  <c r="BJ322" i="3"/>
  <c r="BJ328" i="3"/>
  <c r="BJ323" i="3"/>
  <c r="BJ308" i="3"/>
  <c r="BG321" i="3"/>
  <c r="BF334" i="3"/>
  <c r="BJ310" i="3"/>
  <c r="BF303" i="3"/>
  <c r="BF311" i="3"/>
  <c r="BG294" i="3"/>
  <c r="BJ283" i="3"/>
  <c r="BJ317" i="3"/>
  <c r="BJ289" i="3"/>
  <c r="BJ275" i="3"/>
  <c r="BJ263" i="3"/>
  <c r="BJ277" i="3"/>
  <c r="BJ279" i="3"/>
  <c r="BF228" i="3"/>
  <c r="BF239" i="3"/>
  <c r="BG268" i="3"/>
  <c r="BJ235" i="3"/>
  <c r="BJ224" i="3"/>
  <c r="BG225" i="3"/>
  <c r="BG233" i="3"/>
  <c r="BG282" i="3"/>
  <c r="BF333" i="3"/>
  <c r="BF259" i="3"/>
  <c r="BF280" i="3"/>
  <c r="BF298" i="3"/>
  <c r="BG303" i="3"/>
  <c r="BG360" i="3"/>
  <c r="BG376" i="3"/>
  <c r="BG230" i="3"/>
  <c r="BG319" i="3"/>
  <c r="BG336" i="3"/>
  <c r="BG373" i="3"/>
  <c r="BF258" i="3"/>
  <c r="BG298" i="3"/>
  <c r="BF387" i="3"/>
  <c r="BG411" i="3"/>
  <c r="BF267" i="3"/>
  <c r="BG260" i="3"/>
  <c r="BG278" i="3"/>
  <c r="BF305" i="3"/>
  <c r="BG279" i="3"/>
  <c r="BF317" i="3"/>
  <c r="BF341" i="3"/>
  <c r="BF394" i="3"/>
  <c r="BG407" i="3"/>
  <c r="BG416" i="3"/>
  <c r="BG232" i="3"/>
  <c r="BG334" i="3"/>
  <c r="BG377" i="3"/>
  <c r="BG409" i="3"/>
  <c r="BG283" i="3"/>
  <c r="BG318" i="3"/>
  <c r="BF350" i="3"/>
  <c r="BF363" i="3"/>
  <c r="BF389" i="3"/>
  <c r="BF299" i="3"/>
  <c r="BF231" i="3"/>
  <c r="BJ238" i="3"/>
  <c r="BG242" i="3"/>
  <c r="BG324" i="3"/>
  <c r="BF249" i="3"/>
  <c r="BF332" i="3"/>
  <c r="BF268" i="3"/>
  <c r="BG410" i="3"/>
  <c r="BJ399" i="3"/>
  <c r="BJ402" i="3"/>
  <c r="BJ401" i="3"/>
  <c r="BF411" i="3"/>
  <c r="BJ392" i="3"/>
  <c r="BF391" i="3"/>
  <c r="BJ384" i="3"/>
  <c r="BJ382" i="3"/>
  <c r="BJ339" i="3"/>
  <c r="BF340" i="3"/>
  <c r="BJ355" i="3"/>
  <c r="BJ348" i="3"/>
  <c r="BF335" i="3"/>
  <c r="BJ324" i="3"/>
  <c r="BJ304" i="3"/>
  <c r="BJ299" i="3"/>
  <c r="BJ305" i="3"/>
  <c r="BF293" i="3"/>
  <c r="BF281" i="3"/>
  <c r="BF315" i="3"/>
  <c r="BF307" i="3"/>
  <c r="BJ285" i="3"/>
  <c r="BJ274" i="3"/>
  <c r="BJ262" i="3"/>
  <c r="BJ253" i="3"/>
  <c r="BF226" i="3"/>
  <c r="BF238" i="3"/>
  <c r="BJ256" i="3"/>
  <c r="BF276" i="3"/>
  <c r="BF244" i="3"/>
  <c r="BF255" i="3"/>
  <c r="BJ231" i="3"/>
  <c r="BG237" i="3"/>
  <c r="BG291" i="3"/>
  <c r="BG322" i="3"/>
  <c r="BF326" i="3"/>
  <c r="BG343" i="3"/>
  <c r="BF371" i="3"/>
  <c r="BG277" i="3"/>
  <c r="BG311" i="3"/>
  <c r="BF403" i="3"/>
  <c r="BF415" i="3"/>
  <c r="BG256" i="3"/>
  <c r="BG234" i="3"/>
  <c r="BG344" i="3"/>
  <c r="BG391" i="3"/>
  <c r="BF423" i="3"/>
  <c r="BG267" i="3"/>
  <c r="BG270" i="3"/>
  <c r="BG305" i="3"/>
  <c r="BG398" i="3"/>
  <c r="BF241" i="3"/>
  <c r="BG332" i="3"/>
  <c r="BG351" i="3"/>
  <c r="BF358" i="3"/>
  <c r="BG394" i="3"/>
  <c r="BG397" i="3"/>
  <c r="BF247" i="3"/>
  <c r="BF284" i="3"/>
  <c r="BF354" i="3"/>
  <c r="BG414" i="3"/>
  <c r="BF242" i="3"/>
  <c r="BG236" i="3"/>
  <c r="BG273" i="3"/>
  <c r="BG296" i="3"/>
  <c r="BG382" i="3"/>
  <c r="BG393" i="3"/>
  <c r="BG419" i="3"/>
  <c r="BF225" i="3"/>
  <c r="BG261" i="3"/>
  <c r="BF296" i="3"/>
  <c r="BF418" i="3"/>
  <c r="BJ297" i="3"/>
  <c r="BJ228" i="3"/>
  <c r="BG370" i="3"/>
  <c r="BG239" i="3"/>
  <c r="BF393" i="3"/>
  <c r="BF351" i="3"/>
  <c r="BJ421" i="3"/>
  <c r="BJ409" i="3"/>
  <c r="BF400" i="3"/>
  <c r="BJ388" i="3"/>
  <c r="BJ386" i="3"/>
  <c r="BJ378" i="3"/>
  <c r="BF373" i="3"/>
  <c r="BJ371" i="3"/>
  <c r="BJ360" i="3"/>
  <c r="BJ357" i="3"/>
  <c r="BJ344" i="3"/>
  <c r="BJ338" i="3"/>
  <c r="BF331" i="3"/>
  <c r="BG354" i="3"/>
  <c r="BJ332" i="3"/>
  <c r="BJ300" i="3"/>
  <c r="BF321" i="3"/>
  <c r="BJ306" i="3"/>
  <c r="BJ320" i="3"/>
  <c r="BJ294" i="3"/>
  <c r="BJ301" i="3"/>
  <c r="BF295" i="3"/>
  <c r="BF292" i="3"/>
  <c r="BJ281" i="3"/>
  <c r="BJ278" i="3"/>
  <c r="BF269" i="3"/>
  <c r="BJ265" i="3"/>
  <c r="BJ273" i="3"/>
  <c r="BJ261" i="3"/>
  <c r="BJ245" i="3"/>
  <c r="BJ251" i="3"/>
  <c r="BF243" i="3"/>
  <c r="BF237" i="3"/>
  <c r="BJ252" i="3"/>
  <c r="BF273" i="3"/>
  <c r="BG243" i="3"/>
  <c r="BJ254" i="3"/>
  <c r="BJ227" i="3"/>
  <c r="BG262" i="3"/>
  <c r="BG241" i="3"/>
  <c r="BG418" i="3"/>
  <c r="BG226" i="3"/>
  <c r="BF291" i="3"/>
  <c r="BG285" i="3"/>
  <c r="BF343" i="3"/>
  <c r="BF396" i="3"/>
  <c r="BF414" i="3"/>
  <c r="BG272" i="3"/>
  <c r="BG238" i="3"/>
  <c r="BF379" i="3"/>
  <c r="BG384" i="3"/>
  <c r="BG413" i="3"/>
  <c r="BG265" i="3"/>
  <c r="BG276" i="3"/>
  <c r="BG330" i="3"/>
  <c r="BG362" i="3"/>
  <c r="BG379" i="3"/>
  <c r="BF250" i="3"/>
  <c r="BF287" i="3"/>
  <c r="BG281" i="3"/>
  <c r="BF362" i="3"/>
  <c r="BF382" i="3"/>
  <c r="BG310" i="3"/>
  <c r="BG369" i="3"/>
  <c r="BG406" i="3"/>
  <c r="BG240" i="3"/>
  <c r="BG301" i="3"/>
  <c r="BF325" i="3"/>
  <c r="BG349" i="3"/>
  <c r="BG356" i="3"/>
  <c r="BG380" i="3"/>
  <c r="BF417" i="3"/>
  <c r="BF256" i="3"/>
  <c r="BG250" i="3"/>
  <c r="BG326" i="3"/>
  <c r="BF384" i="3"/>
  <c r="BJ375" i="3"/>
  <c r="BJ363" i="3"/>
  <c r="BJ346" i="3"/>
  <c r="BJ316" i="3"/>
  <c r="BJ314" i="3"/>
  <c r="BJ280" i="3"/>
  <c r="BJ282" i="3"/>
  <c r="BJ243" i="3"/>
  <c r="BG423" i="3"/>
  <c r="BG335" i="3"/>
  <c r="BG274" i="3"/>
  <c r="BG307" i="3"/>
  <c r="BG224" i="3"/>
  <c r="BF369" i="3"/>
  <c r="BF275" i="3"/>
  <c r="BK411" i="3"/>
  <c r="BK407" i="3"/>
  <c r="BK402" i="3"/>
  <c r="BK412" i="3"/>
  <c r="BK383" i="3"/>
  <c r="BK378" i="3"/>
  <c r="BK376" i="3"/>
  <c r="BK353" i="3"/>
  <c r="BH357" i="3"/>
  <c r="BH353" i="3"/>
  <c r="BK329" i="3"/>
  <c r="BK320" i="3"/>
  <c r="BK299" i="3"/>
  <c r="BK319" i="3"/>
  <c r="BK340" i="3"/>
  <c r="BH303" i="3"/>
  <c r="BK301" i="3"/>
  <c r="BK316" i="3"/>
  <c r="BH299" i="3"/>
  <c r="BK271" i="3"/>
  <c r="BK289" i="3"/>
  <c r="BK265" i="3"/>
  <c r="BK257" i="3"/>
  <c r="BK249" i="3"/>
  <c r="BK244" i="3"/>
  <c r="BK288" i="3"/>
  <c r="BK241" i="3"/>
  <c r="BK233" i="3"/>
  <c r="BH229" i="3"/>
  <c r="BH272" i="3"/>
  <c r="BH371" i="3"/>
  <c r="BH227" i="3"/>
  <c r="BH248" i="3"/>
  <c r="BH278" i="3"/>
  <c r="BH325" i="3"/>
  <c r="BH238" i="3"/>
  <c r="BH246" i="3"/>
  <c r="BH283" i="3"/>
  <c r="BH250" i="3"/>
  <c r="BH323" i="3"/>
  <c r="BH415" i="3"/>
  <c r="BK366" i="3"/>
  <c r="BK341" i="3"/>
  <c r="BH321" i="3"/>
  <c r="BK273" i="3"/>
  <c r="BK246" i="3"/>
  <c r="BK238" i="3"/>
  <c r="BH347" i="3"/>
  <c r="BH375" i="3"/>
  <c r="BH367" i="3"/>
  <c r="BH338" i="3"/>
  <c r="BK403" i="3"/>
  <c r="BK398" i="3"/>
  <c r="BK408" i="3"/>
  <c r="BK379" i="3"/>
  <c r="BK384" i="3"/>
  <c r="BK374" i="3"/>
  <c r="BK389" i="3"/>
  <c r="BH373" i="3"/>
  <c r="BK368" i="3"/>
  <c r="BK370" i="3"/>
  <c r="BH365" i="3"/>
  <c r="BK360" i="3"/>
  <c r="BK350" i="3"/>
  <c r="BK349" i="3"/>
  <c r="BK325" i="3"/>
  <c r="BK327" i="3"/>
  <c r="BK295" i="3"/>
  <c r="BH312" i="3"/>
  <c r="BK297" i="3"/>
  <c r="BK312" i="3"/>
  <c r="BK296" i="3"/>
  <c r="BK290" i="3"/>
  <c r="BK285" i="3"/>
  <c r="BH302" i="3"/>
  <c r="BK256" i="3"/>
  <c r="BK276" i="3"/>
  <c r="BK243" i="3"/>
  <c r="BK248" i="3"/>
  <c r="BH260" i="3"/>
  <c r="BK240" i="3"/>
  <c r="BK232" i="3"/>
  <c r="BH261" i="3"/>
  <c r="BH266" i="3"/>
  <c r="BH354" i="3"/>
  <c r="BH335" i="3"/>
  <c r="BH241" i="3"/>
  <c r="BH267" i="3"/>
  <c r="BH274" i="3"/>
  <c r="BH300" i="3"/>
  <c r="BH328" i="3"/>
  <c r="BH366" i="3"/>
  <c r="BH404" i="3"/>
  <c r="BH317" i="3"/>
  <c r="BH324" i="3"/>
  <c r="BH308" i="3"/>
  <c r="BH269" i="3"/>
  <c r="BH309" i="3"/>
  <c r="BH236" i="3"/>
  <c r="BH314" i="3"/>
  <c r="BH350" i="3"/>
  <c r="BH257" i="3"/>
  <c r="BH403" i="3"/>
  <c r="BK392" i="3"/>
  <c r="BK371" i="3"/>
  <c r="BK387" i="3"/>
  <c r="BK342" i="3"/>
  <c r="BK336" i="3"/>
  <c r="BK291" i="3"/>
  <c r="BK277" i="3"/>
  <c r="BK230" i="3"/>
  <c r="BH412" i="3"/>
  <c r="BH298" i="3"/>
  <c r="BH402" i="3"/>
  <c r="BK399" i="3"/>
  <c r="BK405" i="3"/>
  <c r="BK404" i="3"/>
  <c r="BK396" i="3"/>
  <c r="BH381" i="3"/>
  <c r="BK375" i="3"/>
  <c r="BK385" i="3"/>
  <c r="BK377" i="3"/>
  <c r="BH372" i="3"/>
  <c r="BK364" i="3"/>
  <c r="BK373" i="3"/>
  <c r="BK356" i="3"/>
  <c r="BK346" i="3"/>
  <c r="BK345" i="3"/>
  <c r="BK321" i="3"/>
  <c r="BK348" i="3"/>
  <c r="BK314" i="3"/>
  <c r="BK330" i="3"/>
  <c r="BK308" i="3"/>
  <c r="BH288" i="3"/>
  <c r="BK286" i="3"/>
  <c r="BK281" i="3"/>
  <c r="BK284" i="3"/>
  <c r="BK263" i="3"/>
  <c r="BK255" i="3"/>
  <c r="BH245" i="3"/>
  <c r="BK239" i="3"/>
  <c r="BK231" i="3"/>
  <c r="BH255" i="3"/>
  <c r="BK245" i="3"/>
  <c r="BH234" i="3"/>
  <c r="BH318" i="3"/>
  <c r="BH320" i="3"/>
  <c r="BH363" i="3"/>
  <c r="BH268" i="3"/>
  <c r="BH306" i="3"/>
  <c r="BH379" i="3"/>
  <c r="BH389" i="3"/>
  <c r="BH281" i="3"/>
  <c r="BH256" i="3"/>
  <c r="BH421" i="3"/>
  <c r="BH289" i="3"/>
  <c r="BH417" i="3"/>
  <c r="BH271" i="3"/>
  <c r="BH279" i="3"/>
  <c r="BH346" i="3"/>
  <c r="BH344" i="3"/>
  <c r="BH419" i="3"/>
  <c r="BH235" i="3"/>
  <c r="BH276" i="3"/>
  <c r="BH327" i="3"/>
  <c r="BH400" i="3"/>
  <c r="BH233" i="3"/>
  <c r="BH359" i="3"/>
  <c r="BH395" i="3"/>
  <c r="BH405" i="3"/>
  <c r="BH334" i="3"/>
  <c r="BK304" i="3"/>
  <c r="BK282" i="3"/>
  <c r="BH391" i="3"/>
  <c r="BH416" i="3"/>
  <c r="BH362" i="3"/>
  <c r="BK422" i="3"/>
  <c r="BK417" i="3"/>
  <c r="BH411" i="3"/>
  <c r="BK394" i="3"/>
  <c r="BK388" i="3"/>
  <c r="BH377" i="3"/>
  <c r="BK367" i="3"/>
  <c r="BK362" i="3"/>
  <c r="BK347" i="3"/>
  <c r="BK338" i="3"/>
  <c r="BK337" i="3"/>
  <c r="BH358" i="3"/>
  <c r="BK332" i="3"/>
  <c r="BK315" i="3"/>
  <c r="BK306" i="3"/>
  <c r="BK317" i="3"/>
  <c r="BK331" i="3"/>
  <c r="BK300" i="3"/>
  <c r="BK287" i="3"/>
  <c r="BH295" i="3"/>
  <c r="BK278" i="3"/>
  <c r="BK261" i="3"/>
  <c r="BK253" i="3"/>
  <c r="BK267" i="3"/>
  <c r="BK242" i="3"/>
  <c r="BH243" i="3"/>
  <c r="BK237" i="3"/>
  <c r="BK229" i="3"/>
  <c r="BH360" i="3"/>
  <c r="BH423" i="3"/>
  <c r="BH228" i="3"/>
  <c r="BH370" i="3"/>
  <c r="BH401" i="3"/>
  <c r="BH413" i="3"/>
  <c r="BH265" i="3"/>
  <c r="BH287" i="3"/>
  <c r="BH313" i="3"/>
  <c r="BH311" i="3"/>
  <c r="BH337" i="3"/>
  <c r="BH410" i="3"/>
  <c r="BH247" i="3"/>
  <c r="BH407" i="3"/>
  <c r="BH224" i="3"/>
  <c r="BH244" i="3"/>
  <c r="BH387" i="3"/>
  <c r="BH249" i="3"/>
  <c r="BH326" i="3"/>
  <c r="BH253" i="3"/>
  <c r="BH280" i="3"/>
  <c r="BH345" i="3"/>
  <c r="BH396" i="3"/>
  <c r="BK254" i="3"/>
  <c r="BH349" i="3"/>
  <c r="BH351" i="3"/>
  <c r="BK423" i="3"/>
  <c r="BK418" i="3"/>
  <c r="BK413" i="3"/>
  <c r="BK390" i="3"/>
  <c r="BK393" i="3"/>
  <c r="BK397" i="3"/>
  <c r="BH386" i="3"/>
  <c r="BH384" i="3"/>
  <c r="BK359" i="3"/>
  <c r="BK363" i="3"/>
  <c r="BK343" i="3"/>
  <c r="BH340" i="3"/>
  <c r="BK334" i="3"/>
  <c r="BK344" i="3"/>
  <c r="BK333" i="3"/>
  <c r="BK311" i="3"/>
  <c r="BK302" i="3"/>
  <c r="BK313" i="3"/>
  <c r="BK326" i="3"/>
  <c r="BK283" i="3"/>
  <c r="BK274" i="3"/>
  <c r="BK292" i="3"/>
  <c r="BH275" i="3"/>
  <c r="BK268" i="3"/>
  <c r="BK260" i="3"/>
  <c r="BK252" i="3"/>
  <c r="BH259" i="3"/>
  <c r="BK225" i="3"/>
  <c r="BK247" i="3"/>
  <c r="BK236" i="3"/>
  <c r="BK228" i="3"/>
  <c r="BH262" i="3"/>
  <c r="BH297" i="3"/>
  <c r="BH385" i="3"/>
  <c r="BH418" i="3"/>
  <c r="BH322" i="3"/>
  <c r="BH398" i="3"/>
  <c r="BH420" i="3"/>
  <c r="BH284" i="3"/>
  <c r="BH374" i="3"/>
  <c r="BH231" i="3"/>
  <c r="BH406" i="3"/>
  <c r="BH232" i="3"/>
  <c r="BH332" i="3"/>
  <c r="BH315" i="3"/>
  <c r="BH361" i="3"/>
  <c r="BH286" i="3"/>
  <c r="BH294" i="3"/>
  <c r="BH341" i="3"/>
  <c r="BH293" i="3"/>
  <c r="BH258" i="3"/>
  <c r="BK416" i="3"/>
  <c r="BK310" i="3"/>
  <c r="BK262" i="3"/>
  <c r="BH392" i="3"/>
  <c r="BH296" i="3"/>
  <c r="BK419" i="3"/>
  <c r="BK414" i="3"/>
  <c r="BK409" i="3"/>
  <c r="BK386" i="3"/>
  <c r="BK391" i="3"/>
  <c r="BK395" i="3"/>
  <c r="BK380" i="3"/>
  <c r="BK369" i="3"/>
  <c r="BK381" i="3"/>
  <c r="BH376" i="3"/>
  <c r="BK355" i="3"/>
  <c r="BK358" i="3"/>
  <c r="BK361" i="3"/>
  <c r="BK400" i="3"/>
  <c r="BK339" i="3"/>
  <c r="BH319" i="3"/>
  <c r="BK328" i="3"/>
  <c r="BH336" i="3"/>
  <c r="BK307" i="3"/>
  <c r="BK318" i="3"/>
  <c r="BK322" i="3"/>
  <c r="BK298" i="3"/>
  <c r="BH307" i="3"/>
  <c r="BK309" i="3"/>
  <c r="BK323" i="3"/>
  <c r="BK279" i="3"/>
  <c r="BH270" i="3"/>
  <c r="BK264" i="3"/>
  <c r="BK259" i="3"/>
  <c r="BK251" i="3"/>
  <c r="BH273" i="3"/>
  <c r="BH263" i="3"/>
  <c r="BK266" i="3"/>
  <c r="BK224" i="3"/>
  <c r="BK235" i="3"/>
  <c r="BK227" i="3"/>
  <c r="BH240" i="3"/>
  <c r="BH251" i="3"/>
  <c r="BH409" i="3"/>
  <c r="BH226" i="3"/>
  <c r="BH330" i="3"/>
  <c r="BH239" i="3"/>
  <c r="BH394" i="3"/>
  <c r="BH414" i="3"/>
  <c r="BH254" i="3"/>
  <c r="BH383" i="3"/>
  <c r="BH382" i="3"/>
  <c r="BH310" i="3"/>
  <c r="BH242" i="3"/>
  <c r="BH285" i="3"/>
  <c r="BH333" i="3"/>
  <c r="BH393" i="3"/>
  <c r="BK401" i="3"/>
  <c r="BK415" i="3"/>
  <c r="BK410" i="3"/>
  <c r="BK406" i="3"/>
  <c r="BK420" i="3"/>
  <c r="BH397" i="3"/>
  <c r="BK382" i="3"/>
  <c r="BK365" i="3"/>
  <c r="BK351" i="3"/>
  <c r="BK354" i="3"/>
  <c r="BK357" i="3"/>
  <c r="BK335" i="3"/>
  <c r="BK372" i="3"/>
  <c r="BK352" i="3"/>
  <c r="BK324" i="3"/>
  <c r="BK303" i="3"/>
  <c r="BH316" i="3"/>
  <c r="BK294" i="3"/>
  <c r="BK305" i="3"/>
  <c r="BK275" i="3"/>
  <c r="BH292" i="3"/>
  <c r="BK293" i="3"/>
  <c r="BK258" i="3"/>
  <c r="BK250" i="3"/>
  <c r="BK270" i="3"/>
  <c r="BK272" i="3"/>
  <c r="BK234" i="3"/>
  <c r="BK226" i="3"/>
  <c r="BH237" i="3"/>
  <c r="BH329" i="3"/>
  <c r="BH304" i="3"/>
  <c r="BH331" i="3"/>
  <c r="BH342" i="3"/>
  <c r="BH364" i="3"/>
  <c r="BH399" i="3"/>
  <c r="BH368" i="3"/>
  <c r="BH378" i="3"/>
  <c r="BH282" i="3"/>
  <c r="BH305" i="3"/>
  <c r="BH339" i="3"/>
  <c r="BH422" i="3"/>
  <c r="BH277" i="3"/>
  <c r="BH352" i="3"/>
  <c r="BH301" i="3"/>
  <c r="BH356" i="3"/>
  <c r="BH380" i="3"/>
  <c r="BH225" i="3"/>
  <c r="BH264" i="3"/>
  <c r="BH390" i="3"/>
  <c r="BH290" i="3"/>
  <c r="BH291" i="3"/>
  <c r="BH343" i="3"/>
  <c r="BH388" i="3"/>
  <c r="BH408" i="3"/>
  <c r="BK421" i="3"/>
  <c r="BH355" i="3"/>
  <c r="BK280" i="3"/>
  <c r="BK269" i="3"/>
  <c r="BH252" i="3"/>
  <c r="BH348" i="3"/>
  <c r="BH230" i="3"/>
  <c r="BH369" i="3"/>
  <c r="BJ200" i="3"/>
  <c r="BG194" i="3"/>
  <c r="BJ184" i="3"/>
  <c r="BJ183" i="3"/>
  <c r="BJ182" i="3"/>
  <c r="BJ173" i="3"/>
  <c r="BJ168" i="3"/>
  <c r="BJ169" i="3"/>
  <c r="BJ155" i="3"/>
  <c r="BJ153" i="3"/>
  <c r="BJ143" i="3"/>
  <c r="BJ159" i="3"/>
  <c r="BJ139" i="3"/>
  <c r="BJ141" i="3"/>
  <c r="BJ157" i="3"/>
  <c r="BJ150" i="3"/>
  <c r="BJ132" i="3"/>
  <c r="BG135" i="3"/>
  <c r="BF155" i="3"/>
  <c r="BF164" i="3"/>
  <c r="BG200" i="3"/>
  <c r="BG159" i="3"/>
  <c r="BG177" i="3"/>
  <c r="BG211" i="3"/>
  <c r="BG196" i="3"/>
  <c r="BF211" i="3"/>
  <c r="BF152" i="3"/>
  <c r="BF191" i="3"/>
  <c r="BG173" i="3"/>
  <c r="BG213" i="3"/>
  <c r="BG171" i="3"/>
  <c r="BG191" i="3"/>
  <c r="BG168" i="3"/>
  <c r="BG131" i="3"/>
  <c r="BG163" i="3"/>
  <c r="BF199" i="3"/>
  <c r="BG126" i="3"/>
  <c r="BG170" i="3"/>
  <c r="BF154" i="3"/>
  <c r="BF178" i="3"/>
  <c r="BG174" i="3"/>
  <c r="BF161" i="3"/>
  <c r="BF223" i="3"/>
  <c r="BF141" i="3"/>
  <c r="BG161" i="3"/>
  <c r="BG206" i="3"/>
  <c r="BG181" i="3"/>
  <c r="BG223" i="3"/>
  <c r="BF207" i="3"/>
  <c r="BJ196" i="3"/>
  <c r="BJ179" i="3"/>
  <c r="BJ178" i="3"/>
  <c r="BJ174" i="3"/>
  <c r="BJ163" i="3"/>
  <c r="BJ156" i="3"/>
  <c r="BG149" i="3"/>
  <c r="BJ140" i="3"/>
  <c r="BF133" i="3"/>
  <c r="BF209" i="3"/>
  <c r="BG190" i="3"/>
  <c r="BF204" i="3"/>
  <c r="BF128" i="3"/>
  <c r="BF148" i="3"/>
  <c r="BF160" i="3"/>
  <c r="BF210" i="3"/>
  <c r="BF169" i="3"/>
  <c r="BF215" i="3"/>
  <c r="BF147" i="3"/>
  <c r="BF171" i="3"/>
  <c r="BF181" i="3"/>
  <c r="BG219" i="3"/>
  <c r="BG142" i="3"/>
  <c r="BF168" i="3"/>
  <c r="BG167" i="3"/>
  <c r="BG130" i="3"/>
  <c r="BG166" i="3"/>
  <c r="BG164" i="3"/>
  <c r="BG192" i="3"/>
  <c r="BF175" i="3"/>
  <c r="BF136" i="3"/>
  <c r="BG150" i="3"/>
  <c r="BG185" i="3"/>
  <c r="BG203" i="3"/>
  <c r="BG220" i="3"/>
  <c r="BJ220" i="3"/>
  <c r="BJ223" i="3"/>
  <c r="BJ222" i="3"/>
  <c r="BF216" i="3"/>
  <c r="BJ190" i="3"/>
  <c r="BF197" i="3"/>
  <c r="BJ175" i="3"/>
  <c r="BF201" i="3"/>
  <c r="BJ189" i="3"/>
  <c r="BJ185" i="3"/>
  <c r="BJ170" i="3"/>
  <c r="BJ149" i="3"/>
  <c r="BJ147" i="3"/>
  <c r="BJ161" i="3"/>
  <c r="BJ151" i="3"/>
  <c r="BF135" i="3"/>
  <c r="BJ127" i="3"/>
  <c r="BF126" i="3"/>
  <c r="BF137" i="3"/>
  <c r="BF195" i="3"/>
  <c r="BG214" i="3"/>
  <c r="BF144" i="3"/>
  <c r="BF131" i="3"/>
  <c r="BG156" i="3"/>
  <c r="BF217" i="3"/>
  <c r="BF205" i="3"/>
  <c r="BF183" i="3"/>
  <c r="BF173" i="3"/>
  <c r="BG212" i="3"/>
  <c r="BG134" i="3"/>
  <c r="BF189" i="3"/>
  <c r="BG210" i="3"/>
  <c r="BG129" i="3"/>
  <c r="BF149" i="3"/>
  <c r="BG155" i="3"/>
  <c r="BG201" i="3"/>
  <c r="BG133" i="3"/>
  <c r="BG128" i="3"/>
  <c r="BF180" i="3"/>
  <c r="BG127" i="3"/>
  <c r="BG157" i="3"/>
  <c r="BJ216" i="3"/>
  <c r="BJ219" i="3"/>
  <c r="BJ209" i="3"/>
  <c r="BG222" i="3"/>
  <c r="BJ205" i="3"/>
  <c r="BG207" i="3"/>
  <c r="BJ198" i="3"/>
  <c r="BJ192" i="3"/>
  <c r="BJ180" i="3"/>
  <c r="BJ171" i="3"/>
  <c r="BJ201" i="3"/>
  <c r="BJ188" i="3"/>
  <c r="BG179" i="3"/>
  <c r="BG146" i="3"/>
  <c r="BJ144" i="3"/>
  <c r="BJ138" i="3"/>
  <c r="BJ165" i="3"/>
  <c r="BJ130" i="3"/>
  <c r="BG148" i="3"/>
  <c r="BJ126" i="3"/>
  <c r="BF130" i="3"/>
  <c r="BF162" i="3"/>
  <c r="BG188" i="3"/>
  <c r="BG143" i="3"/>
  <c r="BG162" i="3"/>
  <c r="BG158" i="3"/>
  <c r="BG217" i="3"/>
  <c r="BG139" i="3"/>
  <c r="BF182" i="3"/>
  <c r="BG198" i="3"/>
  <c r="BF221" i="3"/>
  <c r="BF156" i="3"/>
  <c r="BF174" i="3"/>
  <c r="BG180" i="3"/>
  <c r="BF132" i="3"/>
  <c r="BG138" i="3"/>
  <c r="BG197" i="3"/>
  <c r="BG154" i="3"/>
  <c r="BF153" i="3"/>
  <c r="BF218" i="3"/>
  <c r="BG153" i="3"/>
  <c r="BJ212" i="3"/>
  <c r="BJ215" i="3"/>
  <c r="BJ207" i="3"/>
  <c r="BF212" i="3"/>
  <c r="BJ214" i="3"/>
  <c r="BJ202" i="3"/>
  <c r="BJ204" i="3"/>
  <c r="BJ176" i="3"/>
  <c r="BJ191" i="3"/>
  <c r="BF184" i="3"/>
  <c r="BF192" i="3"/>
  <c r="BG178" i="3"/>
  <c r="BJ162" i="3"/>
  <c r="BJ146" i="3"/>
  <c r="BJ135" i="3"/>
  <c r="BJ145" i="3"/>
  <c r="BJ158" i="3"/>
  <c r="BJ129" i="3"/>
  <c r="BF142" i="3"/>
  <c r="BJ125" i="3"/>
  <c r="BF129" i="3"/>
  <c r="BF176" i="3"/>
  <c r="BG144" i="3"/>
  <c r="BG176" i="3"/>
  <c r="BF165" i="3"/>
  <c r="BG221" i="3"/>
  <c r="BG151" i="3"/>
  <c r="BF188" i="3"/>
  <c r="BF203" i="3"/>
  <c r="BG183" i="3"/>
  <c r="BF177" i="3"/>
  <c r="BF222" i="3"/>
  <c r="BG136" i="3"/>
  <c r="BG169" i="3"/>
  <c r="BF196" i="3"/>
  <c r="BF170" i="3"/>
  <c r="BG160" i="3"/>
  <c r="BF214" i="3"/>
  <c r="BG175" i="3"/>
  <c r="BG145" i="3"/>
  <c r="BG195" i="3"/>
  <c r="BF219" i="3"/>
  <c r="BG208" i="3"/>
  <c r="BG182" i="3"/>
  <c r="BJ208" i="3"/>
  <c r="BJ211" i="3"/>
  <c r="BJ203" i="3"/>
  <c r="BG209" i="3"/>
  <c r="BJ213" i="3"/>
  <c r="BJ197" i="3"/>
  <c r="BJ187" i="3"/>
  <c r="BJ194" i="3"/>
  <c r="BJ172" i="3"/>
  <c r="BF187" i="3"/>
  <c r="BJ167" i="3"/>
  <c r="BJ181" i="3"/>
  <c r="BF186" i="3"/>
  <c r="BF167" i="3"/>
  <c r="BF172" i="3"/>
  <c r="BJ136" i="3"/>
  <c r="BJ152" i="3"/>
  <c r="BJ133" i="3"/>
  <c r="BJ142" i="3"/>
  <c r="BJ128" i="3"/>
  <c r="BF139" i="3"/>
  <c r="BJ124" i="3"/>
  <c r="BG141" i="3"/>
  <c r="BF202" i="3"/>
  <c r="BG204" i="3"/>
  <c r="BG137" i="3"/>
  <c r="BF146" i="3"/>
  <c r="BG172" i="3"/>
  <c r="BF213" i="3"/>
  <c r="BG216" i="3"/>
  <c r="BF159" i="3"/>
  <c r="BF145" i="3"/>
  <c r="BF200" i="3"/>
  <c r="BF125" i="3"/>
  <c r="BF151" i="3"/>
  <c r="BF208" i="3"/>
  <c r="BG215" i="3"/>
  <c r="BG199" i="3"/>
  <c r="BG125" i="3"/>
  <c r="BG189" i="3"/>
  <c r="BF127" i="3"/>
  <c r="BJ221" i="3"/>
  <c r="BJ210" i="3"/>
  <c r="BJ199" i="3"/>
  <c r="BF194" i="3"/>
  <c r="BJ186" i="3"/>
  <c r="BJ193" i="3"/>
  <c r="BF193" i="3"/>
  <c r="BJ131" i="3"/>
  <c r="BJ137" i="3"/>
  <c r="BF166" i="3"/>
  <c r="BJ134" i="3"/>
  <c r="BF150" i="3"/>
  <c r="BG132" i="3"/>
  <c r="BF138" i="3"/>
  <c r="BF140" i="3"/>
  <c r="BF124" i="3"/>
  <c r="BG184" i="3"/>
  <c r="BG165" i="3"/>
  <c r="BG187" i="3"/>
  <c r="BG218" i="3"/>
  <c r="BG124" i="3"/>
  <c r="BF163" i="3"/>
  <c r="BG205" i="3"/>
  <c r="BG147" i="3"/>
  <c r="BF220" i="3"/>
  <c r="BF157" i="3"/>
  <c r="BG202" i="3"/>
  <c r="BJ166" i="3"/>
  <c r="BJ148" i="3"/>
  <c r="BG140" i="3"/>
  <c r="BG193" i="3"/>
  <c r="BF158" i="3"/>
  <c r="BF143" i="3"/>
  <c r="BF134" i="3"/>
  <c r="BJ217" i="3"/>
  <c r="BJ218" i="3"/>
  <c r="BJ206" i="3"/>
  <c r="BF206" i="3"/>
  <c r="BJ195" i="3"/>
  <c r="BF185" i="3"/>
  <c r="BF190" i="3"/>
  <c r="BJ177" i="3"/>
  <c r="BF179" i="3"/>
  <c r="BJ154" i="3"/>
  <c r="BJ160" i="3"/>
  <c r="BJ164" i="3"/>
  <c r="BG152" i="3"/>
  <c r="BF198" i="3"/>
  <c r="BG186" i="3"/>
  <c r="BH24" i="3"/>
  <c r="BK219" i="3"/>
  <c r="BK214" i="3"/>
  <c r="BH219" i="3"/>
  <c r="BK207" i="3"/>
  <c r="BH215" i="3"/>
  <c r="BK186" i="3"/>
  <c r="BK189" i="3"/>
  <c r="BH184" i="3"/>
  <c r="BH206" i="3"/>
  <c r="BK180" i="3"/>
  <c r="BK153" i="3"/>
  <c r="BK135" i="3"/>
  <c r="BK133" i="3"/>
  <c r="BH221" i="3"/>
  <c r="BH156" i="3"/>
  <c r="BH181" i="3"/>
  <c r="BH131" i="3"/>
  <c r="BH203" i="3"/>
  <c r="BH140" i="3"/>
  <c r="BH216" i="3"/>
  <c r="BH126" i="3"/>
  <c r="BH171" i="3"/>
  <c r="BH157" i="3"/>
  <c r="BH210" i="3"/>
  <c r="BH176" i="3"/>
  <c r="BH217" i="3"/>
  <c r="BH191" i="3"/>
  <c r="BK210" i="3"/>
  <c r="BK212" i="3"/>
  <c r="BK206" i="3"/>
  <c r="BK215" i="3"/>
  <c r="BK203" i="3"/>
  <c r="BK196" i="3"/>
  <c r="BK185" i="3"/>
  <c r="BK187" i="3"/>
  <c r="BK183" i="3"/>
  <c r="BK182" i="3"/>
  <c r="BK166" i="3"/>
  <c r="BH189" i="3"/>
  <c r="BK162" i="3"/>
  <c r="BK154" i="3"/>
  <c r="BK152" i="3"/>
  <c r="BK142" i="3"/>
  <c r="BK158" i="3"/>
  <c r="BK130" i="3"/>
  <c r="BK156" i="3"/>
  <c r="BK127" i="3"/>
  <c r="BH172" i="3"/>
  <c r="BH213" i="3"/>
  <c r="BH152" i="3"/>
  <c r="BH180" i="3"/>
  <c r="BH139" i="3"/>
  <c r="BH196" i="3"/>
  <c r="BH147" i="3"/>
  <c r="BH175" i="3"/>
  <c r="BH154" i="3"/>
  <c r="BH209" i="3"/>
  <c r="BK211" i="3"/>
  <c r="BK202" i="3"/>
  <c r="BK216" i="3"/>
  <c r="BK201" i="3"/>
  <c r="BK184" i="3"/>
  <c r="BK179" i="3"/>
  <c r="BK178" i="3"/>
  <c r="BK170" i="3"/>
  <c r="BH200" i="3"/>
  <c r="BK155" i="3"/>
  <c r="BK147" i="3"/>
  <c r="BK139" i="3"/>
  <c r="BK129" i="3"/>
  <c r="BK134" i="3"/>
  <c r="BK126" i="3"/>
  <c r="BH143" i="3"/>
  <c r="BH129" i="3"/>
  <c r="BH145" i="3"/>
  <c r="BH167" i="3"/>
  <c r="BH212" i="3"/>
  <c r="BH134" i="3"/>
  <c r="BH136" i="3"/>
  <c r="BH222" i="3"/>
  <c r="BH170" i="3"/>
  <c r="BH135" i="3"/>
  <c r="BH164" i="3"/>
  <c r="BH177" i="3"/>
  <c r="BH182" i="3"/>
  <c r="BH214" i="3"/>
  <c r="BH158" i="3"/>
  <c r="BH173" i="3"/>
  <c r="BH133" i="3"/>
  <c r="BH153" i="3"/>
  <c r="BH169" i="3"/>
  <c r="BK221" i="3"/>
  <c r="BK204" i="3"/>
  <c r="BK195" i="3"/>
  <c r="BK175" i="3"/>
  <c r="BK168" i="3"/>
  <c r="BK167" i="3"/>
  <c r="BK149" i="3"/>
  <c r="BK144" i="3"/>
  <c r="BK160" i="3"/>
  <c r="BK148" i="3"/>
  <c r="BK125" i="3"/>
  <c r="BH211" i="3"/>
  <c r="BH179" i="3"/>
  <c r="BH183" i="3"/>
  <c r="BH132" i="3"/>
  <c r="BH188" i="3"/>
  <c r="BH151" i="3"/>
  <c r="BH165" i="3"/>
  <c r="BK217" i="3"/>
  <c r="BK205" i="3"/>
  <c r="BK197" i="3"/>
  <c r="BK188" i="3"/>
  <c r="BK171" i="3"/>
  <c r="BK200" i="3"/>
  <c r="BK173" i="3"/>
  <c r="BK165" i="3"/>
  <c r="BK136" i="3"/>
  <c r="BK137" i="3"/>
  <c r="BK143" i="3"/>
  <c r="BK159" i="3"/>
  <c r="BK124" i="3"/>
  <c r="BH201" i="3"/>
  <c r="BH128" i="3"/>
  <c r="BH163" i="3"/>
  <c r="BH223" i="3"/>
  <c r="BH130" i="3"/>
  <c r="BH166" i="3"/>
  <c r="BH155" i="3"/>
  <c r="BH185" i="3"/>
  <c r="BH218" i="3"/>
  <c r="BH162" i="3"/>
  <c r="BH144" i="3"/>
  <c r="BH168" i="3"/>
  <c r="BK213" i="3"/>
  <c r="BK199" i="3"/>
  <c r="BH205" i="3"/>
  <c r="BH190" i="3"/>
  <c r="BK192" i="3"/>
  <c r="BK169" i="3"/>
  <c r="BK132" i="3"/>
  <c r="BK138" i="3"/>
  <c r="BK157" i="3"/>
  <c r="BH141" i="3"/>
  <c r="BH137" i="3"/>
  <c r="BH160" i="3"/>
  <c r="BK223" i="3"/>
  <c r="BK222" i="3"/>
  <c r="BK220" i="3"/>
  <c r="BK208" i="3"/>
  <c r="BK198" i="3"/>
  <c r="BK193" i="3"/>
  <c r="BH186" i="3"/>
  <c r="BK176" i="3"/>
  <c r="BH193" i="3"/>
  <c r="BH178" i="3"/>
  <c r="BK174" i="3"/>
  <c r="BK163" i="3"/>
  <c r="BK177" i="3"/>
  <c r="BK151" i="3"/>
  <c r="BH174" i="3"/>
  <c r="BK141" i="3"/>
  <c r="BK150" i="3"/>
  <c r="BK128" i="3"/>
  <c r="BH159" i="3"/>
  <c r="BH146" i="3"/>
  <c r="BH207" i="3"/>
  <c r="BH138" i="3"/>
  <c r="BH195" i="3"/>
  <c r="BH198" i="3"/>
  <c r="BH125" i="3"/>
  <c r="BH202" i="3"/>
  <c r="BH194" i="3"/>
  <c r="BH208" i="3"/>
  <c r="BH199" i="3"/>
  <c r="BH149" i="3"/>
  <c r="BH150" i="3"/>
  <c r="BH161" i="3"/>
  <c r="BH204" i="3"/>
  <c r="BK172" i="3"/>
  <c r="BK161" i="3"/>
  <c r="BK145" i="3"/>
  <c r="BK140" i="3"/>
  <c r="BK146" i="3"/>
  <c r="BH220" i="3"/>
  <c r="BH124" i="3"/>
  <c r="BH127" i="3"/>
  <c r="BK218" i="3"/>
  <c r="BK209" i="3"/>
  <c r="BK194" i="3"/>
  <c r="BK190" i="3"/>
  <c r="BK191" i="3"/>
  <c r="BH187" i="3"/>
  <c r="BK181" i="3"/>
  <c r="BH192" i="3"/>
  <c r="BK164" i="3"/>
  <c r="BK131" i="3"/>
  <c r="BH142" i="3"/>
  <c r="BH148" i="3"/>
  <c r="BH197" i="3"/>
  <c r="BF77" i="3"/>
  <c r="BG54" i="3"/>
  <c r="BF90" i="3"/>
  <c r="BF59" i="3"/>
  <c r="BG25" i="3"/>
  <c r="BG68" i="3"/>
  <c r="BJ98" i="3"/>
  <c r="BG27" i="3"/>
  <c r="BG77" i="3"/>
  <c r="BF56" i="3"/>
  <c r="BG57" i="3"/>
  <c r="BG123" i="3"/>
  <c r="BG120" i="3"/>
  <c r="BJ49" i="3"/>
  <c r="BJ66" i="3"/>
  <c r="BJ83" i="3"/>
  <c r="BJ100" i="3"/>
  <c r="BJ48" i="3"/>
  <c r="BG91" i="3"/>
  <c r="BF40" i="3"/>
  <c r="BG118" i="3"/>
  <c r="BF36" i="3"/>
  <c r="BF114" i="3"/>
  <c r="BJ85" i="3"/>
  <c r="BH120" i="3"/>
  <c r="BH48" i="3"/>
  <c r="BK118" i="3"/>
  <c r="BH41" i="3"/>
  <c r="BH116" i="3"/>
  <c r="BK93" i="3"/>
  <c r="BF38" i="3"/>
  <c r="BH68" i="3"/>
  <c r="BK71" i="3"/>
  <c r="BH74" i="3"/>
  <c r="BK74" i="3"/>
  <c r="BG109" i="3"/>
  <c r="BJ112" i="3"/>
  <c r="BF72" i="3"/>
  <c r="BH39" i="3"/>
  <c r="BK67" i="3"/>
  <c r="BH117" i="3"/>
  <c r="BH104" i="3"/>
  <c r="BH122" i="3"/>
  <c r="BK56" i="3"/>
  <c r="BH45" i="3"/>
  <c r="BH27" i="3"/>
  <c r="BH99" i="3"/>
  <c r="BK103" i="3"/>
  <c r="BH87" i="3"/>
  <c r="BK60" i="3"/>
  <c r="BG100" i="3"/>
  <c r="BF121" i="3"/>
  <c r="BJ36" i="3"/>
  <c r="BJ68" i="3"/>
  <c r="BK99" i="3"/>
  <c r="BH98" i="3"/>
  <c r="BH63" i="3"/>
  <c r="BH37" i="3"/>
  <c r="BH46" i="3"/>
  <c r="BH42" i="3"/>
  <c r="BF109" i="3"/>
  <c r="BG84" i="3"/>
  <c r="BF93" i="3"/>
  <c r="BF84" i="3"/>
  <c r="BJ34" i="3"/>
  <c r="BF50" i="3"/>
  <c r="BH76" i="3"/>
  <c r="BK91" i="3"/>
  <c r="BH90" i="3"/>
  <c r="BK94" i="3"/>
  <c r="BH93" i="3"/>
  <c r="BH95" i="3"/>
  <c r="BK106" i="3"/>
  <c r="BK70" i="3"/>
  <c r="BH121" i="3"/>
  <c r="BK85" i="3"/>
  <c r="BH25" i="3"/>
  <c r="BH60" i="3"/>
  <c r="BH118" i="3"/>
  <c r="BK95" i="3"/>
  <c r="BK63" i="3"/>
  <c r="BH44" i="3"/>
  <c r="BH82" i="3"/>
  <c r="BK122" i="3"/>
  <c r="BH91" i="3"/>
  <c r="BK102" i="3"/>
  <c r="BH115" i="3"/>
  <c r="BH54" i="3"/>
  <c r="BK77" i="3"/>
  <c r="BH97" i="3"/>
  <c r="BH123" i="3"/>
  <c r="BK87" i="3"/>
  <c r="BH66" i="3"/>
  <c r="BK90" i="3"/>
  <c r="BH100" i="3"/>
  <c r="BH43" i="3"/>
  <c r="BH112" i="3"/>
  <c r="BK83" i="3"/>
  <c r="BK57" i="3"/>
  <c r="BK29" i="3"/>
  <c r="BH56" i="3"/>
  <c r="BK110" i="3"/>
  <c r="BH75" i="3"/>
  <c r="BK86" i="3"/>
  <c r="BH88" i="3"/>
  <c r="BK117" i="3"/>
  <c r="BK41" i="3"/>
  <c r="BK104" i="3"/>
  <c r="BH31" i="3"/>
  <c r="BK61" i="3"/>
  <c r="BK114" i="3"/>
  <c r="BH96" i="3"/>
  <c r="BK123" i="3"/>
  <c r="BK49" i="3"/>
  <c r="BH92" i="3"/>
  <c r="BH113" i="3"/>
  <c r="BH110" i="3"/>
  <c r="BK79" i="3"/>
  <c r="BK53" i="3"/>
  <c r="BH119" i="3"/>
  <c r="BH33" i="3"/>
  <c r="BH107" i="3"/>
  <c r="BH71" i="3"/>
  <c r="BK82" i="3"/>
  <c r="BH80" i="3"/>
  <c r="BK111" i="3"/>
  <c r="BH111" i="3"/>
  <c r="BK76" i="3"/>
  <c r="BH114" i="3"/>
  <c r="BK37" i="3"/>
  <c r="BH79" i="3"/>
  <c r="BK108" i="3"/>
  <c r="BH84" i="3"/>
  <c r="BH49" i="3"/>
  <c r="BK107" i="3"/>
  <c r="BK75" i="3"/>
  <c r="BH50" i="3"/>
  <c r="BH106" i="3"/>
  <c r="BH47" i="3"/>
  <c r="BH103" i="3"/>
  <c r="BH67" i="3"/>
  <c r="BK78" i="3"/>
  <c r="BH35" i="3"/>
  <c r="BK109" i="3"/>
  <c r="BH94" i="3"/>
  <c r="BH51" i="3"/>
  <c r="BK55" i="3"/>
  <c r="BH58" i="3"/>
  <c r="BK54" i="3"/>
  <c r="BH72" i="3"/>
  <c r="BK113" i="3"/>
  <c r="BK51" i="3"/>
  <c r="BH105" i="3"/>
  <c r="BK36" i="3"/>
  <c r="BK28" i="3"/>
  <c r="BK81" i="3"/>
  <c r="BH102" i="3"/>
  <c r="BH69" i="3"/>
  <c r="BK58" i="3"/>
  <c r="BK115" i="3"/>
  <c r="BK89" i="3"/>
  <c r="BK52" i="3"/>
  <c r="BK25" i="3"/>
  <c r="BH29" i="3"/>
  <c r="BH101" i="3"/>
  <c r="BH65" i="3"/>
  <c r="BH55" i="3"/>
  <c r="BK32" i="3"/>
  <c r="BK24" i="3"/>
  <c r="BH89" i="3"/>
  <c r="BK92" i="3"/>
  <c r="BH40" i="3"/>
  <c r="BK50" i="3"/>
  <c r="BK105" i="3"/>
  <c r="BK73" i="3"/>
  <c r="BK47" i="3"/>
  <c r="BH86" i="3"/>
  <c r="BK120" i="3"/>
  <c r="BH85" i="3"/>
  <c r="BK88" i="3"/>
  <c r="BH36" i="3"/>
  <c r="BH34" i="3"/>
  <c r="BH64" i="3"/>
  <c r="BK121" i="3"/>
  <c r="BK101" i="3"/>
  <c r="BK69" i="3"/>
  <c r="BK45" i="3"/>
  <c r="BH78" i="3"/>
  <c r="BK116" i="3"/>
  <c r="BH77" i="3"/>
  <c r="BK84" i="3"/>
  <c r="BK39" i="3"/>
  <c r="BH30" i="3"/>
  <c r="BH83" i="3"/>
  <c r="BK98" i="3"/>
  <c r="BH108" i="3"/>
  <c r="BH52" i="3"/>
  <c r="BK119" i="3"/>
  <c r="BK97" i="3"/>
  <c r="BK65" i="3"/>
  <c r="BK43" i="3"/>
  <c r="BH70" i="3"/>
  <c r="BH109" i="3"/>
  <c r="BH73" i="3"/>
  <c r="BK80" i="3"/>
  <c r="BK40" i="3"/>
  <c r="BK42" i="3"/>
  <c r="BK72" i="3"/>
  <c r="BH32" i="3"/>
  <c r="BK68" i="3"/>
  <c r="BK27" i="3"/>
  <c r="BK100" i="3"/>
  <c r="BK66" i="3"/>
  <c r="BH28" i="3"/>
  <c r="BH61" i="3"/>
  <c r="BK38" i="3"/>
  <c r="BK59" i="3"/>
  <c r="BK33" i="3"/>
  <c r="BH62" i="3"/>
  <c r="BK112" i="3"/>
  <c r="BH81" i="3"/>
  <c r="BK96" i="3"/>
  <c r="BK62" i="3"/>
  <c r="BK44" i="3"/>
  <c r="BH53" i="3"/>
  <c r="BK30" i="3"/>
  <c r="BF43" i="3"/>
  <c r="BG66" i="3"/>
  <c r="BF82" i="3"/>
  <c r="BF75" i="3"/>
  <c r="BG111" i="3"/>
  <c r="BG62" i="3"/>
  <c r="BF66" i="3"/>
  <c r="BF87" i="3"/>
  <c r="BG65" i="3"/>
  <c r="BG39" i="3"/>
  <c r="BJ103" i="3"/>
  <c r="BJ86" i="3"/>
  <c r="BJ42" i="3"/>
  <c r="BG40" i="3"/>
  <c r="BJ37" i="3"/>
  <c r="BF111" i="3"/>
  <c r="BF47" i="3"/>
  <c r="BJ24" i="3"/>
  <c r="BJ105" i="3"/>
  <c r="BJ73" i="3"/>
  <c r="BJ88" i="3"/>
  <c r="BF57" i="3"/>
  <c r="BF44" i="3"/>
  <c r="BF26" i="3"/>
  <c r="BF86" i="3"/>
  <c r="BJ123" i="3"/>
  <c r="BG108" i="3"/>
  <c r="BG92" i="3"/>
  <c r="BG76" i="3"/>
  <c r="BG107" i="3"/>
  <c r="BG75" i="3"/>
  <c r="BG55" i="3"/>
  <c r="BG35" i="3"/>
  <c r="BG60" i="3"/>
  <c r="BJ109" i="3"/>
  <c r="BF101" i="3"/>
  <c r="BF85" i="3"/>
  <c r="BF69" i="3"/>
  <c r="BG93" i="3"/>
  <c r="BJ61" i="3"/>
  <c r="BG41" i="3"/>
  <c r="BJ39" i="3"/>
  <c r="BF119" i="3"/>
  <c r="BF52" i="3"/>
  <c r="BJ120" i="3"/>
  <c r="BJ99" i="3"/>
  <c r="BJ67" i="3"/>
  <c r="BJ82" i="3"/>
  <c r="BJ51" i="3"/>
  <c r="BF25" i="3"/>
  <c r="BG36" i="3"/>
  <c r="BJ33" i="3"/>
  <c r="BF104" i="3"/>
  <c r="BF35" i="3"/>
  <c r="BF122" i="3"/>
  <c r="BJ101" i="3"/>
  <c r="BJ69" i="3"/>
  <c r="BJ84" i="3"/>
  <c r="BF53" i="3"/>
  <c r="BF42" i="3"/>
  <c r="BG38" i="3"/>
  <c r="BK35" i="3"/>
  <c r="BF115" i="3"/>
  <c r="BG82" i="3"/>
  <c r="BJ41" i="3"/>
  <c r="BF91" i="3"/>
  <c r="BG33" i="3"/>
  <c r="BG78" i="3"/>
  <c r="BG59" i="3"/>
  <c r="BJ113" i="3"/>
  <c r="BF71" i="3"/>
  <c r="BG45" i="3"/>
  <c r="BF60" i="3"/>
  <c r="BJ71" i="3"/>
  <c r="BF78" i="3"/>
  <c r="BG106" i="3"/>
  <c r="BG74" i="3"/>
  <c r="BG71" i="3"/>
  <c r="BF123" i="3"/>
  <c r="BG121" i="3"/>
  <c r="BF83" i="3"/>
  <c r="BG89" i="3"/>
  <c r="BJ45" i="3"/>
  <c r="BF108" i="3"/>
  <c r="BJ118" i="3"/>
  <c r="BJ63" i="3"/>
  <c r="BJ58" i="3"/>
  <c r="BG32" i="3"/>
  <c r="BF96" i="3"/>
  <c r="BF120" i="3"/>
  <c r="BJ65" i="3"/>
  <c r="BJ60" i="3"/>
  <c r="BG50" i="3"/>
  <c r="BG34" i="3"/>
  <c r="BF70" i="3"/>
  <c r="BG104" i="3"/>
  <c r="BG72" i="3"/>
  <c r="BG67" i="3"/>
  <c r="BG47" i="3"/>
  <c r="BF106" i="3"/>
  <c r="BF37" i="3"/>
  <c r="BG117" i="3"/>
  <c r="BF97" i="3"/>
  <c r="BF81" i="3"/>
  <c r="BF65" i="3"/>
  <c r="BG85" i="3"/>
  <c r="BJ53" i="3"/>
  <c r="BJ47" i="3"/>
  <c r="BJ31" i="3"/>
  <c r="BF100" i="3"/>
  <c r="BF31" i="3"/>
  <c r="BJ116" i="3"/>
  <c r="BJ91" i="3"/>
  <c r="BJ106" i="3"/>
  <c r="BJ74" i="3"/>
  <c r="BJ54" i="3"/>
  <c r="BG44" i="3"/>
  <c r="BG28" i="3"/>
  <c r="BJ25" i="3"/>
  <c r="BF88" i="3"/>
  <c r="BG29" i="3"/>
  <c r="BF118" i="3"/>
  <c r="BJ93" i="3"/>
  <c r="BJ108" i="3"/>
  <c r="BJ76" i="3"/>
  <c r="BJ56" i="3"/>
  <c r="BG46" i="3"/>
  <c r="BG30" i="3"/>
  <c r="BG98" i="3"/>
  <c r="BG87" i="3"/>
  <c r="BF107" i="3"/>
  <c r="BF94" i="3"/>
  <c r="BG94" i="3"/>
  <c r="BG79" i="3"/>
  <c r="BF54" i="3"/>
  <c r="BF103" i="3"/>
  <c r="BG97" i="3"/>
  <c r="BF28" i="3"/>
  <c r="BJ122" i="3"/>
  <c r="BJ55" i="3"/>
  <c r="BJ119" i="3"/>
  <c r="BG90" i="3"/>
  <c r="BG103" i="3"/>
  <c r="BG51" i="3"/>
  <c r="BG52" i="3"/>
  <c r="BF99" i="3"/>
  <c r="BF67" i="3"/>
  <c r="BJ57" i="3"/>
  <c r="BJ35" i="3"/>
  <c r="BF39" i="3"/>
  <c r="BJ95" i="3"/>
  <c r="BJ78" i="3"/>
  <c r="BG48" i="3"/>
  <c r="BJ29" i="3"/>
  <c r="BF27" i="3"/>
  <c r="BJ97" i="3"/>
  <c r="BJ80" i="3"/>
  <c r="BG58" i="3"/>
  <c r="BJ115" i="3"/>
  <c r="BG88" i="3"/>
  <c r="BG99" i="3"/>
  <c r="BF45" i="3"/>
  <c r="BF62" i="3"/>
  <c r="BJ111" i="3"/>
  <c r="BG102" i="3"/>
  <c r="BG86" i="3"/>
  <c r="BG70" i="3"/>
  <c r="BG95" i="3"/>
  <c r="BG63" i="3"/>
  <c r="BG43" i="3"/>
  <c r="BF98" i="3"/>
  <c r="BF29" i="3"/>
  <c r="BG113" i="3"/>
  <c r="BF95" i="3"/>
  <c r="BF79" i="3"/>
  <c r="BF63" i="3"/>
  <c r="BG81" i="3"/>
  <c r="BG61" i="3"/>
  <c r="BJ43" i="3"/>
  <c r="BJ27" i="3"/>
  <c r="BF92" i="3"/>
  <c r="BG37" i="3"/>
  <c r="BJ114" i="3"/>
  <c r="BJ87" i="3"/>
  <c r="BJ102" i="3"/>
  <c r="BJ70" i="3"/>
  <c r="BJ50" i="3"/>
  <c r="BJ40" i="3"/>
  <c r="BJ38" i="3"/>
  <c r="BF113" i="3"/>
  <c r="BF80" i="3"/>
  <c r="BG122" i="3"/>
  <c r="BF116" i="3"/>
  <c r="BJ89" i="3"/>
  <c r="BJ104" i="3"/>
  <c r="BJ72" i="3"/>
  <c r="BJ52" i="3"/>
  <c r="BG42" i="3"/>
  <c r="BG26" i="3"/>
  <c r="BH38" i="3"/>
  <c r="BK34" i="3"/>
  <c r="BG119" i="3"/>
  <c r="BF55" i="3"/>
  <c r="BJ121" i="3"/>
  <c r="BG105" i="3"/>
  <c r="BG73" i="3"/>
  <c r="BG53" i="3"/>
  <c r="BF58" i="3"/>
  <c r="BF76" i="3"/>
  <c r="BG116" i="3"/>
  <c r="BJ110" i="3"/>
  <c r="BJ79" i="3"/>
  <c r="BJ94" i="3"/>
  <c r="BJ62" i="3"/>
  <c r="BJ46" i="3"/>
  <c r="BJ32" i="3"/>
  <c r="BJ30" i="3"/>
  <c r="BF41" i="3"/>
  <c r="BF64" i="3"/>
  <c r="BG114" i="3"/>
  <c r="BF112" i="3"/>
  <c r="BJ81" i="3"/>
  <c r="BJ96" i="3"/>
  <c r="BJ64" i="3"/>
  <c r="BF48" i="3"/>
  <c r="BF34" i="3"/>
  <c r="BG24" i="3"/>
  <c r="BF102" i="3"/>
  <c r="BF33" i="3"/>
  <c r="BG115" i="3"/>
  <c r="BG96" i="3"/>
  <c r="BG80" i="3"/>
  <c r="BG64" i="3"/>
  <c r="BG83" i="3"/>
  <c r="BF51" i="3"/>
  <c r="BF117" i="3"/>
  <c r="BF74" i="3"/>
  <c r="BJ117" i="3"/>
  <c r="BF105" i="3"/>
  <c r="BF89" i="3"/>
  <c r="BF73" i="3"/>
  <c r="BG101" i="3"/>
  <c r="BG69" i="3"/>
  <c r="BG49" i="3"/>
  <c r="BF32" i="3"/>
  <c r="BF49" i="3"/>
  <c r="BF68" i="3"/>
  <c r="BG112" i="3"/>
  <c r="BJ107" i="3"/>
  <c r="BJ75" i="3"/>
  <c r="BJ90" i="3"/>
  <c r="BJ59" i="3"/>
  <c r="BJ44" i="3"/>
  <c r="BJ28" i="3"/>
  <c r="BJ26" i="3"/>
  <c r="BG31" i="3"/>
  <c r="BG56" i="3"/>
  <c r="BG110" i="3"/>
  <c r="BF110" i="3"/>
  <c r="BJ77" i="3"/>
  <c r="BJ92" i="3"/>
  <c r="BF61" i="3"/>
  <c r="BF46" i="3"/>
  <c r="BF30" i="3"/>
  <c r="BH59" i="3"/>
  <c r="BK48" i="3"/>
  <c r="BK64" i="3"/>
  <c r="BH26" i="3"/>
  <c r="BF24" i="3"/>
  <c r="BK31" i="3"/>
  <c r="BH57" i="3"/>
  <c r="BK46" i="3"/>
  <c r="BK26" i="3"/>
  <c r="BT29" i="15"/>
  <c r="BT33" i="15"/>
  <c r="BT27" i="15"/>
  <c r="BT26" i="15"/>
  <c r="BT42" i="15"/>
  <c r="BT35" i="15"/>
  <c r="CG74" i="3"/>
  <c r="D75" i="3"/>
  <c r="BT73" i="3"/>
  <c r="BU72" i="3"/>
  <c r="C72" i="3" s="1"/>
  <c r="AF68" i="15"/>
  <c r="AE68" i="15" s="1"/>
  <c r="BS26" i="15"/>
  <c r="O19" i="15"/>
  <c r="BI26" i="15"/>
  <c r="B26" i="13" l="1"/>
  <c r="B30" i="13" s="1"/>
  <c r="B31" i="13" s="1"/>
  <c r="BU73" i="3"/>
  <c r="C73" i="3" s="1"/>
  <c r="BT74" i="3"/>
  <c r="CG75" i="3"/>
  <c r="D76" i="3"/>
  <c r="P19" i="15"/>
  <c r="S101" i="15"/>
  <c r="P68" i="15" s="1"/>
  <c r="T101" i="15"/>
  <c r="S104" i="15"/>
  <c r="I110" i="15"/>
  <c r="BL65" i="15"/>
  <c r="BL57" i="15"/>
  <c r="BL49" i="15"/>
  <c r="BL41" i="15"/>
  <c r="BM62" i="15"/>
  <c r="BK65" i="15"/>
  <c r="BK57" i="15"/>
  <c r="BK49" i="15"/>
  <c r="BK41" i="15"/>
  <c r="BN62" i="15"/>
  <c r="BO58" i="15"/>
  <c r="BO54" i="15"/>
  <c r="BN50" i="15"/>
  <c r="BP44" i="15"/>
  <c r="BM39" i="15"/>
  <c r="BP58" i="15"/>
  <c r="BP54" i="15"/>
  <c r="BM49" i="15"/>
  <c r="BN44" i="15"/>
  <c r="BP38" i="15"/>
  <c r="BP49" i="15"/>
  <c r="BP45" i="15"/>
  <c r="BP41" i="15"/>
  <c r="BP37" i="15"/>
  <c r="BL64" i="15"/>
  <c r="BL56" i="15"/>
  <c r="BL48" i="15"/>
  <c r="BL40" i="15"/>
  <c r="BN65" i="15"/>
  <c r="BN61" i="15"/>
  <c r="BK62" i="15"/>
  <c r="BL63" i="15"/>
  <c r="BL55" i="15"/>
  <c r="BL47" i="15"/>
  <c r="BL39" i="15"/>
  <c r="BP65" i="15"/>
  <c r="BP61" i="15"/>
  <c r="BK63" i="15"/>
  <c r="BK55" i="15"/>
  <c r="BK47" i="15"/>
  <c r="BK39" i="15"/>
  <c r="BO65" i="15"/>
  <c r="BO61" i="15"/>
  <c r="BN57" i="15"/>
  <c r="BN53" i="15"/>
  <c r="BP48" i="15"/>
  <c r="BM43" i="15"/>
  <c r="BN38" i="15"/>
  <c r="BM57" i="15"/>
  <c r="BM53" i="15"/>
  <c r="BN48" i="15"/>
  <c r="BM37" i="15"/>
  <c r="BM48" i="15"/>
  <c r="BM44" i="15"/>
  <c r="BM40" i="15"/>
  <c r="BL62" i="15"/>
  <c r="BL54" i="15"/>
  <c r="BL46" i="15"/>
  <c r="BL38" i="15"/>
  <c r="BO64" i="15"/>
  <c r="BO60" i="15"/>
  <c r="BK54" i="15"/>
  <c r="BK46" i="15"/>
  <c r="BK38" i="15"/>
  <c r="T104" i="15"/>
  <c r="T103" i="15"/>
  <c r="S103" i="15"/>
  <c r="BL61" i="15"/>
  <c r="BL53" i="15"/>
  <c r="BL45" i="15"/>
  <c r="BL37" i="15"/>
  <c r="BM64" i="15"/>
  <c r="BM60" i="15"/>
  <c r="BK61" i="15"/>
  <c r="BK53" i="15"/>
  <c r="BK45" i="15"/>
  <c r="BK37" i="15"/>
  <c r="BN64" i="15"/>
  <c r="BN60" i="15"/>
  <c r="BO56" i="15"/>
  <c r="BO52" i="15"/>
  <c r="BM47" i="15"/>
  <c r="BP56" i="15"/>
  <c r="BP52" i="15"/>
  <c r="BP46" i="15"/>
  <c r="BM41" i="15"/>
  <c r="BP47" i="15"/>
  <c r="BP43" i="15"/>
  <c r="BP39" i="15"/>
  <c r="BL60" i="15"/>
  <c r="BL52" i="15"/>
  <c r="BL44" i="15"/>
  <c r="BN63" i="15"/>
  <c r="BK58" i="15"/>
  <c r="BL59" i="15"/>
  <c r="BL51" i="15"/>
  <c r="BL43" i="15"/>
  <c r="BP63" i="15"/>
  <c r="BM59" i="15"/>
  <c r="BK59" i="15"/>
  <c r="BK51" i="15"/>
  <c r="BK43" i="15"/>
  <c r="BO63" i="15"/>
  <c r="BN59" i="15"/>
  <c r="BN55" i="15"/>
  <c r="BM51" i="15"/>
  <c r="BN46" i="15"/>
  <c r="BP40" i="15"/>
  <c r="BM55" i="15"/>
  <c r="BP50" i="15"/>
  <c r="BM45" i="15"/>
  <c r="BN40" i="15"/>
  <c r="BM50" i="15"/>
  <c r="BM46" i="15"/>
  <c r="BM38" i="15"/>
  <c r="BL58" i="15"/>
  <c r="BL50" i="15"/>
  <c r="BO62" i="15"/>
  <c r="BK60" i="15"/>
  <c r="BP64" i="15"/>
  <c r="BP60" i="15"/>
  <c r="BP57" i="15"/>
  <c r="BP53" i="15"/>
  <c r="BO45" i="15"/>
  <c r="BO57" i="15"/>
  <c r="BO53" i="15"/>
  <c r="BO43" i="15"/>
  <c r="BO50" i="15"/>
  <c r="BO46" i="15"/>
  <c r="BO38" i="15"/>
  <c r="BK64" i="15"/>
  <c r="BK52" i="15"/>
  <c r="BK44" i="15"/>
  <c r="BM63" i="15"/>
  <c r="BO59" i="15"/>
  <c r="BM56" i="15"/>
  <c r="BM52" i="15"/>
  <c r="BO41" i="15"/>
  <c r="BN56" i="15"/>
  <c r="BN52" i="15"/>
  <c r="BO39" i="15"/>
  <c r="BN49" i="15"/>
  <c r="BN45" i="15"/>
  <c r="BN41" i="15"/>
  <c r="BN37" i="15"/>
  <c r="BK50" i="15"/>
  <c r="BP62" i="15"/>
  <c r="BP59" i="15"/>
  <c r="BP55" i="15"/>
  <c r="BP51" i="15"/>
  <c r="BO37" i="15"/>
  <c r="BO55" i="15"/>
  <c r="BO51" i="15"/>
  <c r="BO48" i="15"/>
  <c r="BO44" i="15"/>
  <c r="BO40" i="15"/>
  <c r="BK56" i="15"/>
  <c r="BK48" i="15"/>
  <c r="BK40" i="15"/>
  <c r="BM65" i="15"/>
  <c r="BM61" i="15"/>
  <c r="BM58" i="15"/>
  <c r="BM54" i="15"/>
  <c r="BO49" i="15"/>
  <c r="BN58" i="15"/>
  <c r="BN54" i="15"/>
  <c r="BO47" i="15"/>
  <c r="BN51" i="15"/>
  <c r="BN47" i="15"/>
  <c r="BN43" i="15"/>
  <c r="BN39" i="15"/>
  <c r="B35" i="13" l="1"/>
  <c r="B40" i="13" s="1"/>
  <c r="P72" i="15"/>
  <c r="Q68" i="15"/>
  <c r="Q136" i="15" s="1"/>
  <c r="Q69" i="15"/>
  <c r="P67" i="15"/>
  <c r="Q67" i="15"/>
  <c r="CG76" i="3"/>
  <c r="D77" i="3"/>
  <c r="BT75" i="3"/>
  <c r="BU74" i="3"/>
  <c r="C74" i="3" s="1"/>
  <c r="U104" i="15"/>
  <c r="I156" i="15"/>
  <c r="R156" i="15" s="1"/>
  <c r="P70" i="15"/>
  <c r="U103" i="15"/>
  <c r="I152" i="15"/>
  <c r="R152" i="15" s="1"/>
  <c r="P69" i="15"/>
  <c r="S102" i="15"/>
  <c r="I148" i="15"/>
  <c r="T102" i="15"/>
  <c r="U101" i="15"/>
  <c r="B41" i="13" l="1"/>
  <c r="B42" i="13" s="1"/>
  <c r="B43" i="13" s="1"/>
  <c r="B44" i="13" s="1"/>
  <c r="B48" i="13" s="1"/>
  <c r="B49" i="13" s="1"/>
  <c r="B50" i="13" s="1"/>
  <c r="B54" i="13" s="1"/>
  <c r="B55" i="13" s="1"/>
  <c r="B56" i="13" s="1"/>
  <c r="U102" i="15"/>
  <c r="BT76" i="3"/>
  <c r="BU75" i="3"/>
  <c r="C75" i="3" s="1"/>
  <c r="CG77" i="3"/>
  <c r="D78" i="3"/>
  <c r="R144" i="15"/>
  <c r="R140" i="15"/>
  <c r="BU35" i="15"/>
  <c r="BV35" i="15" s="1"/>
  <c r="R35" i="15" s="1"/>
  <c r="BU42" i="15"/>
  <c r="BU34" i="15"/>
  <c r="BN34" i="15" s="1"/>
  <c r="BU36" i="15"/>
  <c r="BU32" i="15"/>
  <c r="BN32" i="15" s="1"/>
  <c r="BU33" i="15"/>
  <c r="BU30" i="15"/>
  <c r="BO30" i="15" s="1"/>
  <c r="BU31" i="15"/>
  <c r="BU28" i="15"/>
  <c r="BN28" i="15" s="1"/>
  <c r="BU29" i="15"/>
  <c r="BU26" i="15"/>
  <c r="BP26" i="15" s="1"/>
  <c r="BU27" i="15"/>
  <c r="I133" i="15"/>
  <c r="I130" i="15"/>
  <c r="R148" i="15"/>
  <c r="O87" i="15" s="1"/>
  <c r="R136" i="15"/>
  <c r="O86" i="15" s="1"/>
  <c r="O88" i="15" l="1"/>
  <c r="O85" i="15"/>
  <c r="I108" i="15"/>
  <c r="BT77" i="3"/>
  <c r="BU76" i="3"/>
  <c r="C76" i="3" s="1"/>
  <c r="CG78" i="3"/>
  <c r="D79" i="3"/>
  <c r="BK35" i="15"/>
  <c r="BV32" i="15"/>
  <c r="R32" i="15" s="1"/>
  <c r="BV28" i="15"/>
  <c r="R28" i="15" s="1"/>
  <c r="BV30" i="15"/>
  <c r="R30" i="15" s="1"/>
  <c r="BV26" i="15"/>
  <c r="R26" i="15" s="1"/>
  <c r="BM35" i="15"/>
  <c r="BO35" i="15"/>
  <c r="BL35" i="15"/>
  <c r="BN35" i="15"/>
  <c r="BP34" i="15"/>
  <c r="BM34" i="15"/>
  <c r="BV34" i="15"/>
  <c r="R34" i="15" s="1"/>
  <c r="BO34" i="15"/>
  <c r="BP35" i="15"/>
  <c r="BL34" i="15"/>
  <c r="BK34" i="15"/>
  <c r="BV42" i="15"/>
  <c r="R42" i="15" s="1"/>
  <c r="BP42" i="15"/>
  <c r="BM42" i="15"/>
  <c r="BL42" i="15"/>
  <c r="BO42" i="15"/>
  <c r="BN42" i="15"/>
  <c r="BK42" i="15"/>
  <c r="BV36" i="15"/>
  <c r="R36" i="15" s="1"/>
  <c r="BN36" i="15"/>
  <c r="BM36" i="15"/>
  <c r="BP36" i="15"/>
  <c r="BL36" i="15"/>
  <c r="BK36" i="15"/>
  <c r="BO36" i="15"/>
  <c r="BK32" i="15"/>
  <c r="BM32" i="15"/>
  <c r="BO32" i="15"/>
  <c r="BP28" i="15"/>
  <c r="BL32" i="15"/>
  <c r="BP32" i="15"/>
  <c r="BL26" i="15"/>
  <c r="BL28" i="15"/>
  <c r="BM30" i="15"/>
  <c r="BM26" i="15"/>
  <c r="BK26" i="15"/>
  <c r="BL30" i="15"/>
  <c r="BK28" i="15"/>
  <c r="BO28" i="15"/>
  <c r="BK30" i="15"/>
  <c r="BN30" i="15"/>
  <c r="BP30" i="15"/>
  <c r="BN26" i="15"/>
  <c r="BO26" i="15"/>
  <c r="BM28" i="15"/>
  <c r="BV33" i="15"/>
  <c r="R33" i="15" s="1"/>
  <c r="BM33" i="15"/>
  <c r="BK33" i="15"/>
  <c r="BL33" i="15"/>
  <c r="BN33" i="15"/>
  <c r="BP33" i="15"/>
  <c r="BO33" i="15"/>
  <c r="BV31" i="15"/>
  <c r="R31" i="15" s="1"/>
  <c r="BK31" i="15"/>
  <c r="BO31" i="15"/>
  <c r="BM31" i="15"/>
  <c r="BL31" i="15"/>
  <c r="BP31" i="15"/>
  <c r="BN31" i="15"/>
  <c r="BV29" i="15"/>
  <c r="R29" i="15" s="1"/>
  <c r="BO29" i="15"/>
  <c r="BP29" i="15"/>
  <c r="BK29" i="15"/>
  <c r="BN29" i="15"/>
  <c r="BL29" i="15"/>
  <c r="BM29" i="15"/>
  <c r="BV27" i="15"/>
  <c r="R27" i="15" s="1"/>
  <c r="BN27" i="15"/>
  <c r="BM27" i="15"/>
  <c r="BK27" i="15"/>
  <c r="BO27" i="15"/>
  <c r="BL27" i="15"/>
  <c r="BP27" i="15"/>
  <c r="BR29" i="15"/>
  <c r="BR37" i="15"/>
  <c r="BR45" i="15"/>
  <c r="BR36" i="15"/>
  <c r="BR52" i="15"/>
  <c r="BR38" i="15"/>
  <c r="BR61" i="15"/>
  <c r="BR30" i="15"/>
  <c r="BR55" i="15"/>
  <c r="BR62" i="15"/>
  <c r="BR27" i="15"/>
  <c r="BR35" i="15"/>
  <c r="BR43" i="15"/>
  <c r="BR32" i="15"/>
  <c r="BR48" i="15"/>
  <c r="BR58" i="15"/>
  <c r="BR50" i="15"/>
  <c r="BR28" i="15"/>
  <c r="BR53" i="15"/>
  <c r="BR60" i="15"/>
  <c r="BR42" i="15"/>
  <c r="BR34" i="15"/>
  <c r="BR64" i="15"/>
  <c r="I109" i="15"/>
  <c r="BR33" i="15"/>
  <c r="BR41" i="15"/>
  <c r="BR49" i="15"/>
  <c r="BR44" i="15"/>
  <c r="BR56" i="15"/>
  <c r="BR46" i="15"/>
  <c r="BR65" i="15"/>
  <c r="BR51" i="15"/>
  <c r="BR59" i="15"/>
  <c r="BR26" i="15"/>
  <c r="BR31" i="15"/>
  <c r="BR39" i="15"/>
  <c r="BR47" i="15"/>
  <c r="BR40" i="15"/>
  <c r="BR54" i="15"/>
  <c r="BR63" i="15"/>
  <c r="BR57" i="15"/>
  <c r="BQ31" i="15"/>
  <c r="BQ49" i="15"/>
  <c r="BQ47" i="15"/>
  <c r="BQ58" i="15"/>
  <c r="BQ26" i="15"/>
  <c r="BQ30" i="15"/>
  <c r="BQ38" i="15"/>
  <c r="BQ46" i="15"/>
  <c r="BQ51" i="15"/>
  <c r="BQ29" i="15"/>
  <c r="BQ45" i="15"/>
  <c r="BQ43" i="15"/>
  <c r="BQ56" i="15"/>
  <c r="BQ65" i="15"/>
  <c r="BQ28" i="15"/>
  <c r="BQ36" i="15"/>
  <c r="BQ44" i="15"/>
  <c r="BQ32" i="15"/>
  <c r="BQ57" i="15"/>
  <c r="BQ55" i="15"/>
  <c r="BQ41" i="15"/>
  <c r="BQ39" i="15"/>
  <c r="BQ54" i="15"/>
  <c r="BQ63" i="15"/>
  <c r="BQ27" i="15"/>
  <c r="BQ34" i="15"/>
  <c r="BQ42" i="15"/>
  <c r="BQ50" i="15"/>
  <c r="BQ60" i="15"/>
  <c r="BQ37" i="15"/>
  <c r="BQ35" i="15"/>
  <c r="BQ52" i="15"/>
  <c r="BQ61" i="15"/>
  <c r="BQ59" i="15"/>
  <c r="BQ33" i="15"/>
  <c r="BQ40" i="15"/>
  <c r="BQ48" i="15"/>
  <c r="BQ53" i="15"/>
  <c r="BQ62" i="15"/>
  <c r="BQ64" i="15"/>
  <c r="J109" i="15" l="1"/>
  <c r="B72" i="15"/>
  <c r="D80" i="3"/>
  <c r="CG79" i="3"/>
  <c r="BU77" i="3"/>
  <c r="C77" i="3" s="1"/>
  <c r="BT78" i="3"/>
  <c r="BP85" i="15"/>
  <c r="BP89" i="15"/>
  <c r="BO85" i="15"/>
  <c r="Q72" i="15"/>
  <c r="J108" i="15"/>
  <c r="P22" i="15" l="1"/>
  <c r="D81" i="3"/>
  <c r="CG80" i="3"/>
  <c r="BT79" i="3"/>
  <c r="BU78" i="3"/>
  <c r="C78" i="3" s="1"/>
  <c r="BT80" i="3" l="1"/>
  <c r="BU79" i="3"/>
  <c r="C79" i="3" s="1"/>
  <c r="CG81" i="3"/>
  <c r="D82" i="3"/>
  <c r="BT81" i="3" l="1"/>
  <c r="BU80" i="3"/>
  <c r="C80" i="3" s="1"/>
  <c r="CG82" i="3"/>
  <c r="D83" i="3"/>
  <c r="BU81" i="3" l="1"/>
  <c r="C81" i="3" s="1"/>
  <c r="BT82" i="3"/>
  <c r="D84" i="3"/>
  <c r="CG83" i="3"/>
  <c r="D85" i="3" l="1"/>
  <c r="CG84" i="3"/>
  <c r="BT83" i="3"/>
  <c r="BU82" i="3"/>
  <c r="C82" i="3" s="1"/>
  <c r="BT84" i="3" l="1"/>
  <c r="BU83" i="3"/>
  <c r="C83" i="3" s="1"/>
  <c r="CG85" i="3"/>
  <c r="D86" i="3"/>
  <c r="BT85" i="3" l="1"/>
  <c r="BU84" i="3"/>
  <c r="C84" i="3" s="1"/>
  <c r="D87" i="3"/>
  <c r="CG86" i="3"/>
  <c r="BU85" i="3" l="1"/>
  <c r="C85" i="3" s="1"/>
  <c r="BT86" i="3"/>
  <c r="CG87" i="3"/>
  <c r="D88" i="3"/>
  <c r="D89" i="3" l="1"/>
  <c r="CG88" i="3"/>
  <c r="BT87" i="3"/>
  <c r="BU86" i="3"/>
  <c r="C86" i="3" s="1"/>
  <c r="BT88" i="3" l="1"/>
  <c r="BU87" i="3"/>
  <c r="C87" i="3" s="1"/>
  <c r="D90" i="3"/>
  <c r="CG89" i="3"/>
  <c r="CG90" i="3" l="1"/>
  <c r="D91" i="3"/>
  <c r="BT89" i="3"/>
  <c r="BU88" i="3"/>
  <c r="C88" i="3" s="1"/>
  <c r="BU89" i="3" l="1"/>
  <c r="C89" i="3" s="1"/>
  <c r="BT90" i="3"/>
  <c r="CG91" i="3"/>
  <c r="D92" i="3"/>
  <c r="D93" i="3" l="1"/>
  <c r="CG92" i="3"/>
  <c r="BT91" i="3"/>
  <c r="BU90" i="3"/>
  <c r="C90" i="3" s="1"/>
  <c r="BT92" i="3" l="1"/>
  <c r="BU91" i="3"/>
  <c r="C91" i="3" s="1"/>
  <c r="CG93" i="3"/>
  <c r="D94" i="3"/>
  <c r="BT93" i="3" l="1"/>
  <c r="BU92" i="3"/>
  <c r="C92" i="3" s="1"/>
  <c r="CG94" i="3"/>
  <c r="D95" i="3"/>
  <c r="BT94" i="3" l="1"/>
  <c r="BU93" i="3"/>
  <c r="C93" i="3" s="1"/>
  <c r="D96" i="3"/>
  <c r="CG95" i="3"/>
  <c r="CG96" i="3" l="1"/>
  <c r="D97" i="3"/>
  <c r="BT95" i="3"/>
  <c r="BU94" i="3"/>
  <c r="C94" i="3" s="1"/>
  <c r="CG97" i="3" l="1"/>
  <c r="D98" i="3"/>
  <c r="BT96" i="3"/>
  <c r="BU95" i="3"/>
  <c r="C95" i="3" s="1"/>
  <c r="CG98" i="3" l="1"/>
  <c r="D99" i="3"/>
  <c r="BT97" i="3"/>
  <c r="BU96" i="3"/>
  <c r="C96" i="3" s="1"/>
  <c r="BT98" i="3" l="1"/>
  <c r="BU97" i="3"/>
  <c r="C97" i="3" s="1"/>
  <c r="D100" i="3"/>
  <c r="CG99" i="3"/>
  <c r="CG100" i="3" l="1"/>
  <c r="D101" i="3"/>
  <c r="BT99" i="3"/>
  <c r="BU98" i="3"/>
  <c r="C98" i="3" s="1"/>
  <c r="BT100" i="3" l="1"/>
  <c r="BU99" i="3"/>
  <c r="C99" i="3" s="1"/>
  <c r="D102" i="3"/>
  <c r="CG101" i="3"/>
  <c r="CG102" i="3" l="1"/>
  <c r="D103" i="3"/>
  <c r="BT101" i="3"/>
  <c r="BU100" i="3"/>
  <c r="C100" i="3" s="1"/>
  <c r="BU101" i="3" l="1"/>
  <c r="C101" i="3" s="1"/>
  <c r="BT102" i="3"/>
  <c r="D104" i="3"/>
  <c r="CG103" i="3"/>
  <c r="BT103" i="3" l="1"/>
  <c r="BU102" i="3"/>
  <c r="C102" i="3" s="1"/>
  <c r="CG104" i="3"/>
  <c r="D105" i="3"/>
  <c r="BT104" i="3" l="1"/>
  <c r="BU103" i="3"/>
  <c r="C103" i="3" s="1"/>
  <c r="CG105" i="3"/>
  <c r="D106" i="3"/>
  <c r="BT105" i="3" l="1"/>
  <c r="BU104" i="3"/>
  <c r="C104" i="3" s="1"/>
  <c r="CG106" i="3"/>
  <c r="D107" i="3"/>
  <c r="BU105" i="3" l="1"/>
  <c r="C105" i="3" s="1"/>
  <c r="BT106" i="3"/>
  <c r="D108" i="3"/>
  <c r="CG107" i="3"/>
  <c r="CG108" i="3" l="1"/>
  <c r="D109" i="3"/>
  <c r="BT107" i="3"/>
  <c r="BU106" i="3"/>
  <c r="C106" i="3" s="1"/>
  <c r="BT108" i="3" l="1"/>
  <c r="BU107" i="3"/>
  <c r="C107" i="3" s="1"/>
  <c r="CG109" i="3"/>
  <c r="D110" i="3"/>
  <c r="BT109" i="3" l="1"/>
  <c r="BU108" i="3"/>
  <c r="C108" i="3" s="1"/>
  <c r="CG110" i="3"/>
  <c r="D111" i="3"/>
  <c r="D112" i="3" l="1"/>
  <c r="CG111" i="3"/>
  <c r="BU109" i="3"/>
  <c r="C109" i="3" s="1"/>
  <c r="BT110" i="3"/>
  <c r="CG112" i="3" l="1"/>
  <c r="D113" i="3"/>
  <c r="BT111" i="3"/>
  <c r="BU110" i="3"/>
  <c r="C110" i="3" s="1"/>
  <c r="BT112" i="3" l="1"/>
  <c r="BU111" i="3"/>
  <c r="C111" i="3" s="1"/>
  <c r="CG113" i="3"/>
  <c r="D114" i="3"/>
  <c r="BT113" i="3" l="1"/>
  <c r="BU112" i="3"/>
  <c r="C112" i="3" s="1"/>
  <c r="CG114" i="3"/>
  <c r="D115" i="3"/>
  <c r="BT114" i="3" l="1"/>
  <c r="BU113" i="3"/>
  <c r="C113" i="3" s="1"/>
  <c r="D116" i="3"/>
  <c r="CG115" i="3"/>
  <c r="CG116" i="3" l="1"/>
  <c r="D117" i="3"/>
  <c r="BT115" i="3"/>
  <c r="BU114" i="3"/>
  <c r="C114" i="3" s="1"/>
  <c r="BT116" i="3" l="1"/>
  <c r="BU115" i="3"/>
  <c r="C115" i="3" s="1"/>
  <c r="D118" i="3"/>
  <c r="CG117" i="3"/>
  <c r="CG118" i="3" l="1"/>
  <c r="D119" i="3"/>
  <c r="BT117" i="3"/>
  <c r="BU116" i="3"/>
  <c r="C116" i="3" s="1"/>
  <c r="BU117" i="3" l="1"/>
  <c r="C117" i="3" s="1"/>
  <c r="BT118" i="3"/>
  <c r="CG119" i="3"/>
  <c r="D120" i="3"/>
  <c r="BT119" i="3" l="1"/>
  <c r="BU118" i="3"/>
  <c r="C118" i="3" s="1"/>
  <c r="CG120" i="3"/>
  <c r="D121" i="3"/>
  <c r="BT120" i="3" l="1"/>
  <c r="BU119" i="3"/>
  <c r="C119" i="3" s="1"/>
  <c r="CG121" i="3"/>
  <c r="D122" i="3"/>
  <c r="BT121" i="3" l="1"/>
  <c r="BU120" i="3"/>
  <c r="C120" i="3" s="1"/>
  <c r="D123" i="3"/>
  <c r="CG122" i="3"/>
  <c r="CG123" i="3" l="1"/>
  <c r="D124" i="3"/>
  <c r="BT122" i="3"/>
  <c r="BU121" i="3"/>
  <c r="C121" i="3" s="1"/>
  <c r="D125" i="3" l="1"/>
  <c r="CG124" i="3"/>
  <c r="BT123" i="3"/>
  <c r="BT124" i="3" s="1"/>
  <c r="BU122" i="3"/>
  <c r="C122" i="3" s="1"/>
  <c r="BT125" i="3" l="1"/>
  <c r="BU124" i="3"/>
  <c r="C124" i="3" s="1"/>
  <c r="D126" i="3"/>
  <c r="CG125" i="3"/>
  <c r="BU123" i="3"/>
  <c r="C123" i="3" s="1"/>
  <c r="BT126" i="3" l="1"/>
  <c r="BU125" i="3"/>
  <c r="C125" i="3" s="1"/>
  <c r="D127" i="3"/>
  <c r="CG126" i="3"/>
  <c r="BT127" i="3" l="1"/>
  <c r="BU126" i="3"/>
  <c r="C126" i="3" s="1"/>
  <c r="D128" i="3"/>
  <c r="CG127" i="3"/>
  <c r="BT128" i="3" l="1"/>
  <c r="BU127" i="3"/>
  <c r="C127" i="3" s="1"/>
  <c r="D129" i="3"/>
  <c r="CG128" i="3"/>
  <c r="BT129" i="3" l="1"/>
  <c r="BU128" i="3"/>
  <c r="C128" i="3" s="1"/>
  <c r="D130" i="3"/>
  <c r="CG129" i="3"/>
  <c r="BU129" i="3" l="1"/>
  <c r="C129" i="3" s="1"/>
  <c r="BT130" i="3"/>
  <c r="D131" i="3"/>
  <c r="CG130" i="3"/>
  <c r="BU130" i="3" l="1"/>
  <c r="C130" i="3" s="1"/>
  <c r="BT131" i="3"/>
  <c r="CG131" i="3"/>
  <c r="D132" i="3"/>
  <c r="BT132" i="3" l="1"/>
  <c r="BU131" i="3"/>
  <c r="C131" i="3" s="1"/>
  <c r="D133" i="3"/>
  <c r="CG132" i="3"/>
  <c r="BT133" i="3" l="1"/>
  <c r="BU132" i="3"/>
  <c r="C132" i="3" s="1"/>
  <c r="D134" i="3"/>
  <c r="CG133" i="3"/>
  <c r="BT134" i="3" l="1"/>
  <c r="BU133" i="3"/>
  <c r="C133" i="3" s="1"/>
  <c r="D135" i="3"/>
  <c r="CG134" i="3"/>
  <c r="BT135" i="3" l="1"/>
  <c r="BU134" i="3"/>
  <c r="C134" i="3" s="1"/>
  <c r="CG135" i="3"/>
  <c r="D136" i="3"/>
  <c r="BT136" i="3" l="1"/>
  <c r="BU135" i="3"/>
  <c r="C135" i="3" s="1"/>
  <c r="D137" i="3"/>
  <c r="CG136" i="3"/>
  <c r="BT137" i="3" l="1"/>
  <c r="BU136" i="3"/>
  <c r="C136" i="3" s="1"/>
  <c r="D138" i="3"/>
  <c r="CG137" i="3"/>
  <c r="BU137" i="3" l="1"/>
  <c r="C137" i="3" s="1"/>
  <c r="BT138" i="3"/>
  <c r="CG138" i="3"/>
  <c r="D139" i="3"/>
  <c r="BT139" i="3" l="1"/>
  <c r="BU138" i="3"/>
  <c r="C138" i="3" s="1"/>
  <c r="CG139" i="3"/>
  <c r="D140" i="3"/>
  <c r="BT140" i="3" l="1"/>
  <c r="BU139" i="3"/>
  <c r="C139" i="3" s="1"/>
  <c r="D141" i="3"/>
  <c r="CG140" i="3"/>
  <c r="BT141" i="3" l="1"/>
  <c r="BU140" i="3"/>
  <c r="C140" i="3" s="1"/>
  <c r="CG141" i="3"/>
  <c r="D142" i="3"/>
  <c r="BT142" i="3" l="1"/>
  <c r="BU141" i="3"/>
  <c r="C141" i="3" s="1"/>
  <c r="D143" i="3"/>
  <c r="CG142" i="3"/>
  <c r="BT143" i="3" l="1"/>
  <c r="BU142" i="3"/>
  <c r="C142" i="3" s="1"/>
  <c r="CG143" i="3"/>
  <c r="D144" i="3"/>
  <c r="BT144" i="3" l="1"/>
  <c r="BU143" i="3"/>
  <c r="C143" i="3" s="1"/>
  <c r="D145" i="3"/>
  <c r="CG144" i="3"/>
  <c r="BU144" i="3" l="1"/>
  <c r="C144" i="3" s="1"/>
  <c r="BT145" i="3"/>
  <c r="CG145" i="3"/>
  <c r="D146" i="3"/>
  <c r="BT146" i="3" l="1"/>
  <c r="BU145" i="3"/>
  <c r="C145" i="3" s="1"/>
  <c r="CG146" i="3"/>
  <c r="D147" i="3"/>
  <c r="BU146" i="3" l="1"/>
  <c r="C146" i="3" s="1"/>
  <c r="BT147" i="3"/>
  <c r="CG147" i="3"/>
  <c r="D148" i="3"/>
  <c r="BU147" i="3" l="1"/>
  <c r="C147" i="3" s="1"/>
  <c r="BT148" i="3"/>
  <c r="D149" i="3"/>
  <c r="CG148" i="3"/>
  <c r="BT149" i="3" l="1"/>
  <c r="BU148" i="3"/>
  <c r="C148" i="3" s="1"/>
  <c r="CG149" i="3"/>
  <c r="D150" i="3"/>
  <c r="BU149" i="3" l="1"/>
  <c r="C149" i="3" s="1"/>
  <c r="BT150" i="3"/>
  <c r="D151" i="3"/>
  <c r="CG150" i="3"/>
  <c r="BU150" i="3" l="1"/>
  <c r="C150" i="3" s="1"/>
  <c r="BT151" i="3"/>
  <c r="D152" i="3"/>
  <c r="CG151" i="3"/>
  <c r="BU151" i="3" l="1"/>
  <c r="C151" i="3" s="1"/>
  <c r="BT152" i="3"/>
  <c r="CG152" i="3"/>
  <c r="D153" i="3"/>
  <c r="BT153" i="3" l="1"/>
  <c r="BU152" i="3"/>
  <c r="C152" i="3" s="1"/>
  <c r="CG153" i="3"/>
  <c r="D154" i="3"/>
  <c r="BT154" i="3" l="1"/>
  <c r="BU153" i="3"/>
  <c r="C153" i="3" s="1"/>
  <c r="D155" i="3"/>
  <c r="CG154" i="3"/>
  <c r="BT155" i="3" l="1"/>
  <c r="BU154" i="3"/>
  <c r="C154" i="3" s="1"/>
  <c r="CG155" i="3"/>
  <c r="D156" i="3"/>
  <c r="BU155" i="3" l="1"/>
  <c r="C155" i="3" s="1"/>
  <c r="BT156" i="3"/>
  <c r="D157" i="3"/>
  <c r="CG156" i="3"/>
  <c r="BT157" i="3" l="1"/>
  <c r="BU156" i="3"/>
  <c r="C156" i="3" s="1"/>
  <c r="CG157" i="3"/>
  <c r="D158" i="3"/>
  <c r="BU157" i="3" l="1"/>
  <c r="C157" i="3" s="1"/>
  <c r="BT158" i="3"/>
  <c r="D159" i="3"/>
  <c r="CG158" i="3"/>
  <c r="BT159" i="3" l="1"/>
  <c r="BU158" i="3"/>
  <c r="C158" i="3" s="1"/>
  <c r="CG159" i="3"/>
  <c r="D160" i="3"/>
  <c r="BU159" i="3" l="1"/>
  <c r="C159" i="3" s="1"/>
  <c r="BT160" i="3"/>
  <c r="D161" i="3"/>
  <c r="CG160" i="3"/>
  <c r="BT161" i="3" l="1"/>
  <c r="BU160" i="3"/>
  <c r="C160" i="3" s="1"/>
  <c r="CG161" i="3"/>
  <c r="D162" i="3"/>
  <c r="BT162" i="3" l="1"/>
  <c r="BU161" i="3"/>
  <c r="C161" i="3" s="1"/>
  <c r="D163" i="3"/>
  <c r="CG162" i="3"/>
  <c r="BT163" i="3" l="1"/>
  <c r="BU162" i="3"/>
  <c r="C162" i="3" s="1"/>
  <c r="CG163" i="3"/>
  <c r="D164" i="3"/>
  <c r="BT164" i="3" l="1"/>
  <c r="BU163" i="3"/>
  <c r="C163" i="3" s="1"/>
  <c r="D165" i="3"/>
  <c r="CG164" i="3"/>
  <c r="BT165" i="3" l="1"/>
  <c r="BU164" i="3"/>
  <c r="C164" i="3" s="1"/>
  <c r="D166" i="3"/>
  <c r="CG165" i="3"/>
  <c r="BT166" i="3" l="1"/>
  <c r="BU165" i="3"/>
  <c r="C165" i="3" s="1"/>
  <c r="D167" i="3"/>
  <c r="CG166" i="3"/>
  <c r="BT167" i="3" l="1"/>
  <c r="BU166" i="3"/>
  <c r="C166" i="3" s="1"/>
  <c r="D168" i="3"/>
  <c r="CG167" i="3"/>
  <c r="BT168" i="3" l="1"/>
  <c r="BU167" i="3"/>
  <c r="C167" i="3" s="1"/>
  <c r="D169" i="3"/>
  <c r="CG168" i="3"/>
  <c r="BT169" i="3" l="1"/>
  <c r="BU168" i="3"/>
  <c r="C168" i="3" s="1"/>
  <c r="D170" i="3"/>
  <c r="CG169" i="3"/>
  <c r="BT170" i="3" l="1"/>
  <c r="BU169" i="3"/>
  <c r="C169" i="3" s="1"/>
  <c r="D171" i="3"/>
  <c r="CG170" i="3"/>
  <c r="BT171" i="3" l="1"/>
  <c r="BU170" i="3"/>
  <c r="C170" i="3" s="1"/>
  <c r="D172" i="3"/>
  <c r="CG171" i="3"/>
  <c r="BT172" i="3" l="1"/>
  <c r="BU171" i="3"/>
  <c r="C171" i="3" s="1"/>
  <c r="D173" i="3"/>
  <c r="CG172" i="3"/>
  <c r="BT173" i="3" l="1"/>
  <c r="BU172" i="3"/>
  <c r="C172" i="3" s="1"/>
  <c r="D174" i="3"/>
  <c r="CG173" i="3"/>
  <c r="BT174" i="3" l="1"/>
  <c r="BU173" i="3"/>
  <c r="C173" i="3" s="1"/>
  <c r="D175" i="3"/>
  <c r="CG174" i="3"/>
  <c r="BT175" i="3" l="1"/>
  <c r="BU174" i="3"/>
  <c r="C174" i="3" s="1"/>
  <c r="D176" i="3"/>
  <c r="CG175" i="3"/>
  <c r="BT176" i="3" l="1"/>
  <c r="BU175" i="3"/>
  <c r="C175" i="3" s="1"/>
  <c r="D177" i="3"/>
  <c r="CG176" i="3"/>
  <c r="BT177" i="3" l="1"/>
  <c r="BU176" i="3"/>
  <c r="C176" i="3" s="1"/>
  <c r="D178" i="3"/>
  <c r="CG177" i="3"/>
  <c r="BT178" i="3" l="1"/>
  <c r="BU177" i="3"/>
  <c r="C177" i="3" s="1"/>
  <c r="D179" i="3"/>
  <c r="CG178" i="3"/>
  <c r="BT179" i="3" l="1"/>
  <c r="BU178" i="3"/>
  <c r="C178" i="3" s="1"/>
  <c r="D180" i="3"/>
  <c r="CG179" i="3"/>
  <c r="BT180" i="3" l="1"/>
  <c r="BU179" i="3"/>
  <c r="C179" i="3" s="1"/>
  <c r="D181" i="3"/>
  <c r="CG180" i="3"/>
  <c r="BT181" i="3" l="1"/>
  <c r="BU180" i="3"/>
  <c r="C180" i="3" s="1"/>
  <c r="D182" i="3"/>
  <c r="CG181" i="3"/>
  <c r="BT182" i="3" l="1"/>
  <c r="BU181" i="3"/>
  <c r="C181" i="3" s="1"/>
  <c r="D183" i="3"/>
  <c r="CG182" i="3"/>
  <c r="BT183" i="3" l="1"/>
  <c r="BU182" i="3"/>
  <c r="C182" i="3" s="1"/>
  <c r="D184" i="3"/>
  <c r="CG183" i="3"/>
  <c r="BT184" i="3" l="1"/>
  <c r="BU183" i="3"/>
  <c r="C183" i="3" s="1"/>
  <c r="D185" i="3"/>
  <c r="CG184" i="3"/>
  <c r="BT185" i="3" l="1"/>
  <c r="BU184" i="3"/>
  <c r="C184" i="3" s="1"/>
  <c r="D186" i="3"/>
  <c r="CG185" i="3"/>
  <c r="BT186" i="3" l="1"/>
  <c r="BU185" i="3"/>
  <c r="C185" i="3" s="1"/>
  <c r="D187" i="3"/>
  <c r="CG186" i="3"/>
  <c r="BT187" i="3" l="1"/>
  <c r="BU186" i="3"/>
  <c r="C186" i="3" s="1"/>
  <c r="D188" i="3"/>
  <c r="CG187" i="3"/>
  <c r="BT188" i="3" l="1"/>
  <c r="BU187" i="3"/>
  <c r="C187" i="3" s="1"/>
  <c r="D189" i="3"/>
  <c r="CG188" i="3"/>
  <c r="BU188" i="3" l="1"/>
  <c r="C188" i="3" s="1"/>
  <c r="BT189" i="3"/>
  <c r="D190" i="3"/>
  <c r="CG189" i="3"/>
  <c r="BT190" i="3" l="1"/>
  <c r="BU189" i="3"/>
  <c r="C189" i="3" s="1"/>
  <c r="D191" i="3"/>
  <c r="CG190" i="3"/>
  <c r="BT191" i="3" l="1"/>
  <c r="BU190" i="3"/>
  <c r="C190" i="3" s="1"/>
  <c r="D192" i="3"/>
  <c r="CG191" i="3"/>
  <c r="BT192" i="3" l="1"/>
  <c r="BU191" i="3"/>
  <c r="C191" i="3" s="1"/>
  <c r="D193" i="3"/>
  <c r="CG192" i="3"/>
  <c r="BT193" i="3" l="1"/>
  <c r="BU192" i="3"/>
  <c r="C192" i="3" s="1"/>
  <c r="D194" i="3"/>
  <c r="CG193" i="3"/>
  <c r="BT194" i="3" l="1"/>
  <c r="BU193" i="3"/>
  <c r="C193" i="3" s="1"/>
  <c r="D195" i="3"/>
  <c r="CG194" i="3"/>
  <c r="BT195" i="3" l="1"/>
  <c r="BU194" i="3"/>
  <c r="C194" i="3" s="1"/>
  <c r="D196" i="3"/>
  <c r="CG195" i="3"/>
  <c r="BT196" i="3" l="1"/>
  <c r="BU195" i="3"/>
  <c r="C195" i="3" s="1"/>
  <c r="D197" i="3"/>
  <c r="CG196" i="3"/>
  <c r="BT197" i="3" l="1"/>
  <c r="BU196" i="3"/>
  <c r="C196" i="3" s="1"/>
  <c r="D198" i="3"/>
  <c r="CG197" i="3"/>
  <c r="BT198" i="3" l="1"/>
  <c r="BU197" i="3"/>
  <c r="C197" i="3" s="1"/>
  <c r="D199" i="3"/>
  <c r="CG198" i="3"/>
  <c r="BT199" i="3" l="1"/>
  <c r="BU198" i="3"/>
  <c r="C198" i="3" s="1"/>
  <c r="D200" i="3"/>
  <c r="CG199" i="3"/>
  <c r="BT200" i="3" l="1"/>
  <c r="BU199" i="3"/>
  <c r="C199" i="3" s="1"/>
  <c r="D201" i="3"/>
  <c r="CG200" i="3"/>
  <c r="BT201" i="3" l="1"/>
  <c r="BU200" i="3"/>
  <c r="C200" i="3" s="1"/>
  <c r="D202" i="3"/>
  <c r="CG201" i="3"/>
  <c r="BT202" i="3" l="1"/>
  <c r="BU201" i="3"/>
  <c r="C201" i="3" s="1"/>
  <c r="D203" i="3"/>
  <c r="CG202" i="3"/>
  <c r="BT203" i="3" l="1"/>
  <c r="BU202" i="3"/>
  <c r="C202" i="3" s="1"/>
  <c r="D204" i="3"/>
  <c r="CG203" i="3"/>
  <c r="BT204" i="3" l="1"/>
  <c r="BU203" i="3"/>
  <c r="C203" i="3" s="1"/>
  <c r="D205" i="3"/>
  <c r="CG204" i="3"/>
  <c r="BT205" i="3" l="1"/>
  <c r="BU204" i="3"/>
  <c r="C204" i="3" s="1"/>
  <c r="D206" i="3"/>
  <c r="CG205" i="3"/>
  <c r="BT206" i="3" l="1"/>
  <c r="BU205" i="3"/>
  <c r="C205" i="3" s="1"/>
  <c r="D207" i="3"/>
  <c r="CG206" i="3"/>
  <c r="BT207" i="3" l="1"/>
  <c r="BU206" i="3"/>
  <c r="C206" i="3" s="1"/>
  <c r="D208" i="3"/>
  <c r="CG207" i="3"/>
  <c r="BT208" i="3" l="1"/>
  <c r="BU207" i="3"/>
  <c r="C207" i="3" s="1"/>
  <c r="D209" i="3"/>
  <c r="CG208" i="3"/>
  <c r="BT209" i="3" l="1"/>
  <c r="BU208" i="3"/>
  <c r="C208" i="3" s="1"/>
  <c r="D210" i="3"/>
  <c r="CG209" i="3"/>
  <c r="BT210" i="3" l="1"/>
  <c r="BU209" i="3"/>
  <c r="C209" i="3" s="1"/>
  <c r="D211" i="3"/>
  <c r="CG210" i="3"/>
  <c r="BT211" i="3" l="1"/>
  <c r="BU210" i="3"/>
  <c r="C210" i="3" s="1"/>
  <c r="D212" i="3"/>
  <c r="CG211" i="3"/>
  <c r="BT212" i="3" l="1"/>
  <c r="BU211" i="3"/>
  <c r="C211" i="3" s="1"/>
  <c r="D213" i="3"/>
  <c r="CG212" i="3"/>
  <c r="BT213" i="3" l="1"/>
  <c r="BU212" i="3"/>
  <c r="C212" i="3" s="1"/>
  <c r="D214" i="3"/>
  <c r="CG213" i="3"/>
  <c r="BT214" i="3" l="1"/>
  <c r="BU213" i="3"/>
  <c r="C213" i="3" s="1"/>
  <c r="D215" i="3"/>
  <c r="CG214" i="3"/>
  <c r="BT215" i="3" l="1"/>
  <c r="BU214" i="3"/>
  <c r="C214" i="3" s="1"/>
  <c r="D216" i="3"/>
  <c r="CG215" i="3"/>
  <c r="BT216" i="3" l="1"/>
  <c r="BU215" i="3"/>
  <c r="C215" i="3" s="1"/>
  <c r="D217" i="3"/>
  <c r="CG216" i="3"/>
  <c r="BT217" i="3" l="1"/>
  <c r="BU216" i="3"/>
  <c r="C216" i="3" s="1"/>
  <c r="D218" i="3"/>
  <c r="CG217" i="3"/>
  <c r="BT218" i="3" l="1"/>
  <c r="BU217" i="3"/>
  <c r="C217" i="3" s="1"/>
  <c r="D219" i="3"/>
  <c r="CG218" i="3"/>
  <c r="BT219" i="3" l="1"/>
  <c r="BU218" i="3"/>
  <c r="C218" i="3" s="1"/>
  <c r="D220" i="3"/>
  <c r="CG219" i="3"/>
  <c r="BT220" i="3" l="1"/>
  <c r="BU219" i="3"/>
  <c r="C219" i="3" s="1"/>
  <c r="D221" i="3"/>
  <c r="CG220" i="3"/>
  <c r="BT221" i="3" l="1"/>
  <c r="BU220" i="3"/>
  <c r="C220" i="3" s="1"/>
  <c r="D222" i="3"/>
  <c r="CG221" i="3"/>
  <c r="BU221" i="3" l="1"/>
  <c r="C221" i="3" s="1"/>
  <c r="BT222" i="3"/>
  <c r="D223" i="3"/>
  <c r="D224" i="3" s="1"/>
  <c r="CG222" i="3"/>
  <c r="CG224" i="3" l="1"/>
  <c r="D225" i="3"/>
  <c r="BU222" i="3"/>
  <c r="C222" i="3" s="1"/>
  <c r="BT223" i="3"/>
  <c r="BT224" i="3" s="1"/>
  <c r="CG223" i="3"/>
  <c r="BU224" i="3" l="1"/>
  <c r="C224" i="3" s="1"/>
  <c r="BT225" i="3"/>
  <c r="D226" i="3"/>
  <c r="CG225" i="3"/>
  <c r="BU223" i="3"/>
  <c r="C223" i="3" s="1"/>
  <c r="P566" i="3"/>
  <c r="D227" i="3" l="1"/>
  <c r="CG226" i="3"/>
  <c r="BT226" i="3"/>
  <c r="BU225" i="3"/>
  <c r="C225" i="3" s="1"/>
  <c r="V525" i="3"/>
  <c r="V527" i="3"/>
  <c r="Q565" i="3"/>
  <c r="W527" i="3"/>
  <c r="Q564" i="3"/>
  <c r="V20" i="3" l="1"/>
  <c r="BT227" i="3"/>
  <c r="BU226" i="3"/>
  <c r="C226" i="3" s="1"/>
  <c r="D228" i="3"/>
  <c r="CG227" i="3"/>
  <c r="D229" i="3" l="1"/>
  <c r="CG228" i="3"/>
  <c r="BT228" i="3"/>
  <c r="BU227" i="3"/>
  <c r="C227" i="3" s="1"/>
  <c r="BT229" i="3" l="1"/>
  <c r="BU228" i="3"/>
  <c r="C228" i="3" s="1"/>
  <c r="D230" i="3"/>
  <c r="CG229" i="3"/>
  <c r="D231" i="3" l="1"/>
  <c r="CG230" i="3"/>
  <c r="BT230" i="3"/>
  <c r="BU229" i="3"/>
  <c r="C229" i="3" s="1"/>
  <c r="BU230" i="3" l="1"/>
  <c r="C230" i="3" s="1"/>
  <c r="BT231" i="3"/>
  <c r="D232" i="3"/>
  <c r="CG231" i="3"/>
  <c r="D233" i="3" l="1"/>
  <c r="CG232" i="3"/>
  <c r="BT232" i="3"/>
  <c r="BU231" i="3"/>
  <c r="C231" i="3" s="1"/>
  <c r="BU232" i="3" l="1"/>
  <c r="C232" i="3" s="1"/>
  <c r="BT233" i="3"/>
  <c r="CG233" i="3"/>
  <c r="D234" i="3"/>
  <c r="BU233" i="3" l="1"/>
  <c r="C233" i="3" s="1"/>
  <c r="BT234" i="3"/>
  <c r="D235" i="3"/>
  <c r="CG234" i="3"/>
  <c r="CG235" i="3" l="1"/>
  <c r="D236" i="3"/>
  <c r="BT235" i="3"/>
  <c r="BU234" i="3"/>
  <c r="C234" i="3" s="1"/>
  <c r="CG236" i="3" l="1"/>
  <c r="D237" i="3"/>
  <c r="BU235" i="3"/>
  <c r="C235" i="3" s="1"/>
  <c r="BT236" i="3"/>
  <c r="BU236" i="3" l="1"/>
  <c r="C236" i="3" s="1"/>
  <c r="BT237" i="3"/>
  <c r="CG237" i="3"/>
  <c r="D238" i="3"/>
  <c r="CG238" i="3" l="1"/>
  <c r="D239" i="3"/>
  <c r="BU237" i="3"/>
  <c r="C237" i="3" s="1"/>
  <c r="BT238" i="3"/>
  <c r="BU238" i="3" l="1"/>
  <c r="C238" i="3" s="1"/>
  <c r="BT239" i="3"/>
  <c r="CG239" i="3"/>
  <c r="D240" i="3"/>
  <c r="D241" i="3" l="1"/>
  <c r="CG240" i="3"/>
  <c r="BT240" i="3"/>
  <c r="BU239" i="3"/>
  <c r="C239" i="3" s="1"/>
  <c r="BT241" i="3" l="1"/>
  <c r="BU240" i="3"/>
  <c r="C240" i="3" s="1"/>
  <c r="D242" i="3"/>
  <c r="CG241" i="3"/>
  <c r="CG242" i="3" l="1"/>
  <c r="D243" i="3"/>
  <c r="BU241" i="3"/>
  <c r="C241" i="3" s="1"/>
  <c r="BT242" i="3"/>
  <c r="BT243" i="3" l="1"/>
  <c r="BU242" i="3"/>
  <c r="C242" i="3" s="1"/>
  <c r="D244" i="3"/>
  <c r="CG243" i="3"/>
  <c r="D245" i="3" l="1"/>
  <c r="CG244" i="3"/>
  <c r="BT244" i="3"/>
  <c r="BU243" i="3"/>
  <c r="C243" i="3" s="1"/>
  <c r="BU244" i="3" l="1"/>
  <c r="C244" i="3" s="1"/>
  <c r="BT245" i="3"/>
  <c r="CG245" i="3"/>
  <c r="D246" i="3"/>
  <c r="BU245" i="3" l="1"/>
  <c r="C245" i="3" s="1"/>
  <c r="BT246" i="3"/>
  <c r="CG246" i="3"/>
  <c r="D247" i="3"/>
  <c r="BT247" i="3" l="1"/>
  <c r="BU246" i="3"/>
  <c r="C246" i="3" s="1"/>
  <c r="D248" i="3"/>
  <c r="CG247" i="3"/>
  <c r="D249" i="3" l="1"/>
  <c r="CG248" i="3"/>
  <c r="BT248" i="3"/>
  <c r="BU247" i="3"/>
  <c r="C247" i="3" s="1"/>
  <c r="BU248" i="3" l="1"/>
  <c r="C248" i="3" s="1"/>
  <c r="BT249" i="3"/>
  <c r="CG249" i="3"/>
  <c r="D250" i="3"/>
  <c r="D251" i="3" l="1"/>
  <c r="CG250" i="3"/>
  <c r="BT250" i="3"/>
  <c r="BU249" i="3"/>
  <c r="C249" i="3" s="1"/>
  <c r="BU250" i="3" l="1"/>
  <c r="C250" i="3" s="1"/>
  <c r="BT251" i="3"/>
  <c r="D252" i="3"/>
  <c r="CG251" i="3"/>
  <c r="CG252" i="3" l="1"/>
  <c r="D253" i="3"/>
  <c r="BT252" i="3"/>
  <c r="BU251" i="3"/>
  <c r="C251" i="3" s="1"/>
  <c r="BT253" i="3" l="1"/>
  <c r="BU252" i="3"/>
  <c r="C252" i="3" s="1"/>
  <c r="CG253" i="3"/>
  <c r="D254" i="3"/>
  <c r="CG254" i="3" l="1"/>
  <c r="D255" i="3"/>
  <c r="BT254" i="3"/>
  <c r="BU253" i="3"/>
  <c r="C253" i="3" s="1"/>
  <c r="BT255" i="3" l="1"/>
  <c r="BU254" i="3"/>
  <c r="C254" i="3" s="1"/>
  <c r="D256" i="3"/>
  <c r="CG255" i="3"/>
  <c r="CG256" i="3" l="1"/>
  <c r="D257" i="3"/>
  <c r="BT256" i="3"/>
  <c r="BU255" i="3"/>
  <c r="C255" i="3" s="1"/>
  <c r="BT257" i="3" l="1"/>
  <c r="BU256" i="3"/>
  <c r="C256" i="3" s="1"/>
  <c r="CG257" i="3"/>
  <c r="D258" i="3"/>
  <c r="D259" i="3" l="1"/>
  <c r="CG258" i="3"/>
  <c r="BU257" i="3"/>
  <c r="C257" i="3" s="1"/>
  <c r="BT258" i="3"/>
  <c r="BT259" i="3" l="1"/>
  <c r="BU258" i="3"/>
  <c r="C258" i="3" s="1"/>
  <c r="D260" i="3"/>
  <c r="CG259" i="3"/>
  <c r="CG260" i="3" l="1"/>
  <c r="D261" i="3"/>
  <c r="BU259" i="3"/>
  <c r="C259" i="3" s="1"/>
  <c r="BT260" i="3"/>
  <c r="BT261" i="3" l="1"/>
  <c r="BU260" i="3"/>
  <c r="C260" i="3" s="1"/>
  <c r="D262" i="3"/>
  <c r="CG261" i="3"/>
  <c r="D263" i="3" l="1"/>
  <c r="CG262" i="3"/>
  <c r="BU261" i="3"/>
  <c r="C261" i="3" s="1"/>
  <c r="BT262" i="3"/>
  <c r="BT263" i="3" l="1"/>
  <c r="BU262" i="3"/>
  <c r="C262" i="3" s="1"/>
  <c r="CG263" i="3"/>
  <c r="D264" i="3"/>
  <c r="CG264" i="3" l="1"/>
  <c r="D265" i="3"/>
  <c r="BT264" i="3"/>
  <c r="BU263" i="3"/>
  <c r="C263" i="3" s="1"/>
  <c r="CG265" i="3" l="1"/>
  <c r="D266" i="3"/>
  <c r="BU264" i="3"/>
  <c r="C264" i="3" s="1"/>
  <c r="BT265" i="3"/>
  <c r="BT266" i="3" l="1"/>
  <c r="BU265" i="3"/>
  <c r="C265" i="3" s="1"/>
  <c r="D267" i="3"/>
  <c r="CG266" i="3"/>
  <c r="CG267" i="3" l="1"/>
  <c r="D268" i="3"/>
  <c r="BT267" i="3"/>
  <c r="BU266" i="3"/>
  <c r="C266" i="3" s="1"/>
  <c r="BT268" i="3" l="1"/>
  <c r="BU267" i="3"/>
  <c r="C267" i="3" s="1"/>
  <c r="D269" i="3"/>
  <c r="CG268" i="3"/>
  <c r="D270" i="3" l="1"/>
  <c r="CG269" i="3"/>
  <c r="BT269" i="3"/>
  <c r="BU268" i="3"/>
  <c r="C268" i="3" s="1"/>
  <c r="BT270" i="3" l="1"/>
  <c r="BU269" i="3"/>
  <c r="C269" i="3" s="1"/>
  <c r="CG270" i="3"/>
  <c r="D271" i="3"/>
  <c r="D272" i="3" l="1"/>
  <c r="CG271" i="3"/>
  <c r="BT271" i="3"/>
  <c r="BU270" i="3"/>
  <c r="C270" i="3" s="1"/>
  <c r="BT272" i="3" l="1"/>
  <c r="BU271" i="3"/>
  <c r="C271" i="3" s="1"/>
  <c r="CG272" i="3"/>
  <c r="D273" i="3"/>
  <c r="D274" i="3" l="1"/>
  <c r="CG273" i="3"/>
  <c r="BT273" i="3"/>
  <c r="BU272" i="3"/>
  <c r="C272" i="3" s="1"/>
  <c r="BT274" i="3" l="1"/>
  <c r="BU273" i="3"/>
  <c r="C273" i="3" s="1"/>
  <c r="CG274" i="3"/>
  <c r="D275" i="3"/>
  <c r="D276" i="3" l="1"/>
  <c r="CG275" i="3"/>
  <c r="BT275" i="3"/>
  <c r="BU274" i="3"/>
  <c r="C274" i="3" s="1"/>
  <c r="BT276" i="3" l="1"/>
  <c r="BU275" i="3"/>
  <c r="C275" i="3" s="1"/>
  <c r="CG276" i="3"/>
  <c r="D277" i="3"/>
  <c r="D278" i="3" l="1"/>
  <c r="CG277" i="3"/>
  <c r="BT277" i="3"/>
  <c r="BU276" i="3"/>
  <c r="C276" i="3" s="1"/>
  <c r="BT278" i="3" l="1"/>
  <c r="BU277" i="3"/>
  <c r="C277" i="3" s="1"/>
  <c r="D279" i="3"/>
  <c r="CG278" i="3"/>
  <c r="D280" i="3" l="1"/>
  <c r="CG279" i="3"/>
  <c r="BT279" i="3"/>
  <c r="BU278" i="3"/>
  <c r="C278" i="3" s="1"/>
  <c r="D281" i="3" l="1"/>
  <c r="CG280" i="3"/>
  <c r="BT280" i="3"/>
  <c r="BU279" i="3"/>
  <c r="C279" i="3" s="1"/>
  <c r="D282" i="3" l="1"/>
  <c r="CG281" i="3"/>
  <c r="BT281" i="3"/>
  <c r="BU280" i="3"/>
  <c r="C280" i="3" s="1"/>
  <c r="D283" i="3" l="1"/>
  <c r="CG282" i="3"/>
  <c r="BT282" i="3"/>
  <c r="BU281" i="3"/>
  <c r="C281" i="3" s="1"/>
  <c r="BT283" i="3" l="1"/>
  <c r="BU282" i="3"/>
  <c r="C282" i="3" s="1"/>
  <c r="D284" i="3"/>
  <c r="CG283" i="3"/>
  <c r="D285" i="3" l="1"/>
  <c r="CG284" i="3"/>
  <c r="BT284" i="3"/>
  <c r="BU283" i="3"/>
  <c r="C283" i="3" s="1"/>
  <c r="BT285" i="3" l="1"/>
  <c r="BU284" i="3"/>
  <c r="C284" i="3" s="1"/>
  <c r="D286" i="3"/>
  <c r="CG285" i="3"/>
  <c r="CG286" i="3" l="1"/>
  <c r="D287" i="3"/>
  <c r="BT286" i="3"/>
  <c r="BU285" i="3"/>
  <c r="C285" i="3" s="1"/>
  <c r="BT287" i="3" l="1"/>
  <c r="BU286" i="3"/>
  <c r="C286" i="3" s="1"/>
  <c r="D288" i="3"/>
  <c r="CG287" i="3"/>
  <c r="BT288" i="3" l="1"/>
  <c r="BU287" i="3"/>
  <c r="C287" i="3" s="1"/>
  <c r="D289" i="3"/>
  <c r="CG288" i="3"/>
  <c r="BT289" i="3" l="1"/>
  <c r="BU288" i="3"/>
  <c r="C288" i="3" s="1"/>
  <c r="D290" i="3"/>
  <c r="CG289" i="3"/>
  <c r="D291" i="3" l="1"/>
  <c r="CG290" i="3"/>
  <c r="BT290" i="3"/>
  <c r="BU289" i="3"/>
  <c r="C289" i="3" s="1"/>
  <c r="BT291" i="3" l="1"/>
  <c r="BU290" i="3"/>
  <c r="C290" i="3" s="1"/>
  <c r="D292" i="3"/>
  <c r="CG291" i="3"/>
  <c r="D293" i="3" l="1"/>
  <c r="CG292" i="3"/>
  <c r="BT292" i="3"/>
  <c r="BU291" i="3"/>
  <c r="C291" i="3" s="1"/>
  <c r="BT293" i="3" l="1"/>
  <c r="BU292" i="3"/>
  <c r="C292" i="3" s="1"/>
  <c r="D294" i="3"/>
  <c r="CG293" i="3"/>
  <c r="D295" i="3" l="1"/>
  <c r="CG294" i="3"/>
  <c r="BT294" i="3"/>
  <c r="BU293" i="3"/>
  <c r="C293" i="3" s="1"/>
  <c r="BT295" i="3" l="1"/>
  <c r="BU294" i="3"/>
  <c r="C294" i="3" s="1"/>
  <c r="D296" i="3"/>
  <c r="CG295" i="3"/>
  <c r="D297" i="3" l="1"/>
  <c r="CG296" i="3"/>
  <c r="BT296" i="3"/>
  <c r="BU295" i="3"/>
  <c r="C295" i="3" s="1"/>
  <c r="BT297" i="3" l="1"/>
  <c r="BU296" i="3"/>
  <c r="C296" i="3" s="1"/>
  <c r="D298" i="3"/>
  <c r="CG297" i="3"/>
  <c r="D299" i="3" l="1"/>
  <c r="CG298" i="3"/>
  <c r="BT298" i="3"/>
  <c r="BU297" i="3"/>
  <c r="C297" i="3" s="1"/>
  <c r="BT299" i="3" l="1"/>
  <c r="BU298" i="3"/>
  <c r="C298" i="3" s="1"/>
  <c r="D300" i="3"/>
  <c r="CG299" i="3"/>
  <c r="D301" i="3" l="1"/>
  <c r="CG300" i="3"/>
  <c r="BT300" i="3"/>
  <c r="BU299" i="3"/>
  <c r="C299" i="3" s="1"/>
  <c r="BT301" i="3" l="1"/>
  <c r="BU300" i="3"/>
  <c r="C300" i="3" s="1"/>
  <c r="CG301" i="3"/>
  <c r="D302" i="3"/>
  <c r="D303" i="3" l="1"/>
  <c r="CG302" i="3"/>
  <c r="BT302" i="3"/>
  <c r="BU301" i="3"/>
  <c r="C301" i="3" s="1"/>
  <c r="BT303" i="3" l="1"/>
  <c r="BU302" i="3"/>
  <c r="C302" i="3" s="1"/>
  <c r="D304" i="3"/>
  <c r="CG303" i="3"/>
  <c r="D305" i="3" l="1"/>
  <c r="CG304" i="3"/>
  <c r="BT304" i="3"/>
  <c r="BU303" i="3"/>
  <c r="C303" i="3" s="1"/>
  <c r="BT305" i="3" l="1"/>
  <c r="BU304" i="3"/>
  <c r="C304" i="3" s="1"/>
  <c r="D306" i="3"/>
  <c r="CG305" i="3"/>
  <c r="CG306" i="3" l="1"/>
  <c r="D307" i="3"/>
  <c r="BT306" i="3"/>
  <c r="BU305" i="3"/>
  <c r="C305" i="3" s="1"/>
  <c r="BT307" i="3" l="1"/>
  <c r="BU306" i="3"/>
  <c r="C306" i="3" s="1"/>
  <c r="D308" i="3"/>
  <c r="CG307" i="3"/>
  <c r="D309" i="3" l="1"/>
  <c r="CG308" i="3"/>
  <c r="BT308" i="3"/>
  <c r="BU307" i="3"/>
  <c r="C307" i="3" s="1"/>
  <c r="BT309" i="3" l="1"/>
  <c r="BU308" i="3"/>
  <c r="C308" i="3" s="1"/>
  <c r="D310" i="3"/>
  <c r="CG309" i="3"/>
  <c r="D311" i="3" l="1"/>
  <c r="CG310" i="3"/>
  <c r="BT310" i="3"/>
  <c r="BU309" i="3"/>
  <c r="C309" i="3" s="1"/>
  <c r="BT311" i="3" l="1"/>
  <c r="BU310" i="3"/>
  <c r="C310" i="3" s="1"/>
  <c r="D312" i="3"/>
  <c r="CG311" i="3"/>
  <c r="D313" i="3" l="1"/>
  <c r="CG312" i="3"/>
  <c r="BT312" i="3"/>
  <c r="BU311" i="3"/>
  <c r="C311" i="3" s="1"/>
  <c r="BT313" i="3" l="1"/>
  <c r="BU312" i="3"/>
  <c r="C312" i="3" s="1"/>
  <c r="D314" i="3"/>
  <c r="CG313" i="3"/>
  <c r="D315" i="3" l="1"/>
  <c r="CG314" i="3"/>
  <c r="BT314" i="3"/>
  <c r="BU313" i="3"/>
  <c r="C313" i="3" s="1"/>
  <c r="BT315" i="3" l="1"/>
  <c r="BU314" i="3"/>
  <c r="C314" i="3" s="1"/>
  <c r="D316" i="3"/>
  <c r="CG315" i="3"/>
  <c r="D317" i="3" l="1"/>
  <c r="CG316" i="3"/>
  <c r="BT316" i="3"/>
  <c r="BU315" i="3"/>
  <c r="C315" i="3" s="1"/>
  <c r="BT317" i="3" l="1"/>
  <c r="BU316" i="3"/>
  <c r="C316" i="3" s="1"/>
  <c r="D318" i="3"/>
  <c r="CG317" i="3"/>
  <c r="CG318" i="3" l="1"/>
  <c r="D319" i="3"/>
  <c r="BT318" i="3"/>
  <c r="BU317" i="3"/>
  <c r="C317" i="3" s="1"/>
  <c r="BT319" i="3" l="1"/>
  <c r="BU318" i="3"/>
  <c r="C318" i="3" s="1"/>
  <c r="D320" i="3"/>
  <c r="CG319" i="3"/>
  <c r="D321" i="3" l="1"/>
  <c r="CG320" i="3"/>
  <c r="BT320" i="3"/>
  <c r="BU319" i="3"/>
  <c r="C319" i="3" s="1"/>
  <c r="BT321" i="3" l="1"/>
  <c r="BU320" i="3"/>
  <c r="C320" i="3" s="1"/>
  <c r="CG321" i="3"/>
  <c r="D322" i="3"/>
  <c r="D323" i="3" l="1"/>
  <c r="CG322" i="3"/>
  <c r="BT322" i="3"/>
  <c r="BU321" i="3"/>
  <c r="C321" i="3" s="1"/>
  <c r="BT323" i="3" l="1"/>
  <c r="BU322" i="3"/>
  <c r="C322" i="3" s="1"/>
  <c r="CG323" i="3"/>
  <c r="D324" i="3"/>
  <c r="D325" i="3" l="1"/>
  <c r="CG324" i="3"/>
  <c r="BT324" i="3"/>
  <c r="BU323" i="3"/>
  <c r="C323" i="3" s="1"/>
  <c r="BT325" i="3" l="1"/>
  <c r="BU324" i="3"/>
  <c r="C324" i="3" s="1"/>
  <c r="D326" i="3"/>
  <c r="CG325" i="3"/>
  <c r="D327" i="3" l="1"/>
  <c r="CG326" i="3"/>
  <c r="BT326" i="3"/>
  <c r="BU325" i="3"/>
  <c r="C325" i="3" s="1"/>
  <c r="BT327" i="3" l="1"/>
  <c r="BU326" i="3"/>
  <c r="C326" i="3" s="1"/>
  <c r="D328" i="3"/>
  <c r="CG327" i="3"/>
  <c r="D329" i="3" l="1"/>
  <c r="CG328" i="3"/>
  <c r="BT328" i="3"/>
  <c r="BU327" i="3"/>
  <c r="C327" i="3" s="1"/>
  <c r="BT329" i="3" l="1"/>
  <c r="BU328" i="3"/>
  <c r="C328" i="3" s="1"/>
  <c r="D330" i="3"/>
  <c r="CG329" i="3"/>
  <c r="D331" i="3" l="1"/>
  <c r="CG330" i="3"/>
  <c r="BT330" i="3"/>
  <c r="BU329" i="3"/>
  <c r="C329" i="3" s="1"/>
  <c r="BT331" i="3" l="1"/>
  <c r="BU330" i="3"/>
  <c r="C330" i="3" s="1"/>
  <c r="D332" i="3"/>
  <c r="CG331" i="3"/>
  <c r="D333" i="3" l="1"/>
  <c r="CG332" i="3"/>
  <c r="BT332" i="3"/>
  <c r="BU331" i="3"/>
  <c r="C331" i="3" s="1"/>
  <c r="BT333" i="3" l="1"/>
  <c r="BU332" i="3"/>
  <c r="C332" i="3" s="1"/>
  <c r="D334" i="3"/>
  <c r="CG333" i="3"/>
  <c r="D335" i="3" l="1"/>
  <c r="CG334" i="3"/>
  <c r="BT334" i="3"/>
  <c r="BU333" i="3"/>
  <c r="C333" i="3" s="1"/>
  <c r="BT335" i="3" l="1"/>
  <c r="BU334" i="3"/>
  <c r="C334" i="3" s="1"/>
  <c r="D336" i="3"/>
  <c r="CG335" i="3"/>
  <c r="CG336" i="3" l="1"/>
  <c r="D337" i="3"/>
  <c r="BT336" i="3"/>
  <c r="BU335" i="3"/>
  <c r="C335" i="3" s="1"/>
  <c r="BT337" i="3" l="1"/>
  <c r="BU336" i="3"/>
  <c r="C336" i="3" s="1"/>
  <c r="CG337" i="3"/>
  <c r="D338" i="3"/>
  <c r="D339" i="3" l="1"/>
  <c r="CG338" i="3"/>
  <c r="BT338" i="3"/>
  <c r="BU337" i="3"/>
  <c r="C337" i="3" s="1"/>
  <c r="BT339" i="3" l="1"/>
  <c r="BU338" i="3"/>
  <c r="C338" i="3" s="1"/>
  <c r="D340" i="3"/>
  <c r="CG339" i="3"/>
  <c r="CG340" i="3" l="1"/>
  <c r="D341" i="3"/>
  <c r="BT340" i="3"/>
  <c r="BU339" i="3"/>
  <c r="C339" i="3" s="1"/>
  <c r="BT341" i="3" l="1"/>
  <c r="BU340" i="3"/>
  <c r="C340" i="3" s="1"/>
  <c r="CG341" i="3"/>
  <c r="D342" i="3"/>
  <c r="D343" i="3" l="1"/>
  <c r="CG342" i="3"/>
  <c r="BT342" i="3"/>
  <c r="BU341" i="3"/>
  <c r="C341" i="3" s="1"/>
  <c r="BT343" i="3" l="1"/>
  <c r="BU342" i="3"/>
  <c r="C342" i="3" s="1"/>
  <c r="D344" i="3"/>
  <c r="CG343" i="3"/>
  <c r="D345" i="3" l="1"/>
  <c r="CG344" i="3"/>
  <c r="BT344" i="3"/>
  <c r="BU343" i="3"/>
  <c r="C343" i="3" s="1"/>
  <c r="BT345" i="3" l="1"/>
  <c r="BU344" i="3"/>
  <c r="C344" i="3" s="1"/>
  <c r="D346" i="3"/>
  <c r="CG345" i="3"/>
  <c r="D347" i="3" l="1"/>
  <c r="CG346" i="3"/>
  <c r="BT346" i="3"/>
  <c r="BU345" i="3"/>
  <c r="C345" i="3" s="1"/>
  <c r="BT347" i="3" l="1"/>
  <c r="BU346" i="3"/>
  <c r="C346" i="3" s="1"/>
  <c r="D348" i="3"/>
  <c r="CG347" i="3"/>
  <c r="D349" i="3" l="1"/>
  <c r="CG348" i="3"/>
  <c r="BT348" i="3"/>
  <c r="BU347" i="3"/>
  <c r="C347" i="3" s="1"/>
  <c r="BT349" i="3" l="1"/>
  <c r="BU348" i="3"/>
  <c r="C348" i="3" s="1"/>
  <c r="D350" i="3"/>
  <c r="CG349" i="3"/>
  <c r="D351" i="3" l="1"/>
  <c r="CG350" i="3"/>
  <c r="BT350" i="3"/>
  <c r="BU349" i="3"/>
  <c r="C349" i="3" s="1"/>
  <c r="BT351" i="3" l="1"/>
  <c r="BU350" i="3"/>
  <c r="C350" i="3" s="1"/>
  <c r="D352" i="3"/>
  <c r="CG351" i="3"/>
  <c r="CG352" i="3" l="1"/>
  <c r="D353" i="3"/>
  <c r="BT352" i="3"/>
  <c r="BU351" i="3"/>
  <c r="C351" i="3" s="1"/>
  <c r="BU352" i="3" l="1"/>
  <c r="C352" i="3" s="1"/>
  <c r="BT353" i="3"/>
  <c r="D354" i="3"/>
  <c r="CG353" i="3"/>
  <c r="BT354" i="3" l="1"/>
  <c r="BU353" i="3"/>
  <c r="C353" i="3" s="1"/>
  <c r="D355" i="3"/>
  <c r="CG354" i="3"/>
  <c r="D356" i="3" l="1"/>
  <c r="CG355" i="3"/>
  <c r="BU354" i="3"/>
  <c r="C354" i="3" s="1"/>
  <c r="BT355" i="3"/>
  <c r="BT356" i="3" l="1"/>
  <c r="BU355" i="3"/>
  <c r="C355" i="3" s="1"/>
  <c r="D357" i="3"/>
  <c r="CG356" i="3"/>
  <c r="D358" i="3" l="1"/>
  <c r="CG357" i="3"/>
  <c r="BT357" i="3"/>
  <c r="BU356" i="3"/>
  <c r="C356" i="3" s="1"/>
  <c r="BT358" i="3" l="1"/>
  <c r="BU357" i="3"/>
  <c r="C357" i="3" s="1"/>
  <c r="D359" i="3"/>
  <c r="CG358" i="3"/>
  <c r="D360" i="3" l="1"/>
  <c r="CG359" i="3"/>
  <c r="BT359" i="3"/>
  <c r="BU358" i="3"/>
  <c r="C358" i="3" s="1"/>
  <c r="BT360" i="3" l="1"/>
  <c r="BU359" i="3"/>
  <c r="C359" i="3" s="1"/>
  <c r="D361" i="3"/>
  <c r="CG360" i="3"/>
  <c r="D362" i="3" l="1"/>
  <c r="CG361" i="3"/>
  <c r="BT361" i="3"/>
  <c r="BU360" i="3"/>
  <c r="C360" i="3" s="1"/>
  <c r="BT362" i="3" l="1"/>
  <c r="BU361" i="3"/>
  <c r="C361" i="3" s="1"/>
  <c r="D363" i="3"/>
  <c r="CG362" i="3"/>
  <c r="D364" i="3" l="1"/>
  <c r="CG363" i="3"/>
  <c r="BT363" i="3"/>
  <c r="BU362" i="3"/>
  <c r="C362" i="3" s="1"/>
  <c r="BT364" i="3" l="1"/>
  <c r="BU363" i="3"/>
  <c r="C363" i="3" s="1"/>
  <c r="D365" i="3"/>
  <c r="CG364" i="3"/>
  <c r="D366" i="3" l="1"/>
  <c r="CG365" i="3"/>
  <c r="BT365" i="3"/>
  <c r="BU364" i="3"/>
  <c r="C364" i="3" s="1"/>
  <c r="BT366" i="3" l="1"/>
  <c r="BU365" i="3"/>
  <c r="C365" i="3" s="1"/>
  <c r="D367" i="3"/>
  <c r="CG366" i="3"/>
  <c r="D368" i="3" l="1"/>
  <c r="CG367" i="3"/>
  <c r="BT367" i="3"/>
  <c r="BU366" i="3"/>
  <c r="C366" i="3" s="1"/>
  <c r="BT368" i="3" l="1"/>
  <c r="BU367" i="3"/>
  <c r="C367" i="3" s="1"/>
  <c r="CG368" i="3"/>
  <c r="D369" i="3"/>
  <c r="D370" i="3" l="1"/>
  <c r="CG369" i="3"/>
  <c r="BU368" i="3"/>
  <c r="C368" i="3" s="1"/>
  <c r="BT369" i="3"/>
  <c r="BT370" i="3" l="1"/>
  <c r="BU369" i="3"/>
  <c r="C369" i="3" s="1"/>
  <c r="D371" i="3"/>
  <c r="CG370" i="3"/>
  <c r="CG371" i="3" l="1"/>
  <c r="D372" i="3"/>
  <c r="BT371" i="3"/>
  <c r="BU370" i="3"/>
  <c r="C370" i="3" s="1"/>
  <c r="BT372" i="3" l="1"/>
  <c r="BU371" i="3"/>
  <c r="C371" i="3" s="1"/>
  <c r="D373" i="3"/>
  <c r="CG372" i="3"/>
  <c r="D374" i="3" l="1"/>
  <c r="CG373" i="3"/>
  <c r="BT373" i="3"/>
  <c r="BU372" i="3"/>
  <c r="C372" i="3" s="1"/>
  <c r="BT374" i="3" l="1"/>
  <c r="BU373" i="3"/>
  <c r="C373" i="3" s="1"/>
  <c r="D375" i="3"/>
  <c r="CG374" i="3"/>
  <c r="D376" i="3" l="1"/>
  <c r="CG375" i="3"/>
  <c r="BT375" i="3"/>
  <c r="BU374" i="3"/>
  <c r="C374" i="3" s="1"/>
  <c r="BT376" i="3" l="1"/>
  <c r="BU375" i="3"/>
  <c r="C375" i="3" s="1"/>
  <c r="D377" i="3"/>
  <c r="CG376" i="3"/>
  <c r="D378" i="3" l="1"/>
  <c r="CG377" i="3"/>
  <c r="BT377" i="3"/>
  <c r="BU376" i="3"/>
  <c r="C376" i="3" s="1"/>
  <c r="BT378" i="3" l="1"/>
  <c r="BU377" i="3"/>
  <c r="C377" i="3" s="1"/>
  <c r="D379" i="3"/>
  <c r="CG378" i="3"/>
  <c r="D380" i="3" l="1"/>
  <c r="CG379" i="3"/>
  <c r="BT379" i="3"/>
  <c r="BU378" i="3"/>
  <c r="C378" i="3" s="1"/>
  <c r="BT380" i="3" l="1"/>
  <c r="BU379" i="3"/>
  <c r="C379" i="3" s="1"/>
  <c r="D381" i="3"/>
  <c r="CG380" i="3"/>
  <c r="D382" i="3" l="1"/>
  <c r="CG381" i="3"/>
  <c r="BT381" i="3"/>
  <c r="BU380" i="3"/>
  <c r="C380" i="3" s="1"/>
  <c r="BT382" i="3" l="1"/>
  <c r="BU381" i="3"/>
  <c r="C381" i="3" s="1"/>
  <c r="D383" i="3"/>
  <c r="CG382" i="3"/>
  <c r="D384" i="3" l="1"/>
  <c r="CG383" i="3"/>
  <c r="BT383" i="3"/>
  <c r="BU382" i="3"/>
  <c r="C382" i="3" s="1"/>
  <c r="BT384" i="3" l="1"/>
  <c r="BU383" i="3"/>
  <c r="C383" i="3" s="1"/>
  <c r="CG384" i="3"/>
  <c r="D385" i="3"/>
  <c r="D386" i="3" l="1"/>
  <c r="CG385" i="3"/>
  <c r="BT385" i="3"/>
  <c r="BU384" i="3"/>
  <c r="C384" i="3" s="1"/>
  <c r="BT386" i="3" l="1"/>
  <c r="BU385" i="3"/>
  <c r="C385" i="3" s="1"/>
  <c r="D387" i="3"/>
  <c r="CG386" i="3"/>
  <c r="D388" i="3" l="1"/>
  <c r="CG387" i="3"/>
  <c r="BT387" i="3"/>
  <c r="BU386" i="3"/>
  <c r="C386" i="3" s="1"/>
  <c r="BT388" i="3" l="1"/>
  <c r="BU387" i="3"/>
  <c r="C387" i="3" s="1"/>
  <c r="D389" i="3"/>
  <c r="CG388" i="3"/>
  <c r="D390" i="3" l="1"/>
  <c r="CG389" i="3"/>
  <c r="BT389" i="3"/>
  <c r="BU388" i="3"/>
  <c r="C388" i="3" s="1"/>
  <c r="BT390" i="3" l="1"/>
  <c r="BU389" i="3"/>
  <c r="C389" i="3" s="1"/>
  <c r="D391" i="3"/>
  <c r="CG390" i="3"/>
  <c r="D392" i="3" l="1"/>
  <c r="CG391" i="3"/>
  <c r="BT391" i="3"/>
  <c r="BU390" i="3"/>
  <c r="C390" i="3" s="1"/>
  <c r="BT392" i="3" l="1"/>
  <c r="BU391" i="3"/>
  <c r="C391" i="3" s="1"/>
  <c r="D393" i="3"/>
  <c r="CG392" i="3"/>
  <c r="BT393" i="3" l="1"/>
  <c r="BU392" i="3"/>
  <c r="C392" i="3" s="1"/>
  <c r="D394" i="3"/>
  <c r="CG393" i="3"/>
  <c r="CG394" i="3" l="1"/>
  <c r="D395" i="3"/>
  <c r="BT394" i="3"/>
  <c r="BU393" i="3"/>
  <c r="C393" i="3" s="1"/>
  <c r="BT395" i="3" l="1"/>
  <c r="BU394" i="3"/>
  <c r="C394" i="3" s="1"/>
  <c r="D396" i="3"/>
  <c r="CG395" i="3"/>
  <c r="D397" i="3" l="1"/>
  <c r="CG396" i="3"/>
  <c r="BT396" i="3"/>
  <c r="BU395" i="3"/>
  <c r="C395" i="3" s="1"/>
  <c r="BT397" i="3" l="1"/>
  <c r="BU396" i="3"/>
  <c r="C396" i="3" s="1"/>
  <c r="D398" i="3"/>
  <c r="CG397" i="3"/>
  <c r="D399" i="3" l="1"/>
  <c r="CG398" i="3"/>
  <c r="BT398" i="3"/>
  <c r="BU397" i="3"/>
  <c r="C397" i="3" s="1"/>
  <c r="BT399" i="3" l="1"/>
  <c r="BU398" i="3"/>
  <c r="C398" i="3" s="1"/>
  <c r="D400" i="3"/>
  <c r="CG399" i="3"/>
  <c r="D401" i="3" l="1"/>
  <c r="CG400" i="3"/>
  <c r="BT400" i="3"/>
  <c r="BU399" i="3"/>
  <c r="C399" i="3" s="1"/>
  <c r="BT401" i="3" l="1"/>
  <c r="BU400" i="3"/>
  <c r="C400" i="3" s="1"/>
  <c r="D402" i="3"/>
  <c r="CG401" i="3"/>
  <c r="D403" i="3" l="1"/>
  <c r="CG402" i="3"/>
  <c r="BT402" i="3"/>
  <c r="BU401" i="3"/>
  <c r="C401" i="3" s="1"/>
  <c r="BT403" i="3" l="1"/>
  <c r="BU402" i="3"/>
  <c r="C402" i="3" s="1"/>
  <c r="D404" i="3"/>
  <c r="CG403" i="3"/>
  <c r="CG404" i="3" l="1"/>
  <c r="D405" i="3"/>
  <c r="BT404" i="3"/>
  <c r="BU403" i="3"/>
  <c r="C403" i="3" s="1"/>
  <c r="BT405" i="3" l="1"/>
  <c r="BU404" i="3"/>
  <c r="C404" i="3" s="1"/>
  <c r="CG405" i="3"/>
  <c r="D406" i="3"/>
  <c r="D407" i="3" l="1"/>
  <c r="CG406" i="3"/>
  <c r="BT406" i="3"/>
  <c r="BU405" i="3"/>
  <c r="C405" i="3" s="1"/>
  <c r="BT407" i="3" l="1"/>
  <c r="BU406" i="3"/>
  <c r="C406" i="3" s="1"/>
  <c r="CG407" i="3"/>
  <c r="D408" i="3"/>
  <c r="CG408" i="3" l="1"/>
  <c r="D409" i="3"/>
  <c r="BT408" i="3"/>
  <c r="BU407" i="3"/>
  <c r="C407" i="3" s="1"/>
  <c r="BT409" i="3" l="1"/>
  <c r="BU408" i="3"/>
  <c r="C408" i="3" s="1"/>
  <c r="D410" i="3"/>
  <c r="CG409" i="3"/>
  <c r="D411" i="3" l="1"/>
  <c r="CG410" i="3"/>
  <c r="BT410" i="3"/>
  <c r="BU409" i="3"/>
  <c r="C409" i="3" s="1"/>
  <c r="BT411" i="3" l="1"/>
  <c r="BU410" i="3"/>
  <c r="C410" i="3" s="1"/>
  <c r="D412" i="3"/>
  <c r="CG411" i="3"/>
  <c r="D413" i="3" l="1"/>
  <c r="CG412" i="3"/>
  <c r="BT412" i="3"/>
  <c r="BU411" i="3"/>
  <c r="C411" i="3" s="1"/>
  <c r="BT413" i="3" l="1"/>
  <c r="BU412" i="3"/>
  <c r="C412" i="3" s="1"/>
  <c r="CG413" i="3"/>
  <c r="D414" i="3"/>
  <c r="CG414" i="3" l="1"/>
  <c r="D415" i="3"/>
  <c r="BT414" i="3"/>
  <c r="BU413" i="3"/>
  <c r="C413" i="3" s="1"/>
  <c r="BT415" i="3" l="1"/>
  <c r="BU414" i="3"/>
  <c r="C414" i="3" s="1"/>
  <c r="D416" i="3"/>
  <c r="CG415" i="3"/>
  <c r="CG416" i="3" l="1"/>
  <c r="D417" i="3"/>
  <c r="BT416" i="3"/>
  <c r="BU415" i="3"/>
  <c r="C415" i="3" s="1"/>
  <c r="BT417" i="3" l="1"/>
  <c r="BU416" i="3"/>
  <c r="C416" i="3" s="1"/>
  <c r="D418" i="3"/>
  <c r="CG417" i="3"/>
  <c r="CG418" i="3" l="1"/>
  <c r="D419" i="3"/>
  <c r="BT418" i="3"/>
  <c r="BU417" i="3"/>
  <c r="C417" i="3" s="1"/>
  <c r="BT419" i="3" l="1"/>
  <c r="BU418" i="3"/>
  <c r="C418" i="3" s="1"/>
  <c r="D420" i="3"/>
  <c r="CG419" i="3"/>
  <c r="D421" i="3" l="1"/>
  <c r="CG420" i="3"/>
  <c r="BT420" i="3"/>
  <c r="BU419" i="3"/>
  <c r="C419" i="3" s="1"/>
  <c r="BT421" i="3" l="1"/>
  <c r="BU420" i="3"/>
  <c r="C420" i="3" s="1"/>
  <c r="CG421" i="3"/>
  <c r="D422" i="3"/>
  <c r="D423" i="3" l="1"/>
  <c r="CG422" i="3"/>
  <c r="BT422" i="3"/>
  <c r="BU421" i="3"/>
  <c r="C421" i="3" s="1"/>
  <c r="BT423" i="3" l="1"/>
  <c r="BU422" i="3"/>
  <c r="C422" i="3" s="1"/>
  <c r="D424" i="3"/>
  <c r="CG423" i="3"/>
  <c r="D425" i="3" l="1"/>
  <c r="CG424" i="3"/>
  <c r="BT424" i="3"/>
  <c r="BU423" i="3"/>
  <c r="C423" i="3" s="1"/>
  <c r="BT425" i="3" l="1"/>
  <c r="BU424" i="3"/>
  <c r="C424" i="3" s="1"/>
  <c r="D426" i="3"/>
  <c r="CG425" i="3"/>
  <c r="D427" i="3" l="1"/>
  <c r="CG426" i="3"/>
  <c r="BT426" i="3"/>
  <c r="BU425" i="3"/>
  <c r="C425" i="3" s="1"/>
  <c r="BT427" i="3" l="1"/>
  <c r="BU426" i="3"/>
  <c r="C426" i="3" s="1"/>
  <c r="CG427" i="3"/>
  <c r="D428" i="3"/>
  <c r="CG428" i="3" l="1"/>
  <c r="D429" i="3"/>
  <c r="BT428" i="3"/>
  <c r="BU427" i="3"/>
  <c r="C427" i="3" s="1"/>
  <c r="BT429" i="3" l="1"/>
  <c r="BU428" i="3"/>
  <c r="C428" i="3" s="1"/>
  <c r="D430" i="3"/>
  <c r="CG429" i="3"/>
  <c r="D431" i="3" l="1"/>
  <c r="CG430" i="3"/>
  <c r="BT430" i="3"/>
  <c r="BU429" i="3"/>
  <c r="C429" i="3" s="1"/>
  <c r="BT431" i="3" l="1"/>
  <c r="BU430" i="3"/>
  <c r="C430" i="3" s="1"/>
  <c r="D432" i="3"/>
  <c r="CG431" i="3"/>
  <c r="CG432" i="3" l="1"/>
  <c r="D433" i="3"/>
  <c r="BT432" i="3"/>
  <c r="BU431" i="3"/>
  <c r="C431" i="3" s="1"/>
  <c r="BT433" i="3" l="1"/>
  <c r="BU432" i="3"/>
  <c r="C432" i="3" s="1"/>
  <c r="D434" i="3"/>
  <c r="CG433" i="3"/>
  <c r="D435" i="3" l="1"/>
  <c r="CG434" i="3"/>
  <c r="BT434" i="3"/>
  <c r="BU433" i="3"/>
  <c r="C433" i="3" s="1"/>
  <c r="BT435" i="3" l="1"/>
  <c r="BU434" i="3"/>
  <c r="C434" i="3" s="1"/>
  <c r="CG435" i="3"/>
  <c r="D436" i="3"/>
  <c r="CG436" i="3" l="1"/>
  <c r="D437" i="3"/>
  <c r="BT436" i="3"/>
  <c r="BU435" i="3"/>
  <c r="C435" i="3" s="1"/>
  <c r="BT437" i="3" l="1"/>
  <c r="BU436" i="3"/>
  <c r="C436" i="3" s="1"/>
  <c r="D438" i="3"/>
  <c r="CG437" i="3"/>
  <c r="D439" i="3" l="1"/>
  <c r="CG438" i="3"/>
  <c r="BT438" i="3"/>
  <c r="BU437" i="3"/>
  <c r="C437" i="3" s="1"/>
  <c r="BT439" i="3" l="1"/>
  <c r="BU438" i="3"/>
  <c r="C438" i="3" s="1"/>
  <c r="CG439" i="3"/>
  <c r="D440" i="3"/>
  <c r="D441" i="3" l="1"/>
  <c r="CG440" i="3"/>
  <c r="BT440" i="3"/>
  <c r="BU439" i="3"/>
  <c r="C439" i="3" s="1"/>
  <c r="BT441" i="3" l="1"/>
  <c r="BU440" i="3"/>
  <c r="C440" i="3" s="1"/>
  <c r="D442" i="3"/>
  <c r="CG441" i="3"/>
  <c r="CG442" i="3" l="1"/>
  <c r="D443" i="3"/>
  <c r="BT442" i="3"/>
  <c r="BU441" i="3"/>
  <c r="C441" i="3" s="1"/>
  <c r="BT443" i="3" l="1"/>
  <c r="BU442" i="3"/>
  <c r="C442" i="3" s="1"/>
  <c r="CG443" i="3"/>
  <c r="D444" i="3"/>
  <c r="D445" i="3" l="1"/>
  <c r="CG444" i="3"/>
  <c r="BT444" i="3"/>
  <c r="BU443" i="3"/>
  <c r="C443" i="3" s="1"/>
  <c r="BT445" i="3" l="1"/>
  <c r="BU444" i="3"/>
  <c r="C444" i="3" s="1"/>
  <c r="D446" i="3"/>
  <c r="CG445" i="3"/>
  <c r="CG446" i="3" l="1"/>
  <c r="D447" i="3"/>
  <c r="BT446" i="3"/>
  <c r="BU445" i="3"/>
  <c r="C445" i="3" s="1"/>
  <c r="BT447" i="3" l="1"/>
  <c r="BU446" i="3"/>
  <c r="C446" i="3" s="1"/>
  <c r="CG447" i="3"/>
  <c r="D448" i="3"/>
  <c r="D449" i="3" l="1"/>
  <c r="CG448" i="3"/>
  <c r="BT448" i="3"/>
  <c r="BU447" i="3"/>
  <c r="C447" i="3" s="1"/>
  <c r="BT449" i="3" l="1"/>
  <c r="BU448" i="3"/>
  <c r="C448" i="3" s="1"/>
  <c r="CG449" i="3"/>
  <c r="D450" i="3"/>
  <c r="D451" i="3" l="1"/>
  <c r="CG450" i="3"/>
  <c r="BT450" i="3"/>
  <c r="BU449" i="3"/>
  <c r="C449" i="3" s="1"/>
  <c r="BT451" i="3" l="1"/>
  <c r="BU450" i="3"/>
  <c r="C450" i="3" s="1"/>
  <c r="CG451" i="3"/>
  <c r="D452" i="3"/>
  <c r="D453" i="3" l="1"/>
  <c r="CG452" i="3"/>
  <c r="BT452" i="3"/>
  <c r="BU451" i="3"/>
  <c r="C451" i="3" s="1"/>
  <c r="BT453" i="3" l="1"/>
  <c r="BU452" i="3"/>
  <c r="C452" i="3" s="1"/>
  <c r="D454" i="3"/>
  <c r="CG453" i="3"/>
  <c r="D455" i="3" l="1"/>
  <c r="CG454" i="3"/>
  <c r="BT454" i="3"/>
  <c r="BU453" i="3"/>
  <c r="C453" i="3" s="1"/>
  <c r="BT455" i="3" l="1"/>
  <c r="BU454" i="3"/>
  <c r="C454" i="3" s="1"/>
  <c r="D456" i="3"/>
  <c r="CG455" i="3"/>
  <c r="D457" i="3" l="1"/>
  <c r="CG456" i="3"/>
  <c r="BT456" i="3"/>
  <c r="BU455" i="3"/>
  <c r="C455" i="3" s="1"/>
  <c r="BT457" i="3" l="1"/>
  <c r="BU456" i="3"/>
  <c r="C456" i="3" s="1"/>
  <c r="CG457" i="3"/>
  <c r="D458" i="3"/>
  <c r="CG458" i="3" l="1"/>
  <c r="D459" i="3"/>
  <c r="BT458" i="3"/>
  <c r="BU457" i="3"/>
  <c r="C457" i="3" s="1"/>
  <c r="BT459" i="3" l="1"/>
  <c r="BU458" i="3"/>
  <c r="C458" i="3" s="1"/>
  <c r="D460" i="3"/>
  <c r="CG459" i="3"/>
  <c r="CG460" i="3" l="1"/>
  <c r="D461" i="3"/>
  <c r="BT460" i="3"/>
  <c r="BU459" i="3"/>
  <c r="C459" i="3" s="1"/>
  <c r="BT461" i="3" l="1"/>
  <c r="BU460" i="3"/>
  <c r="C460" i="3" s="1"/>
  <c r="D462" i="3"/>
  <c r="CG461" i="3"/>
  <c r="D463" i="3" l="1"/>
  <c r="CG462" i="3"/>
  <c r="BT462" i="3"/>
  <c r="BU461" i="3"/>
  <c r="C461" i="3" s="1"/>
  <c r="BT463" i="3" l="1"/>
  <c r="BU462" i="3"/>
  <c r="C462" i="3" s="1"/>
  <c r="CG463" i="3"/>
  <c r="D464" i="3"/>
  <c r="D465" i="3" l="1"/>
  <c r="CG464" i="3"/>
  <c r="BT464" i="3"/>
  <c r="BU463" i="3"/>
  <c r="C463" i="3" s="1"/>
  <c r="BT465" i="3" l="1"/>
  <c r="BU464" i="3"/>
  <c r="C464" i="3" s="1"/>
  <c r="D466" i="3"/>
  <c r="CG465" i="3"/>
  <c r="CG466" i="3" l="1"/>
  <c r="D467" i="3"/>
  <c r="BT466" i="3"/>
  <c r="BU465" i="3"/>
  <c r="C465" i="3" s="1"/>
  <c r="BT467" i="3" l="1"/>
  <c r="BU466" i="3"/>
  <c r="C466" i="3" s="1"/>
  <c r="D468" i="3"/>
  <c r="CG467" i="3"/>
  <c r="CG468" i="3" l="1"/>
  <c r="D469" i="3"/>
  <c r="BT468" i="3"/>
  <c r="BU467" i="3"/>
  <c r="C467" i="3" s="1"/>
  <c r="BT469" i="3" l="1"/>
  <c r="BU468" i="3"/>
  <c r="C468" i="3" s="1"/>
  <c r="D470" i="3"/>
  <c r="CG469" i="3"/>
  <c r="CG470" i="3" l="1"/>
  <c r="D471" i="3"/>
  <c r="BT470" i="3"/>
  <c r="BU469" i="3"/>
  <c r="C469" i="3" s="1"/>
  <c r="BT471" i="3" l="1"/>
  <c r="BU470" i="3"/>
  <c r="C470" i="3" s="1"/>
  <c r="CG471" i="3"/>
  <c r="D472" i="3"/>
  <c r="CG472" i="3" l="1"/>
  <c r="D473" i="3"/>
  <c r="BT472" i="3"/>
  <c r="BU471" i="3"/>
  <c r="C471" i="3" s="1"/>
  <c r="BT473" i="3" l="1"/>
  <c r="BU472" i="3"/>
  <c r="C472" i="3" s="1"/>
  <c r="D474" i="3"/>
  <c r="CG473" i="3"/>
  <c r="CG474" i="3" l="1"/>
  <c r="D475" i="3"/>
  <c r="BT474" i="3"/>
  <c r="BU473" i="3"/>
  <c r="C473" i="3" s="1"/>
  <c r="BT475" i="3" l="1"/>
  <c r="BU474" i="3"/>
  <c r="C474" i="3" s="1"/>
  <c r="D476" i="3"/>
  <c r="CG475" i="3"/>
  <c r="D477" i="3" l="1"/>
  <c r="CG476" i="3"/>
  <c r="BT476" i="3"/>
  <c r="BU475" i="3"/>
  <c r="C475" i="3" s="1"/>
  <c r="BT477" i="3" l="1"/>
  <c r="BU476" i="3"/>
  <c r="C476" i="3" s="1"/>
  <c r="CG477" i="3"/>
  <c r="D478" i="3"/>
  <c r="D479" i="3" l="1"/>
  <c r="CG478" i="3"/>
  <c r="BT478" i="3"/>
  <c r="BU477" i="3"/>
  <c r="C477" i="3" s="1"/>
  <c r="BT479" i="3" l="1"/>
  <c r="BU478" i="3"/>
  <c r="C478" i="3" s="1"/>
  <c r="D480" i="3"/>
  <c r="CG479" i="3"/>
  <c r="D481" i="3" l="1"/>
  <c r="CG480" i="3"/>
  <c r="BT480" i="3"/>
  <c r="BU479" i="3"/>
  <c r="C479" i="3" s="1"/>
  <c r="BT481" i="3" l="1"/>
  <c r="BU480" i="3"/>
  <c r="C480" i="3" s="1"/>
  <c r="CG481" i="3"/>
  <c r="D482" i="3"/>
  <c r="CG482" i="3" l="1"/>
  <c r="D483" i="3"/>
  <c r="BT482" i="3"/>
  <c r="BU481" i="3"/>
  <c r="C481" i="3" s="1"/>
  <c r="BT483" i="3" l="1"/>
  <c r="BU482" i="3"/>
  <c r="C482" i="3" s="1"/>
  <c r="D484" i="3"/>
  <c r="CG483" i="3"/>
  <c r="CG484" i="3" l="1"/>
  <c r="D485" i="3"/>
  <c r="BT484" i="3"/>
  <c r="BU483" i="3"/>
  <c r="C483" i="3" s="1"/>
  <c r="BT485" i="3" l="1"/>
  <c r="BU484" i="3"/>
  <c r="C484" i="3" s="1"/>
  <c r="CG485" i="3"/>
  <c r="D486" i="3"/>
  <c r="CG486" i="3" l="1"/>
  <c r="D487" i="3"/>
  <c r="BT486" i="3"/>
  <c r="BU485" i="3"/>
  <c r="C485" i="3" s="1"/>
  <c r="BT487" i="3" l="1"/>
  <c r="BU486" i="3"/>
  <c r="C486" i="3" s="1"/>
  <c r="CG487" i="3"/>
  <c r="D488" i="3"/>
  <c r="CG488" i="3" l="1"/>
  <c r="D489" i="3"/>
  <c r="BT488" i="3"/>
  <c r="BU487" i="3"/>
  <c r="C487" i="3" s="1"/>
  <c r="BT489" i="3" l="1"/>
  <c r="BU488" i="3"/>
  <c r="C488" i="3" s="1"/>
  <c r="CG489" i="3"/>
  <c r="D490" i="3"/>
  <c r="D491" i="3" l="1"/>
  <c r="CG490" i="3"/>
  <c r="BT490" i="3"/>
  <c r="BU489" i="3"/>
  <c r="C489" i="3" s="1"/>
  <c r="D492" i="3" l="1"/>
  <c r="CG491" i="3"/>
  <c r="BT491" i="3"/>
  <c r="BU490" i="3"/>
  <c r="C490" i="3" s="1"/>
  <c r="D493" i="3" l="1"/>
  <c r="CG492" i="3"/>
  <c r="BT492" i="3"/>
  <c r="BU491" i="3"/>
  <c r="C491" i="3" s="1"/>
  <c r="BT493" i="3" l="1"/>
  <c r="BU492" i="3"/>
  <c r="C492" i="3" s="1"/>
  <c r="D494" i="3"/>
  <c r="CG493" i="3"/>
  <c r="CG494" i="3" l="1"/>
  <c r="D495" i="3"/>
  <c r="BT494" i="3"/>
  <c r="BU493" i="3"/>
  <c r="C493" i="3" s="1"/>
  <c r="BT495" i="3" l="1"/>
  <c r="BU494" i="3"/>
  <c r="C494" i="3" s="1"/>
  <c r="D496" i="3"/>
  <c r="CG495" i="3"/>
  <c r="CG496" i="3" l="1"/>
  <c r="D497" i="3"/>
  <c r="BT496" i="3"/>
  <c r="BU495" i="3"/>
  <c r="C495" i="3" s="1"/>
  <c r="BT497" i="3" l="1"/>
  <c r="BU496" i="3"/>
  <c r="C496" i="3" s="1"/>
  <c r="D498" i="3"/>
  <c r="CG497" i="3"/>
  <c r="D499" i="3" l="1"/>
  <c r="CG498" i="3"/>
  <c r="BT498" i="3"/>
  <c r="BU497" i="3"/>
  <c r="C497" i="3" s="1"/>
  <c r="BT499" i="3" l="1"/>
  <c r="BU498" i="3"/>
  <c r="C498" i="3" s="1"/>
  <c r="D500" i="3"/>
  <c r="CG499" i="3"/>
  <c r="D501" i="3" l="1"/>
  <c r="CG500" i="3"/>
  <c r="BT500" i="3"/>
  <c r="BU499" i="3"/>
  <c r="C499" i="3" s="1"/>
  <c r="BT501" i="3" l="1"/>
  <c r="BU500" i="3"/>
  <c r="C500" i="3" s="1"/>
  <c r="D502" i="3"/>
  <c r="CG501" i="3"/>
  <c r="D503" i="3" l="1"/>
  <c r="CG502" i="3"/>
  <c r="BT502" i="3"/>
  <c r="BU501" i="3"/>
  <c r="C501" i="3" s="1"/>
  <c r="BT503" i="3" l="1"/>
  <c r="BU502" i="3"/>
  <c r="C502" i="3" s="1"/>
  <c r="D504" i="3"/>
  <c r="CG503" i="3"/>
  <c r="CG504" i="3" l="1"/>
  <c r="D505" i="3"/>
  <c r="BT504" i="3"/>
  <c r="BU503" i="3"/>
  <c r="C503" i="3" s="1"/>
  <c r="BT505" i="3" l="1"/>
  <c r="BU504" i="3"/>
  <c r="C504" i="3" s="1"/>
  <c r="CG505" i="3"/>
  <c r="D506" i="3"/>
  <c r="D507" i="3" l="1"/>
  <c r="CG506" i="3"/>
  <c r="BT506" i="3"/>
  <c r="BU505" i="3"/>
  <c r="C505" i="3" s="1"/>
  <c r="BT507" i="3" l="1"/>
  <c r="BU506" i="3"/>
  <c r="C506" i="3" s="1"/>
  <c r="CG507" i="3"/>
  <c r="D508" i="3"/>
  <c r="CG508" i="3" l="1"/>
  <c r="D509" i="3"/>
  <c r="BT508" i="3"/>
  <c r="BU507" i="3"/>
  <c r="C507" i="3" s="1"/>
  <c r="BT509" i="3" l="1"/>
  <c r="BU508" i="3"/>
  <c r="C508" i="3" s="1"/>
  <c r="D510" i="3"/>
  <c r="CG509" i="3"/>
  <c r="D511" i="3" l="1"/>
  <c r="CG510" i="3"/>
  <c r="BT510" i="3"/>
  <c r="BU509" i="3"/>
  <c r="C509" i="3" s="1"/>
  <c r="BT511" i="3" l="1"/>
  <c r="BU510" i="3"/>
  <c r="C510" i="3" s="1"/>
  <c r="CG511" i="3"/>
  <c r="D512" i="3"/>
  <c r="D513" i="3" l="1"/>
  <c r="CG512" i="3"/>
  <c r="BT512" i="3"/>
  <c r="BU511" i="3"/>
  <c r="C511" i="3" s="1"/>
  <c r="BT513" i="3" l="1"/>
  <c r="BU512" i="3"/>
  <c r="C512" i="3" s="1"/>
  <c r="CG513" i="3"/>
  <c r="D514" i="3"/>
  <c r="D515" i="3" l="1"/>
  <c r="CG514" i="3"/>
  <c r="BT514" i="3"/>
  <c r="BU513" i="3"/>
  <c r="C513" i="3" s="1"/>
  <c r="BT515" i="3" l="1"/>
  <c r="BU514" i="3"/>
  <c r="C514" i="3" s="1"/>
  <c r="CG515" i="3"/>
  <c r="D516" i="3"/>
  <c r="D517" i="3" l="1"/>
  <c r="CG516" i="3"/>
  <c r="BT516" i="3"/>
  <c r="BU515" i="3"/>
  <c r="C515" i="3" s="1"/>
  <c r="BT517" i="3" l="1"/>
  <c r="BU516" i="3"/>
  <c r="C516" i="3" s="1"/>
  <c r="D518" i="3"/>
  <c r="CG517" i="3"/>
  <c r="D519" i="3" l="1"/>
  <c r="CG518" i="3"/>
  <c r="BT518" i="3"/>
  <c r="BU517" i="3"/>
  <c r="C517" i="3" s="1"/>
  <c r="BT519" i="3" l="1"/>
  <c r="BU518" i="3"/>
  <c r="C518" i="3" s="1"/>
  <c r="CG519" i="3"/>
  <c r="D520" i="3"/>
  <c r="CG520" i="3" l="1"/>
  <c r="D521" i="3"/>
  <c r="BT520" i="3"/>
  <c r="BU519" i="3"/>
  <c r="C519" i="3" s="1"/>
  <c r="BT521" i="3" l="1"/>
  <c r="BU520" i="3"/>
  <c r="C520" i="3" s="1"/>
  <c r="D522" i="3"/>
  <c r="CG521" i="3"/>
  <c r="CG522" i="3" l="1"/>
  <c r="D523" i="3"/>
  <c r="CG523" i="3" s="1"/>
  <c r="BT522" i="3"/>
  <c r="BU521" i="3"/>
  <c r="C521" i="3" s="1"/>
  <c r="BT523" i="3" l="1"/>
  <c r="BU522" i="3"/>
  <c r="C522" i="3" s="1"/>
  <c r="BU523" i="3" l="1"/>
  <c r="C523" i="3" s="1"/>
  <c r="BT21" i="3"/>
  <c r="C539" i="3" l="1"/>
  <c r="BB530" i="3"/>
  <c r="J18" i="3"/>
</calcChain>
</file>

<file path=xl/comments1.xml><?xml version="1.0" encoding="utf-8"?>
<comments xmlns="http://schemas.openxmlformats.org/spreadsheetml/2006/main">
  <authors>
    <author>Bruce Lightfoot</author>
    <author>ndtarczynski</author>
    <author>Sipols, Michael</author>
    <author>Nick</author>
  </authors>
  <commentList>
    <comment ref="BX20" authorId="0" shapeId="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U22" authorId="0" shapeId="0">
      <text>
        <r>
          <rPr>
            <b/>
            <sz val="8"/>
            <color indexed="81"/>
            <rFont val="Tahoma"/>
            <family val="2"/>
          </rPr>
          <t>Bruce Lightfoot:</t>
        </r>
        <r>
          <rPr>
            <sz val="8"/>
            <color indexed="81"/>
            <rFont val="Tahoma"/>
            <family val="2"/>
          </rPr>
          <t xml:space="preserve">
Origiinal formulae in this column multiplied Fixed Dimming % by 0.95 instead of dividing Corrected as part of changes to lock ouit Factor 2 for Class 1 and Class 10 buildings.</t>
        </r>
      </text>
    </comment>
    <comment ref="AX22" authorId="1" shapeId="0">
      <text>
        <r>
          <rPr>
            <b/>
            <sz val="8"/>
            <color indexed="81"/>
            <rFont val="Tahoma"/>
            <family val="2"/>
          </rPr>
          <t>ndtarczynski:</t>
        </r>
        <r>
          <rPr>
            <sz val="8"/>
            <color indexed="81"/>
            <rFont val="Tahoma"/>
            <family val="2"/>
          </rPr>
          <t xml:space="preserve">
The Cell Left Blank For Function is for the purpose of showing the prompt 'Row Skipped (Ok if intentional)' The output will only show True if there is True output highlighted in the rows below for Data entered in Row </t>
        </r>
      </text>
    </comment>
    <comment ref="AY22" authorId="1" shapeId="0">
      <text>
        <r>
          <rPr>
            <b/>
            <sz val="8"/>
            <color indexed="81"/>
            <rFont val="Tahoma"/>
            <family val="2"/>
          </rPr>
          <t>ndtarczynski:</t>
        </r>
        <r>
          <rPr>
            <sz val="8"/>
            <color indexed="81"/>
            <rFont val="Tahoma"/>
            <family val="2"/>
          </rPr>
          <t xml:space="preserve">
This column indicates if the entire row is left blank.
</t>
        </r>
      </text>
    </comment>
    <comment ref="AZ22" authorId="1" shapeId="0">
      <text>
        <r>
          <rPr>
            <b/>
            <sz val="8"/>
            <color indexed="81"/>
            <rFont val="Tahoma"/>
            <family val="2"/>
          </rPr>
          <t>ndtarczynski:</t>
        </r>
        <r>
          <rPr>
            <sz val="8"/>
            <color indexed="81"/>
            <rFont val="Tahoma"/>
            <family val="2"/>
          </rPr>
          <t xml:space="preserve">
-Entry inputs OK
-Adjustment factor 2 not used for a Class 1
-Adjustment Factor 1 (Fixed dimming, Lumen depreciation) OK
-Adjustment Factor 2 (Fixed dimming, Lumen depreciation) OK</t>
        </r>
      </text>
    </comment>
    <comment ref="BX22" authorId="0" shapeId="0">
      <text>
        <r>
          <rPr>
            <b/>
            <sz val="8"/>
            <color indexed="81"/>
            <rFont val="Tahoma"/>
            <family val="2"/>
          </rPr>
          <t>Bruce Lightfoot:</t>
        </r>
        <r>
          <rPr>
            <sz val="8"/>
            <color indexed="81"/>
            <rFont val="Tahoma"/>
            <family val="2"/>
          </rPr>
          <t xml:space="preserve">
Checks whether Location shown is valid for the nominated Classification. #N/A indicates that it is not and will trigger conditional formatting in the Location cell.</t>
        </r>
      </text>
    </comment>
    <comment ref="DM24"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N24"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P24" authorId="0" shape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Q24" authorId="0" shape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X24"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Y24"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EA24" authorId="0" shape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EB24" authorId="0" shape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N25" authorId="2" shapeId="0">
      <text>
        <r>
          <rPr>
            <b/>
            <sz val="9"/>
            <color indexed="81"/>
            <rFont val="Tahoma"/>
            <family val="2"/>
          </rPr>
          <t>Sipols, Michael:</t>
        </r>
        <r>
          <rPr>
            <sz val="9"/>
            <color indexed="81"/>
            <rFont val="Tahoma"/>
            <family val="2"/>
          </rPr>
          <t xml:space="preserve">
This column reworked to check that if the illumance factor is input, that fixed diming is also selected</t>
        </r>
      </text>
    </comment>
    <comment ref="DO25" authorId="2" shapeId="0">
      <text>
        <r>
          <rPr>
            <b/>
            <sz val="9"/>
            <color indexed="81"/>
            <rFont val="Tahoma"/>
            <family val="2"/>
          </rPr>
          <t>Sipols, Michael:</t>
        </r>
        <r>
          <rPr>
            <sz val="9"/>
            <color indexed="81"/>
            <rFont val="Tahoma"/>
            <family val="2"/>
          </rPr>
          <t xml:space="preserve">
This checked to see if the lumen depreciation factor was included, whoich is no longer necessary. Reworked to check if fixed dimming is selected without an illumancne factor</t>
        </r>
      </text>
    </comment>
    <comment ref="DP25" authorId="2" shapeId="0">
      <text>
        <r>
          <rPr>
            <b/>
            <sz val="9"/>
            <color indexed="81"/>
            <rFont val="Tahoma"/>
            <family val="2"/>
          </rPr>
          <t>Sipols, Michael:</t>
        </r>
        <r>
          <rPr>
            <sz val="9"/>
            <color indexed="81"/>
            <rFont val="Tahoma"/>
            <family val="2"/>
          </rPr>
          <t xml:space="preserve">
Used to check if when lumen depreciation factor is selected, that no other dimming information is entered.
Reworked to check that the factor isn't NA for this class</t>
        </r>
      </text>
    </comment>
    <comment ref="DQ25" authorId="2" shapeId="0">
      <text>
        <r>
          <rPr>
            <b/>
            <sz val="9"/>
            <color indexed="81"/>
            <rFont val="Tahoma"/>
            <family val="2"/>
          </rPr>
          <t>Sipols, Michael:</t>
        </r>
        <r>
          <rPr>
            <sz val="9"/>
            <color indexed="81"/>
            <rFont val="Tahoma"/>
            <family val="2"/>
          </rPr>
          <t xml:space="preserve">
Used to check that if diming via area is used, that depreciation factor for variable isn't also used. No longer necessary.
Reworked to check if Design LDF is input when Additional Lumen Depreciation Factor is selected
</t>
        </r>
      </text>
    </comment>
    <comment ref="DR25" authorId="2" shapeId="0">
      <text>
        <r>
          <rPr>
            <b/>
            <sz val="9"/>
            <color indexed="81"/>
            <rFont val="Tahoma"/>
            <family val="2"/>
          </rPr>
          <t>Sipols, Michael:</t>
        </r>
        <r>
          <rPr>
            <sz val="9"/>
            <color indexed="81"/>
            <rFont val="Tahoma"/>
            <family val="2"/>
          </rPr>
          <t xml:space="preserve">
Checks if a design lumen depreciation factor has been ntered without selecting the correct adjustment factor</t>
        </r>
      </text>
    </comment>
    <comment ref="DS25" authorId="2" shapeId="0">
      <text>
        <r>
          <rPr>
            <b/>
            <sz val="9"/>
            <color indexed="81"/>
            <rFont val="Tahoma"/>
            <family val="2"/>
          </rPr>
          <t>Sipols, Michael:</t>
        </r>
        <r>
          <rPr>
            <sz val="9"/>
            <color indexed="81"/>
            <rFont val="Tahoma"/>
            <family val="2"/>
          </rPr>
          <t xml:space="preserve">
Checks whether a % of full power has been entered without the appropriate adjustment factor being selected</t>
        </r>
      </text>
    </comment>
    <comment ref="DT25" authorId="2" shapeId="0">
      <text>
        <r>
          <rPr>
            <b/>
            <sz val="9"/>
            <color indexed="81"/>
            <rFont val="Tahoma"/>
            <family val="2"/>
          </rPr>
          <t>Sipols, Michael:</t>
        </r>
        <r>
          <rPr>
            <sz val="9"/>
            <color indexed="81"/>
            <rFont val="Tahoma"/>
            <family val="2"/>
          </rPr>
          <t xml:space="preserve">
Checks whether the adjustment factor selected is valid (primarily for change over between Vol 1 and Vol 2 adjustment factors)</t>
        </r>
      </text>
    </comment>
    <comment ref="DK26" authorId="0" shapeId="0">
      <text>
        <r>
          <rPr>
            <b/>
            <sz val="8"/>
            <color indexed="81"/>
            <rFont val="Tahoma"/>
            <family val="2"/>
          </rPr>
          <t>Bruce Lightfoot:</t>
        </r>
        <r>
          <rPr>
            <sz val="8"/>
            <color indexed="81"/>
            <rFont val="Tahoma"/>
            <family val="2"/>
          </rPr>
          <t xml:space="preserve">
Based on modified version used for Volume One calculator with Names adjusted to suit Volume Two.  Ditto for all columns in this group.</t>
        </r>
      </text>
    </comment>
    <comment ref="BX68" authorId="0" shapeId="0">
      <text>
        <r>
          <rPr>
            <b/>
            <sz val="8"/>
            <color indexed="81"/>
            <rFont val="Tahoma"/>
            <family val="2"/>
          </rPr>
          <t>Bruce Lightfoot:</t>
        </r>
        <r>
          <rPr>
            <sz val="8"/>
            <color indexed="81"/>
            <rFont val="Tahoma"/>
            <family val="2"/>
          </rPr>
          <t xml:space="preserve">
Sum function used to expose any #NA vlaues. Message below (when not "OK") is a trigger for GeneralAdviceTwo formula to display note on calculator form.</t>
        </r>
      </text>
    </comment>
    <comment ref="J83" authorId="0" shapeId="0">
      <text>
        <r>
          <rPr>
            <b/>
            <sz val="8"/>
            <color indexed="81"/>
            <rFont val="Tahoma"/>
            <family val="2"/>
          </rPr>
          <t>Bruce Lightfoot:</t>
        </r>
        <r>
          <rPr>
            <sz val="8"/>
            <color indexed="81"/>
            <rFont val="Tahoma"/>
            <family val="2"/>
          </rPr>
          <t xml:space="preserve">
This cell has no dependents and does not influence conditional formatting.</t>
        </r>
      </text>
    </comment>
    <comment ref="J84" authorId="0" shapeId="0">
      <text>
        <r>
          <rPr>
            <b/>
            <sz val="8"/>
            <color indexed="81"/>
            <rFont val="Tahoma"/>
            <family val="2"/>
          </rPr>
          <t>Bruce Lightfoot:</t>
        </r>
        <r>
          <rPr>
            <sz val="8"/>
            <color indexed="81"/>
            <rFont val="Tahoma"/>
            <family val="2"/>
          </rPr>
          <t xml:space="preserve">
Unique formula in this first row. DO NOT COPY DOWN.</t>
        </r>
      </text>
    </comment>
    <comment ref="G95" authorId="0" shapeId="0">
      <text>
        <r>
          <rPr>
            <b/>
            <sz val="8"/>
            <color indexed="81"/>
            <rFont val="Tahoma"/>
            <family val="2"/>
          </rPr>
          <t>Bruce Lightfoot:</t>
        </r>
        <r>
          <rPr>
            <sz val="8"/>
            <color indexed="81"/>
            <rFont val="Tahoma"/>
            <family val="2"/>
          </rPr>
          <t xml:space="preserve">
This heading and the descriptors below moved left one column to allow narrowing of column H to overcome word wrap problems in heading rows of the calculator form.</t>
        </r>
      </text>
    </comment>
    <comment ref="S95" authorId="0" shapeId="0">
      <text>
        <r>
          <rPr>
            <b/>
            <sz val="8"/>
            <color indexed="81"/>
            <rFont val="Tahoma"/>
            <family val="2"/>
          </rPr>
          <t>Bruce Lightfoot:</t>
        </r>
        <r>
          <rPr>
            <sz val="8"/>
            <color indexed="81"/>
            <rFont val="Tahoma"/>
            <family val="2"/>
          </rPr>
          <t xml:space="preserve">
Heading changed from "Formular" to "Formulas".</t>
        </r>
      </text>
    </comment>
    <comment ref="G97" authorId="3" shapeId="0">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J101" authorId="1" shapeId="0">
      <text>
        <r>
          <rPr>
            <b/>
            <sz val="8"/>
            <color indexed="81"/>
            <rFont val="Tahoma"/>
            <family val="2"/>
          </rPr>
          <t>ndtarczynski:</t>
        </r>
        <r>
          <rPr>
            <sz val="8"/>
            <color indexed="81"/>
            <rFont val="Tahoma"/>
            <family val="2"/>
          </rPr>
          <t xml:space="preserve">
Title 
firstinputsres</t>
        </r>
      </text>
    </comment>
    <comment ref="S101" authorId="0" shapeId="0">
      <text>
        <r>
          <rPr>
            <b/>
            <sz val="9"/>
            <color indexed="81"/>
            <rFont val="Tahoma"/>
            <family val="2"/>
          </rPr>
          <t>Bruce Lightfoot:</t>
        </r>
        <r>
          <rPr>
            <sz val="9"/>
            <color indexed="81"/>
            <rFont val="Tahoma"/>
            <family val="2"/>
          </rPr>
          <t xml:space="preserve">
Rounding controlled by user variable value in PrecisionTwo.</t>
        </r>
      </text>
    </comment>
    <comment ref="T101" authorId="0" shapeId="0">
      <text>
        <r>
          <rPr>
            <b/>
            <sz val="9"/>
            <color indexed="81"/>
            <rFont val="Tahoma"/>
            <family val="2"/>
          </rPr>
          <t>Bruce Lightfoot:</t>
        </r>
        <r>
          <rPr>
            <sz val="9"/>
            <color indexed="81"/>
            <rFont val="Tahoma"/>
            <family val="2"/>
          </rPr>
          <t xml:space="preserve">
Rounding controlled by user variable value in PrecisionTwo.</t>
        </r>
      </text>
    </comment>
    <comment ref="S102" authorId="0" shapeId="0">
      <text>
        <r>
          <rPr>
            <b/>
            <sz val="9"/>
            <color indexed="81"/>
            <rFont val="Tahoma"/>
            <family val="2"/>
          </rPr>
          <t>Bruce Lightfoot:</t>
        </r>
        <r>
          <rPr>
            <sz val="9"/>
            <color indexed="81"/>
            <rFont val="Tahoma"/>
            <family val="2"/>
          </rPr>
          <t xml:space="preserve">
This cell inherits the rounding applied in referenced cell.</t>
        </r>
      </text>
    </comment>
    <comment ref="T102" authorId="0" shapeId="0">
      <text>
        <r>
          <rPr>
            <b/>
            <sz val="9"/>
            <color indexed="81"/>
            <rFont val="Tahoma"/>
            <family val="2"/>
          </rPr>
          <t>Bruce Lightfoot:</t>
        </r>
        <r>
          <rPr>
            <sz val="9"/>
            <color indexed="81"/>
            <rFont val="Tahoma"/>
            <family val="2"/>
          </rPr>
          <t xml:space="preserve">
This cell inherits the rounding applied in referenced cell.</t>
        </r>
      </text>
    </comment>
    <comment ref="S103" authorId="0" shapeId="0">
      <text>
        <r>
          <rPr>
            <b/>
            <sz val="9"/>
            <color indexed="81"/>
            <rFont val="Tahoma"/>
            <family val="2"/>
          </rPr>
          <t>Bruce Lightfoot:</t>
        </r>
        <r>
          <rPr>
            <sz val="9"/>
            <color indexed="81"/>
            <rFont val="Tahoma"/>
            <family val="2"/>
          </rPr>
          <t xml:space="preserve">
Rounding controlled by user variable value in PrecisionTwo.</t>
        </r>
      </text>
    </comment>
    <comment ref="T103" authorId="0" shapeId="0">
      <text>
        <r>
          <rPr>
            <b/>
            <sz val="9"/>
            <color indexed="81"/>
            <rFont val="Tahoma"/>
            <family val="2"/>
          </rPr>
          <t>Bruce Lightfoot:</t>
        </r>
        <r>
          <rPr>
            <sz val="9"/>
            <color indexed="81"/>
            <rFont val="Tahoma"/>
            <family val="2"/>
          </rPr>
          <t xml:space="preserve">
Rounding controlled by user variable value in PrecisionTwo.</t>
        </r>
      </text>
    </comment>
    <comment ref="S104" authorId="0" shapeId="0">
      <text>
        <r>
          <rPr>
            <b/>
            <sz val="9"/>
            <color indexed="81"/>
            <rFont val="Tahoma"/>
            <family val="2"/>
          </rPr>
          <t>Bruce Lightfoot:</t>
        </r>
        <r>
          <rPr>
            <sz val="9"/>
            <color indexed="81"/>
            <rFont val="Tahoma"/>
            <family val="2"/>
          </rPr>
          <t xml:space="preserve">
Rounding controlled by user variable value in PrecisionTwo.</t>
        </r>
      </text>
    </comment>
    <comment ref="T104" authorId="0" shapeId="0">
      <text>
        <r>
          <rPr>
            <b/>
            <sz val="9"/>
            <color indexed="81"/>
            <rFont val="Tahoma"/>
            <family val="2"/>
          </rPr>
          <t>Bruce Lightfoot:</t>
        </r>
        <r>
          <rPr>
            <sz val="9"/>
            <color indexed="81"/>
            <rFont val="Tahoma"/>
            <family val="2"/>
          </rPr>
          <t xml:space="preserve">
Rounding controlled by user variable value in PrecisionTwo.</t>
        </r>
      </text>
    </comment>
    <comment ref="Q111" authorId="0" shapeId="0">
      <text>
        <r>
          <rPr>
            <b/>
            <sz val="8"/>
            <color indexed="81"/>
            <rFont val="Tahoma"/>
            <family val="2"/>
          </rPr>
          <t>Bruce Lightfoot:</t>
        </r>
        <r>
          <rPr>
            <sz val="8"/>
            <color indexed="81"/>
            <rFont val="Tahoma"/>
            <family val="2"/>
          </rPr>
          <t xml:space="preserve">
This value controls the decimal precision of Pass/Fail comparisons (in this calculator only). 
The number refers directly to the number of decimal places employed.</t>
        </r>
      </text>
    </comment>
    <comment ref="I136" authorId="0" shapeId="0">
      <text>
        <r>
          <rPr>
            <b/>
            <sz val="9"/>
            <color indexed="81"/>
            <rFont val="Tahoma"/>
            <family val="2"/>
          </rPr>
          <t>Bruce Lightfoot:</t>
        </r>
        <r>
          <rPr>
            <sz val="9"/>
            <color indexed="81"/>
            <rFont val="Tahoma"/>
            <family val="2"/>
          </rPr>
          <t xml:space="preserve">
Rounded to 2 decimal points but displayed to 3 to demonstrate rounding.</t>
        </r>
      </text>
    </comment>
    <comment ref="I140" authorId="0" shapeId="0">
      <text>
        <r>
          <rPr>
            <b/>
            <sz val="9"/>
            <color indexed="81"/>
            <rFont val="Tahoma"/>
            <family val="2"/>
          </rPr>
          <t>Bruce Lightfoot:</t>
        </r>
        <r>
          <rPr>
            <sz val="9"/>
            <color indexed="81"/>
            <rFont val="Tahoma"/>
            <family val="2"/>
          </rPr>
          <t xml:space="preserve">
Rounded to 2 decimal points but displayed to 3 to demonstrate rounding.</t>
        </r>
      </text>
    </comment>
    <comment ref="I144" authorId="0" shapeId="0">
      <text>
        <r>
          <rPr>
            <b/>
            <sz val="9"/>
            <color indexed="81"/>
            <rFont val="Tahoma"/>
            <family val="2"/>
          </rPr>
          <t>Bruce Lightfoot:</t>
        </r>
        <r>
          <rPr>
            <sz val="9"/>
            <color indexed="81"/>
            <rFont val="Tahoma"/>
            <family val="2"/>
          </rPr>
          <t xml:space="preserve">
Rounded to 2 decimal points but displayed to 3 to demonstrate rounding.</t>
        </r>
      </text>
    </comment>
    <comment ref="I148" authorId="0" shapeId="0">
      <text>
        <r>
          <rPr>
            <b/>
            <sz val="9"/>
            <color indexed="81"/>
            <rFont val="Tahoma"/>
            <family val="2"/>
          </rPr>
          <t>Bruce Lightfoot:</t>
        </r>
        <r>
          <rPr>
            <sz val="9"/>
            <color indexed="81"/>
            <rFont val="Tahoma"/>
            <family val="2"/>
          </rPr>
          <t xml:space="preserve">
Inherits rounding applied to source cell result.</t>
        </r>
      </text>
    </comment>
    <comment ref="I152" authorId="0" shapeId="0">
      <text>
        <r>
          <rPr>
            <b/>
            <sz val="9"/>
            <color indexed="81"/>
            <rFont val="Tahoma"/>
            <family val="2"/>
          </rPr>
          <t>Bruce Lightfoot:</t>
        </r>
        <r>
          <rPr>
            <sz val="9"/>
            <color indexed="81"/>
            <rFont val="Tahoma"/>
            <family val="2"/>
          </rPr>
          <t xml:space="preserve">
Inherits rounding applied to source cell result.</t>
        </r>
      </text>
    </comment>
    <comment ref="I156" authorId="0" shapeId="0">
      <text>
        <r>
          <rPr>
            <b/>
            <sz val="9"/>
            <color indexed="81"/>
            <rFont val="Tahoma"/>
            <family val="2"/>
          </rPr>
          <t>Bruce Lightfoot:</t>
        </r>
        <r>
          <rPr>
            <sz val="9"/>
            <color indexed="81"/>
            <rFont val="Tahoma"/>
            <family val="2"/>
          </rPr>
          <t xml:space="preserve">
Inherits rounding applied to source cell result.</t>
        </r>
      </text>
    </comment>
  </commentList>
</comments>
</file>

<file path=xl/comments2.xml><?xml version="1.0" encoding="utf-8"?>
<comments xmlns="http://schemas.openxmlformats.org/spreadsheetml/2006/main">
  <authors>
    <author>Bruce Lightfoot</author>
    <author>Armstrong, Alexander</author>
    <author>Sipols, Michael</author>
    <author>NDTarczynski</author>
    <author>Nick</author>
    <author>ndtarczynski</author>
  </authors>
  <commentList>
    <comment ref="G20" authorId="0" shapeId="0">
      <text>
        <r>
          <rPr>
            <b/>
            <sz val="8"/>
            <color indexed="81"/>
            <rFont val="Tahoma"/>
            <family val="2"/>
          </rPr>
          <t>Input advice:</t>
        </r>
        <r>
          <rPr>
            <sz val="8"/>
            <color indexed="81"/>
            <rFont val="Tahoma"/>
            <family val="2"/>
          </rPr>
          <t xml:space="preserve">
Red bold font indicates that the nominated perimeter is less than the geometrically feasible minimum for the nominated floor area.</t>
        </r>
      </text>
    </comment>
    <comment ref="L20" authorId="1" shapeId="0">
      <text>
        <r>
          <rPr>
            <b/>
            <sz val="9"/>
            <color indexed="81"/>
            <rFont val="Tahoma"/>
            <family val="2"/>
          </rPr>
          <t xml:space="preserve">Tip:
</t>
        </r>
        <r>
          <rPr>
            <sz val="9"/>
            <color indexed="81"/>
            <rFont val="Tahoma"/>
            <family val="2"/>
          </rPr>
          <t>Recommended lux levels can be determined from the AS1680 series of standards.</t>
        </r>
      </text>
    </comment>
    <comment ref="AX20" authorId="0" shapeId="0">
      <text>
        <r>
          <rPr>
            <b/>
            <sz val="8"/>
            <color indexed="81"/>
            <rFont val="Tahoma"/>
            <family val="2"/>
          </rPr>
          <t>Bruce Lightfoot:</t>
        </r>
        <r>
          <rPr>
            <sz val="8"/>
            <color indexed="81"/>
            <rFont val="Tahoma"/>
            <family val="2"/>
          </rPr>
          <t xml:space="preserve">
Changed heading from "Aggregate Outcomes" to "System Values" 1.10.12 to reflect the contents of individual rows in these two columns.</t>
        </r>
      </text>
    </comment>
    <comment ref="BN20" authorId="0" shapeId="0">
      <text>
        <r>
          <rPr>
            <b/>
            <sz val="8"/>
            <color indexed="81"/>
            <rFont val="Tahoma"/>
            <family val="2"/>
          </rPr>
          <t>Bruce Lightfoot:</t>
        </r>
        <r>
          <rPr>
            <sz val="8"/>
            <color indexed="81"/>
            <rFont val="Tahoma"/>
            <family val="2"/>
          </rPr>
          <t xml:space="preserve">
Heading changed 1.10.12 from "Percentage of Allowance" to "Percentage of Aggregate Allowance Used" to clarify contents.</t>
        </r>
      </text>
    </comment>
    <comment ref="BO20" authorId="0" shapeId="0">
      <text>
        <r>
          <rPr>
            <b/>
            <sz val="8"/>
            <color indexed="81"/>
            <rFont val="Tahoma"/>
            <family val="2"/>
          </rPr>
          <t>Bruce Lightfoot:</t>
        </r>
        <r>
          <rPr>
            <sz val="8"/>
            <color indexed="81"/>
            <rFont val="Tahoma"/>
            <family val="2"/>
          </rPr>
          <t xml:space="preserve">
Heading changed 1.10.12 from "Percentage of Allowance greater than 100%" to "Aggregate Load Does Not Exceed Allowance" to clarify contents.</t>
        </r>
      </text>
    </comment>
    <comment ref="BP20" authorId="0" shapeId="0">
      <text>
        <r>
          <rPr>
            <b/>
            <sz val="8"/>
            <color indexed="81"/>
            <rFont val="Tahoma"/>
            <family val="2"/>
          </rPr>
          <t>Bruce Lightfoot:</t>
        </r>
        <r>
          <rPr>
            <sz val="8"/>
            <color indexed="81"/>
            <rFont val="Tahoma"/>
            <family val="2"/>
          </rPr>
          <t xml:space="preserve">
Second percentage value is displayed to 0.1% precision when within 1% of 100%. </t>
        </r>
      </text>
    </comment>
    <comment ref="AX22" authorId="0" shapeId="0">
      <text>
        <r>
          <rPr>
            <b/>
            <sz val="8"/>
            <color indexed="81"/>
            <rFont val="Tahoma"/>
            <family val="2"/>
          </rPr>
          <t>Bruce Lightfoot:</t>
        </r>
        <r>
          <rPr>
            <sz val="8"/>
            <color indexed="81"/>
            <rFont val="Tahoma"/>
            <family val="2"/>
          </rPr>
          <t xml:space="preserve">
Added "System" to heading 1.10.12 to indicate that Loads refer to individual systems Loads and not the aggregate Load.</t>
        </r>
      </text>
    </comment>
    <comment ref="AY22" authorId="0" shapeId="0">
      <text>
        <r>
          <rPr>
            <b/>
            <sz val="8"/>
            <color indexed="81"/>
            <rFont val="Tahoma"/>
            <family val="2"/>
          </rPr>
          <t>Bruce Lightfoot:</t>
        </r>
        <r>
          <rPr>
            <sz val="8"/>
            <color indexed="81"/>
            <rFont val="Tahoma"/>
            <family val="2"/>
          </rPr>
          <t xml:space="preserve">
Added "System" to heading 1.10.12 to indicate that Allowances refer to individual systems Allowances and not the aggregate Allowance.</t>
        </r>
      </text>
    </comment>
    <comment ref="BG22" authorId="0" shapeId="0">
      <text>
        <r>
          <rPr>
            <b/>
            <sz val="8"/>
            <color indexed="81"/>
            <rFont val="Tahoma"/>
            <family val="2"/>
          </rPr>
          <t>Bruce Lightfoot:</t>
        </r>
        <r>
          <rPr>
            <sz val="8"/>
            <color indexed="81"/>
            <rFont val="Tahoma"/>
            <family val="2"/>
          </rPr>
          <t xml:space="preserve">
Format applies when the system Passes AND the overall design PASSES.</t>
        </r>
      </text>
    </comment>
    <comment ref="BH22" authorId="0" shapeId="0">
      <text>
        <r>
          <rPr>
            <b/>
            <sz val="8"/>
            <color indexed="81"/>
            <rFont val="Tahoma"/>
            <family val="2"/>
          </rPr>
          <t>Bruce Lightfoot:</t>
        </r>
        <r>
          <rPr>
            <sz val="8"/>
            <color indexed="81"/>
            <rFont val="Tahoma"/>
            <family val="2"/>
          </rPr>
          <t xml:space="preserve">
Format applies when the system Fails AND the overall design FAILS.
"white" substituted for "black" on 1.10.12 to match descriptoin in Help screen and Volume Two calculator formatting.</t>
        </r>
      </text>
    </comment>
    <comment ref="BK22" authorId="0" shapeId="0">
      <text>
        <r>
          <rPr>
            <b/>
            <sz val="8"/>
            <color indexed="81"/>
            <rFont val="Tahoma"/>
            <family val="2"/>
          </rPr>
          <t>Bruce Lightfoot:</t>
        </r>
        <r>
          <rPr>
            <sz val="8"/>
            <color indexed="81"/>
            <rFont val="Tahoma"/>
            <family val="2"/>
          </rPr>
          <t xml:space="preserve">
Changed heading 2.10.12, reversing font and fill colours, to reflect description n Help screen.</t>
        </r>
      </text>
    </comment>
    <comment ref="DK22"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L22"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N22" authorId="0" shape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O22" authorId="0" shape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S22"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T22" authorId="0" shapeId="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V22" authorId="0" shapeId="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W22" authorId="0" shapeId="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K23" authorId="2" shapeId="0">
      <text>
        <r>
          <rPr>
            <b/>
            <sz val="9"/>
            <color indexed="81"/>
            <rFont val="Tahoma"/>
            <family val="2"/>
          </rPr>
          <t>Sipols, Michael:</t>
        </r>
        <r>
          <rPr>
            <sz val="9"/>
            <color indexed="81"/>
            <rFont val="Tahoma"/>
            <family val="2"/>
          </rPr>
          <t xml:space="preserve">
These changed and updated per comments in Class 1-2 &amp; 4</t>
        </r>
      </text>
    </comment>
    <comment ref="BC24" authorId="0" shapeId="0">
      <text>
        <r>
          <rPr>
            <b/>
            <sz val="8"/>
            <color indexed="81"/>
            <rFont val="Tahoma"/>
            <family val="2"/>
          </rPr>
          <t>Bruce Lightfoot:</t>
        </r>
        <r>
          <rPr>
            <sz val="8"/>
            <color indexed="81"/>
            <rFont val="Tahoma"/>
            <family val="2"/>
          </rPr>
          <t xml:space="preserve">
Formula refers to row numbers input to prevent its advisory message overlapping the text box.</t>
        </r>
      </text>
    </comment>
    <comment ref="BD24" authorId="0" shapeId="0">
      <text>
        <r>
          <rPr>
            <b/>
            <sz val="8"/>
            <color indexed="81"/>
            <rFont val="Tahoma"/>
            <family val="2"/>
          </rPr>
          <t>Bruce Lightfoot:</t>
        </r>
        <r>
          <rPr>
            <sz val="8"/>
            <color indexed="81"/>
            <rFont val="Tahoma"/>
            <family val="2"/>
          </rPr>
          <t xml:space="preserve">
Formula requires that the Classification be valid and also be Class 2.</t>
        </r>
      </text>
    </comment>
    <comment ref="BI24" authorId="0" shape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M24" authorId="0" shape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N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O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I124" authorId="0" shape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M124" authorId="0" shape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N1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O1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I224" authorId="0" shape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M224" authorId="0" shape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N2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O2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I324" authorId="0" shape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M324" authorId="0" shape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N3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O3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I424" authorId="0" shapeId="0">
      <text>
        <r>
          <rPr>
            <b/>
            <sz val="8"/>
            <color indexed="81"/>
            <rFont val="Tahoma"/>
            <family val="2"/>
          </rPr>
          <t>Bruce Lightfoot:</t>
        </r>
        <r>
          <rPr>
            <sz val="8"/>
            <color indexed="81"/>
            <rFont val="Tahoma"/>
            <family val="2"/>
          </rPr>
          <t xml:space="preserve">
Formulae in all 100 rows modified 1.10.12 to allow Allowance to equal Design Load when testing overall compliance. Original formulae required the Allowance to exceed the Design Load.</t>
        </r>
      </text>
    </comment>
    <comment ref="BM424" authorId="0" shapeId="0">
      <text>
        <r>
          <rPr>
            <b/>
            <sz val="8"/>
            <color indexed="81"/>
            <rFont val="Tahoma"/>
            <family val="2"/>
          </rPr>
          <t>Bruce Lightfoot:</t>
        </r>
        <r>
          <rPr>
            <sz val="8"/>
            <color indexed="81"/>
            <rFont val="Tahoma"/>
            <family val="2"/>
          </rPr>
          <t xml:space="preserve">
Formuale changed 1.10.12 to express shares as fractions of aggregate Load rather than of aggregate Allowance. The latter does not allow identificatoin of system contributing excessively to compliance failiures.</t>
        </r>
      </text>
    </comment>
    <comment ref="BN4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BO424" authorId="0" shapeId="0">
      <text>
        <r>
          <rPr>
            <b/>
            <sz val="8"/>
            <color indexed="81"/>
            <rFont val="Tahoma"/>
            <family val="2"/>
          </rPr>
          <t>Bruce Lightfoot:</t>
        </r>
        <r>
          <rPr>
            <sz val="8"/>
            <color indexed="81"/>
            <rFont val="Tahoma"/>
            <family val="2"/>
          </rPr>
          <t xml:space="preserve">
Modified formula not to display results for rows with no Lighting System information.</t>
        </r>
      </text>
    </comment>
    <comment ref="G538" authorId="2" shapeId="0">
      <text>
        <r>
          <rPr>
            <b/>
            <sz val="9"/>
            <color indexed="81"/>
            <rFont val="Tahoma"/>
            <family val="2"/>
          </rPr>
          <t>Sipols, Michael:</t>
        </r>
        <r>
          <rPr>
            <sz val="9"/>
            <color indexed="81"/>
            <rFont val="Tahoma"/>
            <family val="2"/>
          </rPr>
          <t xml:space="preserve">
Locations updated to NCC 2019</t>
        </r>
      </text>
    </comment>
    <comment ref="T539" authorId="2" shapeId="0">
      <text>
        <r>
          <rPr>
            <b/>
            <sz val="9"/>
            <color indexed="81"/>
            <rFont val="Tahoma"/>
            <family val="2"/>
          </rPr>
          <t>Sipols, Michael:</t>
        </r>
        <r>
          <rPr>
            <sz val="9"/>
            <color indexed="81"/>
            <rFont val="Tahoma"/>
            <family val="2"/>
          </rPr>
          <t xml:space="preserve">
??? - No dependents</t>
        </r>
      </text>
    </comment>
    <comment ref="U539" authorId="2" shapeId="0">
      <text>
        <r>
          <rPr>
            <b/>
            <sz val="9"/>
            <color indexed="81"/>
            <rFont val="Tahoma"/>
            <family val="2"/>
          </rPr>
          <t>Sipols, Michael:</t>
        </r>
        <r>
          <rPr>
            <sz val="9"/>
            <color indexed="81"/>
            <rFont val="Tahoma"/>
            <family val="2"/>
          </rPr>
          <t xml:space="preserve">
??? - No dependents</t>
        </r>
      </text>
    </comment>
    <comment ref="Z539" authorId="2" shapeId="0">
      <text>
        <r>
          <rPr>
            <b/>
            <sz val="9"/>
            <color indexed="81"/>
            <rFont val="Tahoma"/>
            <family val="2"/>
          </rPr>
          <t>Sipols, Michael:</t>
        </r>
        <r>
          <rPr>
            <sz val="9"/>
            <color indexed="81"/>
            <rFont val="Tahoma"/>
            <family val="2"/>
          </rPr>
          <t xml:space="preserve">
Not in use - superseded by separate sheet</t>
        </r>
      </text>
    </comment>
    <comment ref="Z540" authorId="3" shapeId="0">
      <text>
        <r>
          <rPr>
            <b/>
            <sz val="8"/>
            <color indexed="81"/>
            <rFont val="Tahoma"/>
            <family val="2"/>
          </rPr>
          <t>NDTarczynski:</t>
        </r>
        <r>
          <rPr>
            <sz val="8"/>
            <color indexed="81"/>
            <rFont val="Tahoma"/>
            <family val="2"/>
          </rPr>
          <t xml:space="preserve">
</t>
        </r>
      </text>
    </comment>
    <comment ref="M552" authorId="4" shapeId="0">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P565" authorId="0" shapeId="0">
      <text>
        <r>
          <rPr>
            <b/>
            <sz val="8"/>
            <color indexed="81"/>
            <rFont val="Tahoma"/>
            <family val="2"/>
          </rPr>
          <t xml:space="preserve">Bruce Lightf
</t>
        </r>
        <r>
          <rPr>
            <sz val="8"/>
            <color indexed="81"/>
            <rFont val="Tahoma"/>
            <family val="2"/>
          </rPr>
          <t>Reference to L187 replaced by cell Name 1.10.12.</t>
        </r>
      </text>
    </comment>
    <comment ref="L591" authorId="0" shapeId="0">
      <text>
        <r>
          <rPr>
            <b/>
            <sz val="8"/>
            <color indexed="81"/>
            <rFont val="Tahoma"/>
            <family val="2"/>
          </rPr>
          <t>Bruce Lightfoot:</t>
        </r>
        <r>
          <rPr>
            <sz val="8"/>
            <color indexed="81"/>
            <rFont val="Tahoma"/>
            <family val="2"/>
          </rPr>
          <t xml:space="preserve">
Formula amended 1.10.12 to refer to all 100 rows of table. Original formula summed only the first 40 rows. Also rounded result to zero decimal places to permit accurate comparison of loads with allowance (working to the nearest Watt, as used in the Guide example).</t>
        </r>
      </text>
    </comment>
    <comment ref="S591" authorId="0" shapeId="0">
      <text>
        <r>
          <rPr>
            <b/>
            <sz val="8"/>
            <color indexed="81"/>
            <rFont val="Tahoma"/>
            <family val="2"/>
          </rPr>
          <t>Bruce Lightfoot:</t>
        </r>
        <r>
          <rPr>
            <sz val="8"/>
            <color indexed="81"/>
            <rFont val="Tahoma"/>
            <family val="2"/>
          </rPr>
          <t xml:space="preserve">
Replaced cell reference by name for ADIPLone 1.10.12. Increased rounding precision for numbers within 1% of 100%. Lower values are rounded down and higher values are rounded up (to avoid apparent conflicts with the total Load and Allowance values shown on the calculator form.</t>
        </r>
      </text>
    </comment>
    <comment ref="T591" authorId="0" shapeId="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U591" authorId="5" shapeId="0">
      <text>
        <r>
          <rPr>
            <b/>
            <sz val="8"/>
            <color indexed="81"/>
            <rFont val="Tahoma"/>
            <family val="2"/>
          </rPr>
          <t>ndtarczynski:</t>
        </r>
        <r>
          <rPr>
            <sz val="8"/>
            <color indexed="81"/>
            <rFont val="Tahoma"/>
            <family val="2"/>
          </rPr>
          <t xml:space="preserve">
PassCheck</t>
        </r>
      </text>
    </comment>
    <comment ref="U594" authorId="0" shapeId="0">
      <text>
        <r>
          <rPr>
            <b/>
            <sz val="8"/>
            <color indexed="81"/>
            <rFont val="Tahoma"/>
            <family val="2"/>
          </rPr>
          <t>Bruce Lightfoot:</t>
        </r>
        <r>
          <rPr>
            <sz val="8"/>
            <color indexed="81"/>
            <rFont val="Tahoma"/>
            <family val="2"/>
          </rPr>
          <t xml:space="preserve">
Named cell as FailCheck  and replaced cell reference in formula by name for ADIPLone 1.10.12.</t>
        </r>
      </text>
    </comment>
    <comment ref="L595" authorId="0" shapeId="0">
      <text>
        <r>
          <rPr>
            <b/>
            <sz val="8"/>
            <color indexed="81"/>
            <rFont val="Tahoma"/>
            <family val="2"/>
          </rPr>
          <t>Bruce Lightfoot:</t>
        </r>
        <r>
          <rPr>
            <sz val="8"/>
            <color indexed="81"/>
            <rFont val="Tahoma"/>
            <family val="2"/>
          </rPr>
          <t xml:space="preserve">
Formula amended 1.10.12 to refer to all 100 rows of table. Original formula summed only the first 40 rows. Also rounded result to zero decimal places to permit accurate comparison of loads with allowance (working to the nearest Watt, as used in the Guide example).</t>
        </r>
      </text>
    </comment>
  </commentList>
</comments>
</file>

<file path=xl/comments3.xml><?xml version="1.0" encoding="utf-8"?>
<comments xmlns="http://schemas.openxmlformats.org/spreadsheetml/2006/main">
  <authors>
    <author>Sipols, Michael</author>
    <author>Bruce Lightfoot</author>
  </authors>
  <commentList>
    <comment ref="P4" authorId="0" shapeId="0">
      <text>
        <r>
          <rPr>
            <b/>
            <sz val="9"/>
            <color indexed="81"/>
            <rFont val="Tahoma"/>
            <family val="2"/>
          </rPr>
          <t>Sipols, Michael:</t>
        </r>
        <r>
          <rPr>
            <sz val="9"/>
            <color indexed="81"/>
            <rFont val="Tahoma"/>
            <family val="2"/>
          </rPr>
          <t xml:space="preserve">
Siuzes cut by one to suit number of scenarios, and Part set to same as All, since we no longer need to distinction</t>
        </r>
      </text>
    </comment>
    <comment ref="W9" authorId="0" shapeId="0">
      <text>
        <r>
          <rPr>
            <b/>
            <sz val="9"/>
            <color indexed="81"/>
            <rFont val="Tahoma"/>
            <family val="2"/>
          </rPr>
          <t>Sipols, Michael:</t>
        </r>
        <r>
          <rPr>
            <sz val="9"/>
            <color indexed="81"/>
            <rFont val="Tahoma"/>
            <family val="2"/>
          </rPr>
          <t xml:space="preserve">
This checks whether the residential building is class 1 or 10a, in order to populate the options lists appropriately for the differences between Volume One and Two adjustment factors</t>
        </r>
      </text>
    </comment>
    <comment ref="T11" authorId="1" shapeId="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AE11" authorId="1" shapeId="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R24" authorId="1" shapeId="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
</t>
        </r>
        <r>
          <rPr>
            <b/>
            <sz val="8"/>
            <color indexed="81"/>
            <rFont val="Tahoma"/>
            <family val="2"/>
          </rPr>
          <t>Michael Sipols:</t>
        </r>
        <r>
          <rPr>
            <sz val="8"/>
            <color indexed="81"/>
            <rFont val="Tahoma"/>
            <family val="2"/>
          </rPr>
          <t xml:space="preserve">
The zero will be used in vlookups as the result when no selection is made. In Excel parlance, 0=""</t>
        </r>
      </text>
    </comment>
    <comment ref="AC24" authorId="1" shapeId="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t>
        </r>
      </text>
    </comment>
  </commentList>
</comments>
</file>

<file path=xl/sharedStrings.xml><?xml version="1.0" encoding="utf-8"?>
<sst xmlns="http://schemas.openxmlformats.org/spreadsheetml/2006/main" count="829" uniqueCount="584">
  <si>
    <t>Location</t>
  </si>
  <si>
    <t>Adjustment Factor 1</t>
  </si>
  <si>
    <t>Adjustment Factor 2</t>
  </si>
  <si>
    <t>Adjusted MLPD 1 &amp; 2</t>
  </si>
  <si>
    <t>Space</t>
  </si>
  <si>
    <t>Auditorium, church and public hall</t>
  </si>
  <si>
    <t>Board room and conference room</t>
  </si>
  <si>
    <t xml:space="preserve">Courtroom </t>
  </si>
  <si>
    <t>Health-care - examination room</t>
  </si>
  <si>
    <t>Kitchen and food preparation area</t>
  </si>
  <si>
    <t>Museum and gallery - circulation, cleaning and service lighting</t>
  </si>
  <si>
    <t>Office - artificially lit to an ambient level of 200 lx or more</t>
  </si>
  <si>
    <t>Restaurant, café, bar, hotel lounge and a space for the serving and consumption of food or drinks</t>
  </si>
  <si>
    <t>Retail space including a museum and gallery whose purpose is the sale of objects</t>
  </si>
  <si>
    <t>Motion detector in accordance with Specification J6</t>
  </si>
  <si>
    <t>Item</t>
  </si>
  <si>
    <t>Description</t>
  </si>
  <si>
    <t>Illumination power density adjustment factor</t>
  </si>
  <si>
    <t>Adjusted MLPD 2</t>
  </si>
  <si>
    <t>The highest illumination power load (H)</t>
  </si>
  <si>
    <t>[H x T/2 + P x (100 - T/2)] / 100</t>
  </si>
  <si>
    <t>The time for which the maximum illumination power load will occur, expressed as a percentage (T)</t>
  </si>
  <si>
    <t>The predominant illumination power load (P)</t>
  </si>
  <si>
    <t>Total</t>
  </si>
  <si>
    <t>DLPL</t>
  </si>
  <si>
    <t>MLPL</t>
  </si>
  <si>
    <t>Check</t>
  </si>
  <si>
    <t>Inputs Ok</t>
  </si>
  <si>
    <t>Outcome label</t>
  </si>
  <si>
    <t>Row</t>
  </si>
  <si>
    <t>Show</t>
  </si>
  <si>
    <t>Number of rows preferred in table below</t>
  </si>
  <si>
    <t>ID</t>
  </si>
  <si>
    <t>Rows Shown</t>
  </si>
  <si>
    <t>Aggregate Design Illumination power load (ADIPL)</t>
  </si>
  <si>
    <t>Surface Area</t>
  </si>
  <si>
    <t>Aggregate Outcomes</t>
  </si>
  <si>
    <t>Rows Preferred</t>
  </si>
  <si>
    <t>Note: Calculations based on the formula:</t>
  </si>
  <si>
    <t>Enter Dimensions</t>
  </si>
  <si>
    <t xml:space="preserve">(b) Motion detector </t>
  </si>
  <si>
    <t>(c) Motion detector</t>
  </si>
  <si>
    <t>Percentage of Allowance</t>
  </si>
  <si>
    <t>(d) Motion detector</t>
  </si>
  <si>
    <t>Lighting System Share</t>
  </si>
  <si>
    <t>Lighting System Share of % of Allowance Used</t>
  </si>
  <si>
    <t>Design Illumination Power Load</t>
  </si>
  <si>
    <t>Dormitory of a Class 3 building used for sleeping only</t>
  </si>
  <si>
    <t>Dormitory of a Class 3 building used for sleeping and study</t>
  </si>
  <si>
    <t>Entry lobby from outside the building</t>
  </si>
  <si>
    <t>Library - stack and shelving area</t>
  </si>
  <si>
    <t>Library - reading room and general areas</t>
  </si>
  <si>
    <t>School - general purpose learning areas and tutorial rooms</t>
  </si>
  <si>
    <t>An illuminance of not more than 80 lx</t>
  </si>
  <si>
    <t>An illuminance more than 80 lx to 160 lx</t>
  </si>
  <si>
    <t>An illuminance more than 160 lx to 240 lx</t>
  </si>
  <si>
    <t>An illuminance more than 240 lx to 320 lx</t>
  </si>
  <si>
    <t>An illuminance more than 320 lx to 400 lx</t>
  </si>
  <si>
    <t>Room Aspect Ratio Adjustment Factor</t>
  </si>
  <si>
    <t>Room Aspect Ratio</t>
  </si>
  <si>
    <t>Adjustment Factor Used</t>
  </si>
  <si>
    <t>Lowest Adjustment Factor</t>
  </si>
  <si>
    <t>Second Lowest Adjustment Factor</t>
  </si>
  <si>
    <t>Two Adjustment Factors Used</t>
  </si>
  <si>
    <t>Room Aspect Ratio Used</t>
  </si>
  <si>
    <t>Common rooms, spaces and corridors in a Class 2 building</t>
  </si>
  <si>
    <t>Corridors</t>
  </si>
  <si>
    <t>Laboratory - artificially lit to an ambient level of 400 lx or more</t>
  </si>
  <si>
    <t>Service area, cleaner's room and the like</t>
  </si>
  <si>
    <t>Toilet, locker room, staff room, rest room and the like</t>
  </si>
  <si>
    <t>(a)</t>
  </si>
  <si>
    <t>(b)</t>
  </si>
  <si>
    <t>(g)</t>
  </si>
  <si>
    <t>(h)</t>
  </si>
  <si>
    <t>(f)</t>
  </si>
  <si>
    <t>(a) Lighting timer</t>
  </si>
  <si>
    <t>(c)</t>
  </si>
  <si>
    <t>(i)</t>
  </si>
  <si>
    <t>(i) Dynamic dimming system</t>
  </si>
  <si>
    <t>Adjustment Factor One</t>
  </si>
  <si>
    <t>Adjustment Factor Two</t>
  </si>
  <si>
    <t>Adjusted MLPD 1 Including Room Aspect</t>
  </si>
  <si>
    <t>Illumination Power Load Allowance</t>
  </si>
  <si>
    <t>Class 2</t>
  </si>
  <si>
    <t>Class 3</t>
  </si>
  <si>
    <t>Classifications</t>
  </si>
  <si>
    <t>Class 5</t>
  </si>
  <si>
    <t>Class 6</t>
  </si>
  <si>
    <t>Class 8</t>
  </si>
  <si>
    <t>Class 9a</t>
  </si>
  <si>
    <t>Class 9b</t>
  </si>
  <si>
    <t>Class 9c</t>
  </si>
  <si>
    <t>Class 7a</t>
  </si>
  <si>
    <t>Class 7b</t>
  </si>
  <si>
    <t>Lamp Power Density / Illumination Power Density</t>
  </si>
  <si>
    <t>Allowance</t>
  </si>
  <si>
    <t>Design</t>
  </si>
  <si>
    <t>Class 4</t>
  </si>
  <si>
    <t>Advice</t>
  </si>
  <si>
    <t>Floor area of the space</t>
  </si>
  <si>
    <t xml:space="preserve">Perimeter of the space </t>
  </si>
  <si>
    <t xml:space="preserve">Floor to ceiling height </t>
  </si>
  <si>
    <t>The Calculator has been designed to identify anticipated input errors but may not trap all invalid inputs.</t>
  </si>
  <si>
    <t>Calculator outcomes cannot be displayed until all input issues have been resolved (clearing any colour highlighting and advisory messages). Several messages may appear in sequence for the same row as issues are resolved.</t>
  </si>
  <si>
    <t>The Calculator form can be printed using the File | Print menu or the Print button on the top icon bar.</t>
  </si>
  <si>
    <t>Version history:</t>
  </si>
  <si>
    <t>•</t>
  </si>
  <si>
    <t>1.00:</t>
  </si>
  <si>
    <t>First public issue.</t>
  </si>
  <si>
    <t>Test Area</t>
  </si>
  <si>
    <t>Entry Inputs Ok</t>
  </si>
  <si>
    <t>All inputs ok</t>
  </si>
  <si>
    <t>A record of changes made to each version of the Lighting Calculator appears at the end of this Help section. (Scroll down to see the version history.)</t>
  </si>
  <si>
    <t>Building zone and inputs</t>
  </si>
  <si>
    <t>Output</t>
  </si>
  <si>
    <t>T/F</t>
  </si>
  <si>
    <t>Total Range</t>
  </si>
  <si>
    <t>Inputs entered and Ok</t>
  </si>
  <si>
    <t>Lamp Power Density / Illumination Power Density Design</t>
  </si>
  <si>
    <t>Multiple Lighting System Calculator</t>
  </si>
  <si>
    <t>Using the Calculator</t>
  </si>
  <si>
    <t>Programmable dimming system (Note 2)</t>
  </si>
  <si>
    <t>1.</t>
  </si>
  <si>
    <t>2.</t>
  </si>
  <si>
    <t>3.</t>
  </si>
  <si>
    <t>4.</t>
  </si>
  <si>
    <t>Adjustment Factor 1 Inputs Ok</t>
  </si>
  <si>
    <t>Adjustment Factor 2 Inputs Ok</t>
  </si>
  <si>
    <t>Adjustment 2 Inputs Ok (Classification)</t>
  </si>
  <si>
    <t>Adjustment 2 inputs OK</t>
  </si>
  <si>
    <t>Entry Inputs and Adjustment Input Ok</t>
  </si>
  <si>
    <t>Adjustment Factor 1 Advice</t>
  </si>
  <si>
    <t>Adjustment Factor 2 Advice</t>
  </si>
  <si>
    <t>Acknowledgements</t>
  </si>
  <si>
    <t>Users' worksheet:</t>
  </si>
  <si>
    <t>To maintain the integrity of the Calculator, this sheet is protected causing some unavoidable restrictions on the functions available.</t>
  </si>
  <si>
    <t>All cells below row 8 are accessible for user input, editing and formatting, subject to the limitations due to protection.</t>
  </si>
  <si>
    <t>Use of this worksheet is optional and responsibility for its contents and consequences remains entirely with the user.</t>
  </si>
  <si>
    <t>This worksheet has been added for recording notes and making calculations (where desired).</t>
  </si>
  <si>
    <t>.</t>
  </si>
  <si>
    <t>Application</t>
  </si>
  <si>
    <t>Conditional Formatting</t>
  </si>
  <si>
    <t>No Building description inputted</t>
  </si>
  <si>
    <t>Note: The representative density is hidden in column J to the left</t>
  </si>
  <si>
    <t>Type of space</t>
  </si>
  <si>
    <t>Living room</t>
  </si>
  <si>
    <t>Bathroom</t>
  </si>
  <si>
    <t>Corridor</t>
  </si>
  <si>
    <t>Other</t>
  </si>
  <si>
    <t>Show General Advisory Note</t>
  </si>
  <si>
    <t>Average</t>
  </si>
  <si>
    <t>Floor Area / Total Watts of design</t>
  </si>
  <si>
    <t>Percentage</t>
  </si>
  <si>
    <t>Design Watts/Average Watt Allowance</t>
  </si>
  <si>
    <t>vlookup</t>
  </si>
  <si>
    <t>Adjustment Factor 2 no fixed dimming or depreciation factors entered</t>
  </si>
  <si>
    <t>Verandah or balcony</t>
  </si>
  <si>
    <t>Verandah or balcony used</t>
  </si>
  <si>
    <t>One or more inputs True</t>
  </si>
  <si>
    <t>Data entered in Row</t>
  </si>
  <si>
    <t>Row Left Blank Realistic</t>
  </si>
  <si>
    <t>Row Left Blank For Function</t>
  </si>
  <si>
    <t>Calculated Outcomes Conditional Formatting</t>
  </si>
  <si>
    <t>Overall design pass</t>
  </si>
  <si>
    <t>All inputs valid</t>
  </si>
  <si>
    <t>Overall design fail</t>
  </si>
  <si>
    <t>All Valid</t>
  </si>
  <si>
    <t>All Invalid</t>
  </si>
  <si>
    <t>One Value Invalid</t>
  </si>
  <si>
    <t>Row left blank realistic</t>
  </si>
  <si>
    <t>Data entered in row</t>
  </si>
  <si>
    <t>Row left blank for function</t>
  </si>
  <si>
    <t>RowsPrefered&gt;BN17</t>
  </si>
  <si>
    <t>(e) Manual dimming system</t>
  </si>
  <si>
    <t>(f) Manual dimming system</t>
  </si>
  <si>
    <t>Aggregate Design Illumination power load (ADIPL) Load (Class 1, 2 and 4)</t>
  </si>
  <si>
    <t>Aggregate Design Illumination power load (ADIPL) Load (Verandah)</t>
  </si>
  <si>
    <t>Aggregate Design Illumination power load (ADIPL) Load (Class 10)</t>
  </si>
  <si>
    <t>Aggregate Maximum Illumination power density load (AMIPDL) Allowance (Class 1, 2 and 4)</t>
  </si>
  <si>
    <t>Aggregate Maximum Illumination power density load (AMIPDL) Allowance (Verandah)</t>
  </si>
  <si>
    <t>Aggregate Maximum Illumination power density load (AMIPDL) Allowance (Class 10)</t>
  </si>
  <si>
    <t>Class 1, 2 or 4 values</t>
  </si>
  <si>
    <t>Verandah or Balcony values</t>
  </si>
  <si>
    <t>Class 10 values</t>
  </si>
  <si>
    <t>Amount</t>
  </si>
  <si>
    <t>Floor area</t>
  </si>
  <si>
    <t>Floor area Sum</t>
  </si>
  <si>
    <t>Total design Sum</t>
  </si>
  <si>
    <t>AMIPDL &gt; ADIPL (Pass) Class 1, 2 and 4</t>
  </si>
  <si>
    <t>AMIPDL &gt; ADIPL (Pass) Verandah</t>
  </si>
  <si>
    <t>AMIPDL &gt; ADIPL (Pass) Class 10</t>
  </si>
  <si>
    <t>ADIPL &gt; AMIPDL (Fail) Class 1, 2 and 4</t>
  </si>
  <si>
    <t>ADIPL &gt; AMIPDL (Fail) Verandah</t>
  </si>
  <si>
    <t>ADIPL &gt; AMIPDL (Fail) Class 10</t>
  </si>
  <si>
    <t>Within a Class 2 or 4 building</t>
  </si>
  <si>
    <t>Averages</t>
  </si>
  <si>
    <t>Modification required for the 2003 version to the 2007 version of excel</t>
  </si>
  <si>
    <t>Some text boxes for the calculated outcomes require resizing both calculators</t>
  </si>
  <si>
    <t>2.00</t>
  </si>
  <si>
    <t>(k)</t>
  </si>
  <si>
    <t xml:space="preserve">(g) Programmable dimming system </t>
  </si>
  <si>
    <t>(h) Dynamic dimming system</t>
  </si>
  <si>
    <t>(j) Additional lumen depreciation factor</t>
  </si>
  <si>
    <t>(k) Fixed dimming</t>
  </si>
  <si>
    <t xml:space="preserve">Area Used </t>
  </si>
  <si>
    <t>Area Used</t>
  </si>
  <si>
    <t>Advisory Note for multiple use of Classifications or Verandah or Balcony</t>
  </si>
  <si>
    <t>(l) Daylight sensor and dynamic lighting</t>
  </si>
  <si>
    <t>(m) Daylight sensor and dynamic lighting</t>
  </si>
  <si>
    <t>The text boxes for the calculated outcomes advice information needs to formatted. i.e. Bold, Italics and Red font</t>
  </si>
  <si>
    <t>Amend shadow to the text box for the compliance tick or cross</t>
  </si>
  <si>
    <t>Text box prompt for Steps 1-4 i.e. Enter building description, Storey, Classification and Enter description. Amend to Bold, Italics and Green font (both calculators)</t>
  </si>
  <si>
    <t>2.10</t>
  </si>
  <si>
    <t>Correction amendment for the design calculated outcome for Class 1, 2 and 4 buildings.</t>
  </si>
  <si>
    <t>Formatting amendment for the Verandah or Balcony calculated outcome for Class 1, 2 and 4 buildings.</t>
  </si>
  <si>
    <t>Minor editorial amendments.</t>
  </si>
  <si>
    <t>Amend calculator in response to public consultation.</t>
  </si>
  <si>
    <t>Amend the calculations in the Residential Calculator to reflect different lighting zones.</t>
  </si>
  <si>
    <t>Amend adjustment factors in the Residential Calculator in response to changes in NCC 2011.</t>
  </si>
  <si>
    <t>Cell left blank</t>
  </si>
  <si>
    <t>Building Description / Classification Valid</t>
  </si>
  <si>
    <t>Bld descript /  No Class</t>
  </si>
  <si>
    <t>Bld descript / Class / no input</t>
  </si>
  <si>
    <t>Bld descript / No Classification</t>
  </si>
  <si>
    <t>Expanded Allowance</t>
  </si>
  <si>
    <t>2.20:</t>
  </si>
  <si>
    <t>Results in S97:T100 above display in the Allowance and Design</t>
  </si>
  <si>
    <t>Average boxes at the lower right of the visible calculator form.</t>
  </si>
  <si>
    <t>(no dependents)</t>
  </si>
  <si>
    <t>(precedent for tick/cross, conditional formats</t>
  </si>
  <si>
    <t>and % of Allowance Used)</t>
  </si>
  <si>
    <t>(precedent for tick/cross, conditional formats and % of Allowance Used)</t>
  </si>
  <si>
    <t>(precedent for Lighting System Share)</t>
  </si>
  <si>
    <t>(precedent for Pass/Fail tests, conditional formats and % of Allowance Used)</t>
  </si>
  <si>
    <t>Allowance results are precedents for Pass/Fail tests in rows 144</t>
  </si>
  <si>
    <t>to 152 below (columns I and R).</t>
  </si>
  <si>
    <t>No Building description input</t>
  </si>
  <si>
    <t>Formulas</t>
  </si>
  <si>
    <t>Building Descriptn/Classification Valid</t>
  </si>
  <si>
    <t>Lamp or Illumination Power Density</t>
  </si>
  <si>
    <t>System Allowance</t>
  </si>
  <si>
    <t>System Design</t>
  </si>
  <si>
    <t>System Share of % of Aggregate Allowance Used</t>
  </si>
  <si>
    <t>Adjustment Factor One Advice</t>
  </si>
  <si>
    <t>Adjustment Factor Two Advice</t>
  </si>
  <si>
    <t>Minor changes to some table headings and advisory message contents.</t>
  </si>
  <si>
    <t>Aggregate Maximum Illumination power load (AMIPL)</t>
  </si>
  <si>
    <t>AMIPL &gt; ADIPL</t>
  </si>
  <si>
    <t>ADIPL &gt; AMIPL</t>
  </si>
  <si>
    <t>Name: ADIPLone</t>
  </si>
  <si>
    <t>Name: MIPDLONE</t>
  </si>
  <si>
    <t>ADIPL/AMIPL</t>
  </si>
  <si>
    <t>System DIPL</t>
  </si>
  <si>
    <t>System MIPL</t>
  </si>
  <si>
    <t>System Values</t>
  </si>
  <si>
    <t>Name: percentage</t>
  </si>
  <si>
    <t>Percentage of Aggregate Allowance Used</t>
  </si>
  <si>
    <t>ie aggregate Allowance</t>
  </si>
  <si>
    <t>ie aggregate Design Load</t>
  </si>
  <si>
    <t>Kitchen</t>
  </si>
  <si>
    <t>Toilet</t>
  </si>
  <si>
    <t>Amendments to wording and order of some entries on this Help screen.</t>
  </si>
  <si>
    <t>Aggregate Load Does Not Exceed Allowance</t>
  </si>
  <si>
    <t>Precedent for conditional formatting of orange fill below Advisory Message above lighting systems table</t>
  </si>
  <si>
    <t>top row of Allowance and Design Average reporting</t>
  </si>
  <si>
    <t>Maximum Illumination Power Density</t>
  </si>
  <si>
    <t>Adjusted MIPL Room Aspect</t>
  </si>
  <si>
    <t>Adjusted MIPL 1 Including Room Aspect</t>
  </si>
  <si>
    <t>Adjusted MIPL 2</t>
  </si>
  <si>
    <t>Adjusted MIPL 1 &amp; 2</t>
  </si>
  <si>
    <t>Inputs needed</t>
  </si>
  <si>
    <t>DIPL</t>
  </si>
  <si>
    <t>sum of row totals below</t>
  </si>
  <si>
    <t>Input Issues</t>
  </si>
  <si>
    <t>White cell Red text</t>
  </si>
  <si>
    <t>Green cell white text</t>
  </si>
  <si>
    <t>Red cell white text</t>
  </si>
  <si>
    <t>White cell green text</t>
  </si>
  <si>
    <t>First Adjustment Factor inputs</t>
  </si>
  <si>
    <t>Lighting System inputs</t>
  </si>
  <si>
    <t>Second Adjustment Factor inputs</t>
  </si>
  <si>
    <t>Tests that Building name/description and Classification inputs are not blank.</t>
  </si>
  <si>
    <t>No longer has any dependents after changes to AX25</t>
  </si>
  <si>
    <t>May be obsolete (CHECK conditional formats)</t>
  </si>
  <si>
    <t>Advisory Note prefix</t>
  </si>
  <si>
    <t>Lighting System Share of % of Aggregate Allowance Used</t>
  </si>
  <si>
    <t>System Illumination Power Load Allowance</t>
  </si>
  <si>
    <t>W/m²</t>
  </si>
  <si>
    <t>Location OK</t>
  </si>
  <si>
    <t>Cell present in original but has no dependents</t>
  </si>
  <si>
    <t>Tests below were formerly located in consolidated formulae in columns AT-AV</t>
  </si>
  <si>
    <t>Design Lamp or Illumination Power Load</t>
  </si>
  <si>
    <t>Design Load</t>
  </si>
  <si>
    <t>TRUE if two upper inputs are not blank</t>
  </si>
  <si>
    <t>(b) Motion detector</t>
  </si>
  <si>
    <t>(g) Programmable dimming system</t>
  </si>
  <si>
    <t>Control</t>
  </si>
  <si>
    <t>Factor</t>
  </si>
  <si>
    <t>Common list for both calculators</t>
  </si>
  <si>
    <t>Laundry</t>
  </si>
  <si>
    <t>Bedroom</t>
  </si>
  <si>
    <t>Lounge room</t>
  </si>
  <si>
    <r>
      <t>All blue filled cells form a lookup range for Adjustment Factors (</t>
    </r>
    <r>
      <rPr>
        <b/>
        <i/>
        <sz val="10"/>
        <color rgb="FF0000FF"/>
        <rFont val="Arial"/>
        <family val="2"/>
      </rPr>
      <t>Afactors</t>
    </r>
    <r>
      <rPr>
        <i/>
        <sz val="10"/>
        <color rgb="FF0000FF"/>
        <rFont val="Arial"/>
        <family val="2"/>
      </rPr>
      <t>)</t>
    </r>
  </si>
  <si>
    <t>Set value</t>
  </si>
  <si>
    <t>Obsolete–No dependents</t>
  </si>
  <si>
    <t>Named Range: ResClassifications</t>
  </si>
  <si>
    <t>Delete associated Names</t>
  </si>
  <si>
    <t>Blue filled area below contains 3 Named ranges used by both calculators (for ease of maintenance and updating)</t>
  </si>
  <si>
    <t>Row Not Skipped</t>
  </si>
  <si>
    <t xml:space="preserve"> Notes:</t>
  </si>
  <si>
    <t xml:space="preserve"> Perimeter (optional)</t>
  </si>
  <si>
    <t>Ceiling ht (optional)</t>
  </si>
  <si>
    <t xml:space="preserve">Fixed Dimming % </t>
  </si>
  <si>
    <t>Fixed Dimming m²</t>
  </si>
  <si>
    <t>all Lumen data</t>
  </si>
  <si>
    <t>Lumen factor</t>
  </si>
  <si>
    <t>Fixed Dimming %</t>
  </si>
  <si>
    <t>all Fixed data</t>
  </si>
  <si>
    <t>No residual Fixed data</t>
  </si>
  <si>
    <r>
      <t xml:space="preserve">Advice 2 </t>
    </r>
    <r>
      <rPr>
        <i/>
        <sz val="10"/>
        <rFont val="Arial"/>
        <family val="2"/>
      </rPr>
      <t>(not used in this version)</t>
    </r>
  </si>
  <si>
    <r>
      <t xml:space="preserve">General Advisory Note
</t>
    </r>
    <r>
      <rPr>
        <i/>
        <sz val="10"/>
        <color rgb="FF0000FF"/>
        <rFont val="Arial"/>
        <family val="2"/>
      </rPr>
      <t>(Named Range: GeneralAdviceTwo)</t>
    </r>
  </si>
  <si>
    <r>
      <t xml:space="preserve">General Advisory Note
</t>
    </r>
    <r>
      <rPr>
        <i/>
        <sz val="10"/>
        <color rgb="FF0000FF"/>
        <rFont val="Arial"/>
        <family val="2"/>
      </rPr>
      <t>(Named Range: GeneralAdviceOne)</t>
    </r>
    <r>
      <rPr>
        <sz val="10"/>
        <rFont val="Arial"/>
        <family val="2"/>
      </rPr>
      <t xml:space="preserve">
</t>
    </r>
    <r>
      <rPr>
        <i/>
        <sz val="10"/>
        <rFont val="Arial"/>
        <family val="2"/>
      </rPr>
      <t>(provides contents to text box spanning Q18:U18)</t>
    </r>
  </si>
  <si>
    <t>Two Factors Used</t>
  </si>
  <si>
    <t>No residual Lumen data</t>
  </si>
  <si>
    <t>Display Precision</t>
  </si>
  <si>
    <t>White cell red text</t>
  </si>
  <si>
    <t>PassClass1</t>
  </si>
  <si>
    <t>PassBalcony</t>
  </si>
  <si>
    <t>PassClass10</t>
  </si>
  <si>
    <t>FailClass1</t>
  </si>
  <si>
    <t>FailBalcony</t>
  </si>
  <si>
    <t>FailClass10</t>
  </si>
  <si>
    <t>Comparison Precision</t>
  </si>
  <si>
    <t>Design W/m²</t>
  </si>
  <si>
    <t/>
  </si>
  <si>
    <t>Watts</t>
  </si>
  <si>
    <t>Tan cell</t>
  </si>
  <si>
    <t>Percent1</t>
  </si>
  <si>
    <t>PercentBalcony</t>
  </si>
  <si>
    <t>Percent10</t>
  </si>
  <si>
    <t>Class 2 SOU</t>
  </si>
  <si>
    <t>For labels to left of Allowance boxes above</t>
  </si>
  <si>
    <t>If Verandah or balcony used</t>
  </si>
  <si>
    <t>Balconytrue</t>
  </si>
  <si>
    <t>Dynamic range: ValidLocations Two</t>
  </si>
  <si>
    <t>Label for column C</t>
  </si>
  <si>
    <t>Label for column C (conditional)</t>
  </si>
  <si>
    <t>RowsShownOne</t>
  </si>
  <si>
    <t>RowsShownTwo</t>
  </si>
  <si>
    <t>Perimeter of Space is feasible</t>
  </si>
  <si>
    <t>Original note above may be intended to refer to column K</t>
  </si>
  <si>
    <t>(which is hidden) rather than to J (which is not).</t>
  </si>
  <si>
    <t>Carpark - general</t>
  </si>
  <si>
    <t>Office - artificially lit to an ambient level of less than 200 lx</t>
  </si>
  <si>
    <t>Locations</t>
  </si>
  <si>
    <t>Usability improvements including more conditional formatting for missing inputs.</t>
  </si>
  <si>
    <t>PrecisionTwo</t>
  </si>
  <si>
    <t>RowsFilledTwo</t>
  </si>
  <si>
    <t>RowsFilledOne</t>
  </si>
  <si>
    <t>Used for Green/Red conditions above</t>
  </si>
  <si>
    <t>For outcomes heading text and fill colour</t>
  </si>
  <si>
    <t>For Outcomes heading text and fill colour</t>
  </si>
  <si>
    <t>TopInputsOKOne</t>
  </si>
  <si>
    <t>TopInputsOKTwo</t>
  </si>
  <si>
    <t>If data validation messages prevent intended input (particularly in the four columns under the Fixed Dimming Percentages headings), read any error message carefully and click Cancel instead of Retry. Read the input advice and enter a suitable value.</t>
  </si>
  <si>
    <t>The two % values reported in each row of the rightmost column are, firstly, the % contribution of each lighting system to the aggregate result for related systems and, secondly, the % of the aggregate allowance used by those related systems. For related systems, the first % values will always add up to 100%. The second % value will be the same for any of the related systems.</t>
  </si>
  <si>
    <t>New screenshots.</t>
  </si>
  <si>
    <t>The Lighting Calculator is not compatible with Google Docs or similar alternatives to Microsoft Excel.</t>
  </si>
  <si>
    <t>All other lighting provisions, including any exemptions, are determined by the relevant provisions of the NCC.</t>
  </si>
  <si>
    <t>Input issues in each row of the lighting systems table are identified in red font on the right of the row (over the Outcomes area).</t>
  </si>
  <si>
    <t>These Help instructions can be printed (using File | Print) for ready reference while using the calculator forms.</t>
  </si>
  <si>
    <t xml:space="preserve">Each calculator form has been designed for viewing as a whole "page" with 10 rows visible in the lighting systems table when the Excel ribbon is minimised, assuming a screen resolution of 1366 x 768 pixels. At this resolution, the zoom function (located on the top tool bar, under View | Zoom, or at the bottom right hand corner of the Excel window should be set to 80%. </t>
  </si>
  <si>
    <t>Screenshot shows the Residential calculator</t>
  </si>
  <si>
    <t>The outcomes on the right hand side of the calculator form will be displayed with a colour coding which is illustrated on the screenshots sheet. In general, green is used to indicate a Pass and red highlights a Failure.</t>
  </si>
  <si>
    <r>
      <t>Values 1-13 in the first column appear in Data Validation menus for corridors (</t>
    </r>
    <r>
      <rPr>
        <b/>
        <i/>
        <sz val="10"/>
        <color rgb="FF0000FF"/>
        <rFont val="Arial"/>
        <family val="2"/>
      </rPr>
      <t>ValidControlsAll</t>
    </r>
    <r>
      <rPr>
        <i/>
        <sz val="10"/>
        <color rgb="FF0000FF"/>
        <rFont val="Arial"/>
        <family val="2"/>
      </rPr>
      <t>)</t>
    </r>
  </si>
  <si>
    <r>
      <t>Values 2-13 in the first column appear in Data Validation menus for non-corridor spaces (</t>
    </r>
    <r>
      <rPr>
        <b/>
        <i/>
        <sz val="10"/>
        <color rgb="FF0000FF"/>
        <rFont val="Arial"/>
        <family val="2"/>
      </rPr>
      <t>ValidControlsPart</t>
    </r>
    <r>
      <rPr>
        <i/>
        <sz val="10"/>
        <color rgb="FF0000FF"/>
        <rFont val="Arial"/>
        <family val="2"/>
      </rPr>
      <t>)</t>
    </r>
  </si>
  <si>
    <t>See cell comment in Q25 about the zero for value 14.</t>
  </si>
  <si>
    <t>a</t>
  </si>
  <si>
    <t>b</t>
  </si>
  <si>
    <t>c</t>
  </si>
  <si>
    <t>d</t>
  </si>
  <si>
    <t>e</t>
  </si>
  <si>
    <t>f</t>
  </si>
  <si>
    <t>g</t>
  </si>
  <si>
    <t>h</t>
  </si>
  <si>
    <t>i</t>
  </si>
  <si>
    <t>k</t>
  </si>
  <si>
    <t>j</t>
  </si>
  <si>
    <t>l</t>
  </si>
  <si>
    <t>Class</t>
  </si>
  <si>
    <t xml:space="preserve">Residential List </t>
  </si>
  <si>
    <t>Non-Residential List</t>
  </si>
  <si>
    <t>b)Motion detector</t>
  </si>
  <si>
    <t>c)Motion detector</t>
  </si>
  <si>
    <t>l)Daylight sensor and dynamic lighting</t>
  </si>
  <si>
    <t>Usability improvements including alterations to formatting</t>
  </si>
  <si>
    <t>Minor changes to some table headings</t>
  </si>
  <si>
    <t>Minor correction amendments to the adjustment factor selection</t>
  </si>
  <si>
    <t>2.30:</t>
  </si>
  <si>
    <t>Carpark - entry zone (first 15 m of travel) during the daytime</t>
  </si>
  <si>
    <t>Carpark - entry zone (next 4 m of travel) during the daytime</t>
  </si>
  <si>
    <t>Carpark - entry zone (first 20 m of travel) during nighttime</t>
  </si>
  <si>
    <t>Control room, switch room, and the like - intermittent monitoring</t>
  </si>
  <si>
    <t>Control room, switch room, and the like - constant monitoring</t>
  </si>
  <si>
    <t>Health-care - infants' and children's ward and emergency department</t>
  </si>
  <si>
    <t>Health-care - examination room in intensive care and high dependency ward</t>
  </si>
  <si>
    <t>Health-care - all patient care areas including wards and corridors</t>
  </si>
  <si>
    <t>Lounge area for communal use in a Class 3 building or Class 9c building</t>
  </si>
  <si>
    <t>Plant room where an average of 160 lx vertical illuminance is required on a vertical panel such as in switch rooms</t>
  </si>
  <si>
    <t>Plant rooms with a horizontal illuminance target of 80 lx</t>
  </si>
  <si>
    <t>Sole-occupancy unit of a Class 3 or 9c building</t>
  </si>
  <si>
    <t>Storage</t>
  </si>
  <si>
    <t>Wholesale storage area with a vertical illuminance target of 160 lx</t>
  </si>
  <si>
    <t>Stairways, including fire-isolated stairways</t>
  </si>
  <si>
    <t>Lift cars</t>
  </si>
  <si>
    <t>An illuminance more than 400 lx to 600 lx</t>
  </si>
  <si>
    <t>An illuminance more than 600 lx to 800 lx</t>
  </si>
  <si>
    <t>In a toilet or change room, other than a public toilet, in a Class 6 building</t>
  </si>
  <si>
    <r>
      <t>(d)</t>
    </r>
    <r>
      <rPr>
        <sz val="10"/>
        <rFont val="Arial"/>
        <family val="2"/>
      </rPr>
      <t/>
    </r>
  </si>
  <si>
    <t>Where not less than 75% of the area is controlled by programmable dimmers</t>
  </si>
  <si>
    <t>Fixed dimming (Notes 2 and 3)</t>
  </si>
  <si>
    <t>(e)</t>
  </si>
  <si>
    <t>All fittings with fixed dimming</t>
  </si>
  <si>
    <t>Lumen depreciation dimming (Note 2)</t>
  </si>
  <si>
    <t>All fittings with lumen depreciation dimming</t>
  </si>
  <si>
    <t>Two stage sensor - equipped lights with minimum power of 30% of peak power or less</t>
  </si>
  <si>
    <t>Fire stairs and other spaces not used for regular transit</t>
  </si>
  <si>
    <t>Transitory spaces in regular use or in a carpark</t>
  </si>
  <si>
    <t>Daylight sensor and dynamic lighting control device - dimmed or stepped switching of lights adjacent windows (Notes 2 and 4)</t>
  </si>
  <si>
    <t>(j)</t>
  </si>
  <si>
    <t>Serving a Class 3 or 9c building, or a Class 9a ward area, where the lights are adjacent windows, other than roof lights, for a distance from the window equal to the depth of the floor to window head height</t>
  </si>
  <si>
    <t>In a Class 5, 6, 7, 8 or 9b building or a Class 9a building, other than a ward area, where the lights are adjacent roof lights.</t>
  </si>
  <si>
    <t>(l)</t>
  </si>
  <si>
    <t>In a Class 3 or 9c building, or a Class 9a ward area, where the lights are adjacent roof lights</t>
  </si>
  <si>
    <t>A maximum of two illumination power density adjustment factors for a control device can be applied to an area.
Where more than one illumination power density adjustment factor (other than for room aspect) apply to an area,
they are to be combined using the following formula:</t>
  </si>
  <si>
    <t>A x (B + [(1 - B) / 2]),
where—
a. A is the lowest applicable illumination power density adjustment factor; and
b. B is the second lowest applicable illumination power density adjustment factor.</t>
  </si>
  <si>
    <t>The adjustment factor does not apply to tungsten, halogen or other incandescent sources.</t>
  </si>
  <si>
    <t>Includes luminaires with a pre-programmed function which provides dimming from ON to OFF (one-stage dimming).</t>
  </si>
  <si>
    <t xml:space="preserve">The illumination power density adjustment factor is only applied to lights controlled by daylight sensors between
8:00am and 7:00pm.
</t>
  </si>
  <si>
    <t>Light source with CRI ≥ 90</t>
  </si>
  <si>
    <t>Where lighting with good colour rendering is used</t>
  </si>
  <si>
    <t>Where lighting with a warm appearance is used</t>
  </si>
  <si>
    <t>Light source with CCT ≥ 4500 K</t>
  </si>
  <si>
    <t>Where lighting with a cool appearance is used</t>
  </si>
  <si>
    <t>Includes luminaires that can adjust their CCT to 3500 K or below.</t>
  </si>
  <si>
    <t>Light Source</t>
  </si>
  <si>
    <t>a)Motion detector</t>
  </si>
  <si>
    <t>d)Programmable dimming system</t>
  </si>
  <si>
    <t>e)Fixed dimming</t>
  </si>
  <si>
    <t>f)Lumen depreciation dimming</t>
  </si>
  <si>
    <t>g)Two stage sensor</t>
  </si>
  <si>
    <t>h)Two stage sensor</t>
  </si>
  <si>
    <t>i)Daylight sensor and dynamic lighting</t>
  </si>
  <si>
    <t>j)Daylight sensor and dynamic lighting</t>
  </si>
  <si>
    <t>k)Daylight sensor and dynamic lighting</t>
  </si>
  <si>
    <t>One row removed here to suit 2019 number of factors</t>
  </si>
  <si>
    <t>Class check list for Daylight Sensor and Dynamic Lighting</t>
  </si>
  <si>
    <t>Class 7</t>
  </si>
  <si>
    <t>In a Class 5, 6, 7, 8 or 9b building or a class 9a building, other than a ward area, where the lights are adjacent windows, other than roof lights, for a distance from the window equal to the depth of the floor to window head height</t>
  </si>
  <si>
    <t>Class 3, 9c or 9a ward</t>
  </si>
  <si>
    <t>Dimming % Area</t>
  </si>
  <si>
    <t>Illuminance Turndown</t>
  </si>
  <si>
    <t>a) CRI ≥ 90</t>
  </si>
  <si>
    <t>b) CCT ≤ 3500 K</t>
  </si>
  <si>
    <t>c) CCT ≥ 4500 K</t>
  </si>
  <si>
    <t>Adjustment factors for light colour (only applicable to Class 3,5-9)</t>
  </si>
  <si>
    <t>Adjusted MIPL Room Aspect &amp; Lighting Colour</t>
  </si>
  <si>
    <t xml:space="preserve"> Note:</t>
  </si>
  <si>
    <t>Light source with CCT ≤ 3500 K
(Note 1)</t>
  </si>
  <si>
    <t>Whichever is greater of: 
(a) 0.5; or 
(b) 0.2+0.8L where L= the illuminance turndown for the fixed dimming.</t>
  </si>
  <si>
    <t>Volume One Adjustment Factors List</t>
  </si>
  <si>
    <t>ILLUMINATION POWER DENSITY ADJUSTMENT FACTOR FOR A CONTROL DEVICE (VOLUME ONE)</t>
  </si>
  <si>
    <t>a)Lighting timer (corridor)</t>
  </si>
  <si>
    <t>d)Motion detector</t>
  </si>
  <si>
    <t>e)Manual dimming system</t>
  </si>
  <si>
    <t>Volume Two Adjustment Factors List</t>
  </si>
  <si>
    <t>f)Programmable dimming system</t>
  </si>
  <si>
    <t>g)Dynamic dimming system (fluoros)</t>
  </si>
  <si>
    <t>h)Dynamic dimming system (discharge)</t>
  </si>
  <si>
    <t>i)Additional lumen depreciation factor</t>
  </si>
  <si>
    <t>j)Fixed dimming</t>
  </si>
  <si>
    <t>Volume Two?</t>
  </si>
  <si>
    <t>Adjustment 1 inputs OK (Volume One)</t>
  </si>
  <si>
    <t>Fixed Dimming @ Illuminance Factor</t>
  </si>
  <si>
    <t>Illuminance Factor @ Fixed Dimming</t>
  </si>
  <si>
    <t>NA Check</t>
  </si>
  <si>
    <t>Depreciation Factor @ Design LPF</t>
  </si>
  <si>
    <t>Design LDF @ Additional LDF</t>
  </si>
  <si>
    <t>Fixed Dimming % Without Fixed Dimming Selected</t>
  </si>
  <si>
    <t>Valid Adjustment Factor</t>
  </si>
  <si>
    <t>IMPORTANT NOTICE AND DISCLAIMER IN RESPECT OF THIS LIGHTING CALCULATOR</t>
  </si>
  <si>
    <t>3.00:</t>
  </si>
  <si>
    <t>Separation between adjustment factors in Volume One and Volume Two added, with separate reference tables to reflect the provisions of 2019</t>
  </si>
  <si>
    <t>Correct input checks updated to suit new requirements for 2019 Volume One adjustment factors</t>
  </si>
  <si>
    <t>Help and Screenshots updated to reflect changes</t>
  </si>
  <si>
    <t>New protection and passwords</t>
  </si>
  <si>
    <t>The Lighting Calculator has been developed in the Windows ® version of Microsoft Excel ®. This file, in the .xlsx format, is suitable for use in the 2010 and later versions of Excel for Windows.</t>
  </si>
  <si>
    <t>The Lighting Calculator is not compatible with Microsoft Excel 2003 or earlier, while substantial data validation issues may be encountered using Microsoft Excel 2007.</t>
  </si>
  <si>
    <t>W/m2</t>
  </si>
  <si>
    <t>1680 lux</t>
  </si>
  <si>
    <t>Designed Lux Level</t>
  </si>
  <si>
    <t>Recommended Lux Level</t>
  </si>
  <si>
    <t>Illuminance</t>
  </si>
  <si>
    <t>If Class 2 or 4 building used</t>
  </si>
  <si>
    <t>DELETE ME</t>
  </si>
  <si>
    <t>These columns do not represent a requirement of the NCC and are suggestions only</t>
  </si>
  <si>
    <t>Light Colour Adjustment Factor One</t>
  </si>
  <si>
    <t>Light Colour Adjustment Factor Two</t>
  </si>
  <si>
    <t>Light Colour Adjustment Factor 1</t>
  </si>
  <si>
    <t>Light Colour Adjustment Factor 2</t>
  </si>
  <si>
    <t>Combined Light Colour Adjustment Factor</t>
  </si>
  <si>
    <t>Total Light Colour Adjustment Factor</t>
  </si>
  <si>
    <t>Colour Factor Inputs</t>
  </si>
  <si>
    <t>Only Second Factor Entered</t>
  </si>
  <si>
    <t>Factors Contradict</t>
  </si>
  <si>
    <t>Calculator</t>
  </si>
  <si>
    <t>ILLUMINATION POWER DENSITY ADJUSTMENT FACTOR FOR A CONTROL DEVICE</t>
  </si>
  <si>
    <t>Light Colour Adjustment Factors</t>
  </si>
  <si>
    <t>Input</t>
  </si>
  <si>
    <t>Calculated</t>
  </si>
  <si>
    <t>N/A</t>
  </si>
  <si>
    <t>Gold</t>
  </si>
  <si>
    <t>White</t>
  </si>
  <si>
    <t>Grey</t>
  </si>
  <si>
    <t>Green</t>
  </si>
  <si>
    <t>Red</t>
  </si>
  <si>
    <t>Tips for using the Lighting Calculator (NCC Volume One)</t>
  </si>
  <si>
    <t>This version of the Lighting Calculator was first issued for use with Part J6.2 Artificial lighting in Volume One of NCC 2019. Updates to this file may be available from the ABCB website from time to time. The file name will include the version number. The latest version should always be used.</t>
  </si>
  <si>
    <t>Operating system</t>
  </si>
  <si>
    <t xml:space="preserve">When opening the Calculator, the first screen will provide six navigation options which are explained in notes 9 to 15 below.
</t>
  </si>
  <si>
    <t>Users can change the number of rows in the table by using the arrow to the left of the 'ID' heading near the top left of the lighting systems table. First set the number of rows preferred in the input cell immediately above the table. (Up to 40 rows can be displayed for this Residential Calculator and 500 rows for the Non-residential Calculator.) Then click the arrow and select that number in the drop down list which opens. (The number set will be the only number shown in the list.)</t>
  </si>
  <si>
    <t>Displaying the calculator forms</t>
  </si>
  <si>
    <t>Adding and changing lighting details</t>
  </si>
  <si>
    <t>The calculator is designed to accept inputs made in sequence. Error and Alert messages, as discussed below, may not work effectively if the designed sequence is not followed. If input restrictions or errors occur, start from the beginning by entering the description of the building, then its classification and the number of table rows preferred. Next, input the lighting systems, one row at a time, filling in all of the columns except for:</t>
  </si>
  <si>
    <t>the perimeter of the space and floor-to-ceiling height, if the Room Aspect Ratio (RAR) is not going to be used; and the Adjustment Factor columns, if only one or no adjustment factor is going to be used.</t>
  </si>
  <si>
    <t>Error and alert messages</t>
  </si>
  <si>
    <t>In the non-residential calculator, a warning will display when a "Perimeter of space" input is smaller than the smallest geometrically feasible dimension. The user can choose to proceed but the number will be shown in red bold font to indicate that it needs to be verified.</t>
  </si>
  <si>
    <t>Outcomes reporting</t>
  </si>
  <si>
    <t>Calculator outcomes resulting in a "tick" are valid only if all of the input details comply with relevant NCC Deemed-to-Satisfy (DTS) Provisions.</t>
  </si>
  <si>
    <t>Printing</t>
  </si>
  <si>
    <t>The print area has been pre-set to allow printing as one or more A4 pages (landscape format), depending on the number of rows displayed in the form. Some margins may need adjustment to suit some printers (particularly inkjets).</t>
  </si>
  <si>
    <t>Updated to reflect changes to the NCC 2019 and separate the Volume One and Volume Two Lighting Calculators</t>
  </si>
  <si>
    <t>Maximum rows increased to 500 for Non-residential Calculator</t>
  </si>
  <si>
    <t>Styling updates</t>
  </si>
  <si>
    <t>Added guidance encouraging JV3 or Performance Solutions</t>
  </si>
  <si>
    <t>Added designed lux level and recommended lux level within an 'unregulated by the NCC' section to encourage users to consideer appropriate lighting levels</t>
  </si>
  <si>
    <t>Correction amendments for outcome reporting in both the Residential and Non-residential Calculators, including conditional formatting changes.</t>
  </si>
  <si>
    <t>Correction of calculation for fixed dimming used as a second adjustment factor in the Residential Calculator.</t>
  </si>
  <si>
    <t>Removal of the 'Storey' identifier from both the Residential and Non-residential Calculators.</t>
  </si>
  <si>
    <t>Screenshot shows the Non-residential calculator</t>
  </si>
  <si>
    <t>Screenshot shows the Residential calculator. Scroll down for the Non-residential calculator.</t>
  </si>
  <si>
    <t>Screenshot shows the Non-residential calculator.</t>
  </si>
  <si>
    <t>Not Satisfied</t>
  </si>
  <si>
    <t>Satisfied</t>
  </si>
  <si>
    <t>The Australian Building Codes Board (ABCB) would like to acknowledge and thank the practitioners, industry bodies and government agencies who assisted in the development of the Lighting Calculator. This assistance has helped refine the Calculator, improving its functionality and user interface.</t>
  </si>
  <si>
    <t>3.10:</t>
  </si>
  <si>
    <t>For public release</t>
  </si>
  <si>
    <t xml:space="preserve">Resolved font size issue </t>
  </si>
  <si>
    <t>Class 5, 6, 7, 8, 9b, or 9a other than a ward area</t>
  </si>
  <si>
    <t>3.11:</t>
  </si>
  <si>
    <t>Resolved error where Class 7a and Class 7b buildings weren't being allowed to use daylight sensor adjustment factors</t>
  </si>
  <si>
    <r>
      <t>Co</t>
    </r>
    <r>
      <rPr>
        <b/>
        <sz val="14"/>
        <color theme="0"/>
        <rFont val="Inter"/>
        <family val="2"/>
      </rPr>
      <t>lour Guid</t>
    </r>
    <r>
      <rPr>
        <b/>
        <sz val="14"/>
        <color theme="0"/>
        <rFont val="Arial"/>
        <family val="2"/>
      </rPr>
      <t>e</t>
    </r>
  </si>
  <si>
    <r>
      <t>Residential Lighting Calculator for Class 2 SOUs and Class 4 parts:</t>
    </r>
    <r>
      <rPr>
        <sz val="12"/>
        <rFont val="Inter"/>
        <family val="2"/>
      </rPr>
      <t xml:space="preserve">
This calculator can be used with NCC Volume One, for a sole-occupancy unit (SOU) of a Class 2 building or for a Class 4 part of a building.
</t>
    </r>
  </si>
  <si>
    <r>
      <t xml:space="preserve">Non-residential Lighting Calculator for Class 3 and 5-9 buildings:
</t>
    </r>
    <r>
      <rPr>
        <sz val="12"/>
        <rFont val="Inter"/>
        <family val="2"/>
      </rPr>
      <t xml:space="preserve">This calculator can be used for buildings of Class 3 and 5-9 buildings and for the common areas of a Class 2 building. It cannot be used for Class 2 SOUs or for a Class 4 part of a building.
</t>
    </r>
  </si>
  <si>
    <r>
      <t xml:space="preserve">Multiple Lighting Systems Calculator:
</t>
    </r>
    <r>
      <rPr>
        <sz val="12"/>
        <rFont val="Inter"/>
        <family val="2"/>
      </rPr>
      <t xml:space="preserve">Use this calculation sheet to calculate the illumination power load when multiple lighting systems serve the same space.
</t>
    </r>
  </si>
  <si>
    <r>
      <t xml:space="preserve">Help screen:
</t>
    </r>
    <r>
      <rPr>
        <sz val="12"/>
        <rFont val="Inter"/>
        <family val="2"/>
      </rPr>
      <t xml:space="preserve">This option navigates to this page with its tips for using the calculator and links to screenshots with explanatory notes.
</t>
    </r>
  </si>
  <si>
    <r>
      <t xml:space="preserve">Worksheet:
</t>
    </r>
    <r>
      <rPr>
        <sz val="12"/>
        <rFont val="Inter"/>
        <family val="2"/>
      </rPr>
      <t xml:space="preserve">The worksheet has been made available to record notes or to make other calculations. The use of the worksheet is optional and responsibility for its contents and consequences remains entirely with the user
</t>
    </r>
  </si>
  <si>
    <r>
      <rPr>
        <b/>
        <sz val="12"/>
        <rFont val="Inter"/>
        <family val="2"/>
      </rPr>
      <t>Additional Information:</t>
    </r>
    <r>
      <rPr>
        <sz val="12"/>
        <rFont val="Inter"/>
        <family val="2"/>
      </rPr>
      <t xml:space="preserve">
Additional information is provided in a table beyond the right hand side of each calculator. This is for information only and is intended to offer the user a greater understanding of the figures involved in producing the final outcome values. The values relate to the individual rows of the related calculator but the information is not designed to be printed out.  </t>
    </r>
  </si>
  <si>
    <t>3.12:</t>
  </si>
  <si>
    <t>1. Enter building name and description below - identiying the particular part(s) covered by this assessment.</t>
  </si>
  <si>
    <r>
      <t xml:space="preserve">Lamp / Illumination Power Density Allowance
</t>
    </r>
    <r>
      <rPr>
        <sz val="14"/>
        <color theme="0"/>
        <rFont val="Inter"/>
        <family val="2"/>
      </rPr>
      <t>(prior to use of any Adjustment Factors)</t>
    </r>
  </si>
  <si>
    <r>
      <t xml:space="preserve">Lamp / Illumination Power Density Allowance
</t>
    </r>
    <r>
      <rPr>
        <sz val="14"/>
        <color theme="0"/>
        <rFont val="Inter"/>
        <family val="2"/>
      </rPr>
      <t>(after use of any Adjustment Factors)</t>
    </r>
  </si>
  <si>
    <r>
      <t>A</t>
    </r>
    <r>
      <rPr>
        <sz val="12"/>
        <color theme="0"/>
        <rFont val="Inter"/>
        <family val="2"/>
      </rPr>
      <t>djustment Factor One</t>
    </r>
  </si>
  <si>
    <r>
      <t>Maximum Illumination Power Load
(</t>
    </r>
    <r>
      <rPr>
        <b/>
        <i/>
        <sz val="14"/>
        <color theme="0"/>
        <rFont val="Inter"/>
        <family val="2"/>
      </rPr>
      <t>prior to use of any Adjustment Factors</t>
    </r>
    <r>
      <rPr>
        <b/>
        <sz val="14"/>
        <color theme="0"/>
        <rFont val="Inter"/>
        <family val="2"/>
      </rPr>
      <t>)</t>
    </r>
  </si>
  <si>
    <r>
      <t>Maximum Illumination Power Load
(</t>
    </r>
    <r>
      <rPr>
        <b/>
        <i/>
        <sz val="14"/>
        <color theme="0"/>
        <rFont val="Inter"/>
        <family val="2"/>
      </rPr>
      <t>after use of any Adjustment Factors</t>
    </r>
    <r>
      <rPr>
        <b/>
        <sz val="14"/>
        <color theme="0"/>
        <rFont val="Inter"/>
        <family val="2"/>
      </rPr>
      <t>)</t>
    </r>
  </si>
  <si>
    <r>
      <t>Where a group of light fittings serving less than 100 m</t>
    </r>
    <r>
      <rPr>
        <vertAlign val="superscript"/>
        <sz val="14"/>
        <rFont val="Inter"/>
        <family val="2"/>
      </rPr>
      <t>2</t>
    </r>
    <r>
      <rPr>
        <sz val="14"/>
        <rFont val="Inter"/>
        <family val="2"/>
      </rPr>
      <t xml:space="preserve"> is controlled by one or more detectors</t>
    </r>
  </si>
  <si>
    <r>
      <t>Where a group of light fittings serving 100 m</t>
    </r>
    <r>
      <rPr>
        <vertAlign val="superscript"/>
        <sz val="14"/>
        <rFont val="Inter"/>
        <family val="2"/>
      </rPr>
      <t>2</t>
    </r>
    <r>
      <rPr>
        <sz val="14"/>
        <rFont val="Inter"/>
        <family val="2"/>
      </rPr>
      <t xml:space="preserve"> or more is controlled by one or more detectors</t>
    </r>
  </si>
  <si>
    <t>Illumination power density adjustment factor for light colour</t>
  </si>
  <si>
    <r>
      <t xml:space="preserve">Enter this value into the </t>
    </r>
    <r>
      <rPr>
        <b/>
        <sz val="14"/>
        <color theme="0"/>
        <rFont val="Inter"/>
        <family val="2"/>
      </rPr>
      <t>Design Illumination Power Load</t>
    </r>
    <r>
      <rPr>
        <sz val="14"/>
        <color theme="0"/>
        <rFont val="Inter"/>
        <family val="2"/>
      </rPr>
      <t xml:space="preserve"> column of the non-residential building worksheet</t>
    </r>
  </si>
  <si>
    <t>Calculator version (3.12)</t>
  </si>
  <si>
    <t>The Lighting Calculator applies only to the following provisions in Volume One: J6.2(a)(i)(iii) and J6.2(b)(i) to (iii).</t>
  </si>
  <si>
    <r>
      <t xml:space="preserve">Illumination Power Density Adjustment Factors for a Control Device:
</t>
    </r>
    <r>
      <rPr>
        <sz val="12"/>
        <rFont val="Inter"/>
        <family val="2"/>
      </rPr>
      <t xml:space="preserve">Both calculators provide links to this screen, which outlines the information contained in Table J6.2b and Table J6.2c of NCC Volume One.  When using this screen, it is important to note the letter located on the left hand side of each adjustment factor because this letter is used to identify adjustment factors in the drop down menus provided by the calculators. 
</t>
    </r>
  </si>
  <si>
    <t>For additional information on the formula refer to J6.2(b)(iii) of the National Construction Code Volume One</t>
  </si>
  <si>
    <t>Resolved error for lighting adjustment factor not being used in all cases in Class 3, 5-9 non-residential calculator. Minor formatting and branding adjustments have also been made.</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</si>
</sst>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_-;\-* #,##0.00_-;_-* &quot;-&quot;??_-;_-@_-"/>
    <numFmt numFmtId="164" formatCode="0.000"/>
    <numFmt numFmtId="165" formatCode="0.0"/>
    <numFmt numFmtId="166" formatCode="#,##0.0&quot; m&quot;"/>
    <numFmt numFmtId="167" formatCode="0.0%"/>
    <numFmt numFmtId="168" formatCode="#,##0.0&quot; m²&quot;"/>
    <numFmt numFmtId="169" formatCode="0_ ;[Red]\-0\ "/>
    <numFmt numFmtId="170" formatCode="#\ \W"/>
    <numFmt numFmtId="171" formatCode="#,##0.0\ \W"/>
    <numFmt numFmtId="172" formatCode="#,##0&quot; m&quot;"/>
    <numFmt numFmtId="173" formatCode="0\ \W"/>
    <numFmt numFmtId="174" formatCode="0."/>
    <numFmt numFmtId="175" formatCode="#,###\ \W"/>
    <numFmt numFmtId="176" formatCode="#."/>
    <numFmt numFmtId="177" formatCode="[$-F400]h:mm:ss\ AM/PM"/>
    <numFmt numFmtId="178" formatCode="0.0\ &quot;W/m²&quot;"/>
    <numFmt numFmtId="179" formatCode="#,##0.00\ &quot;W/m²&quot;"/>
    <numFmt numFmtId="180" formatCode="0.00\ &quot;W/m²&quot;"/>
    <numFmt numFmtId="181" formatCode="0.000%"/>
    <numFmt numFmtId="182" formatCode="#,##0.0&quot; W/m²&quot;"/>
    <numFmt numFmtId="183" formatCode="General&quot; W/m²&quot;"/>
    <numFmt numFmtId="184" formatCode="General&quot; W&quot;"/>
    <numFmt numFmtId="185" formatCode="General;;"/>
    <numFmt numFmtId="186" formatCode="0.00;;"/>
    <numFmt numFmtId="187" formatCode="#,##0.0\ &quot;W/m²&quot;"/>
  </numFmts>
  <fonts count="91" x14ac:knownFonts="1">
    <font>
      <sz val="10"/>
      <name val="Arial"/>
    </font>
    <font>
      <sz val="10"/>
      <color theme="1"/>
      <name val="Arial"/>
      <family val="2"/>
    </font>
    <font>
      <sz val="10"/>
      <name val="Arial"/>
      <family val="2"/>
    </font>
    <font>
      <sz val="8"/>
      <name val="Arial"/>
      <family val="2"/>
    </font>
    <font>
      <i/>
      <sz val="10"/>
      <name val="Arial"/>
      <family val="2"/>
    </font>
    <font>
      <sz val="10"/>
      <name val="Arial"/>
      <family val="2"/>
    </font>
    <font>
      <sz val="18"/>
      <name val="Arial"/>
      <family val="2"/>
    </font>
    <font>
      <b/>
      <sz val="16"/>
      <name val="Arial"/>
      <family val="2"/>
    </font>
    <font>
      <sz val="12"/>
      <name val="Arial"/>
      <family val="2"/>
    </font>
    <font>
      <b/>
      <sz val="10"/>
      <name val="Arial"/>
      <family val="2"/>
    </font>
    <font>
      <sz val="8"/>
      <color indexed="81"/>
      <name val="Tahoma"/>
      <family val="2"/>
    </font>
    <font>
      <b/>
      <sz val="8"/>
      <color indexed="81"/>
      <name val="Tahoma"/>
      <family val="2"/>
    </font>
    <font>
      <sz val="10"/>
      <color indexed="9"/>
      <name val="Arial"/>
      <family val="2"/>
    </font>
    <font>
      <sz val="10"/>
      <color indexed="22"/>
      <name val="Arial"/>
      <family val="2"/>
    </font>
    <font>
      <b/>
      <sz val="12"/>
      <name val="Arial"/>
      <family val="2"/>
    </font>
    <font>
      <sz val="12"/>
      <name val="Arial"/>
      <family val="2"/>
    </font>
    <font>
      <i/>
      <sz val="12.2"/>
      <name val="Arial"/>
      <family val="2"/>
    </font>
    <font>
      <sz val="10"/>
      <color indexed="8"/>
      <name val="Arial"/>
      <family val="2"/>
    </font>
    <font>
      <sz val="14"/>
      <color indexed="9"/>
      <name val="Arial"/>
      <family val="2"/>
    </font>
    <font>
      <b/>
      <u/>
      <sz val="10"/>
      <name val="Arial"/>
      <family val="2"/>
    </font>
    <font>
      <b/>
      <u/>
      <sz val="10"/>
      <name val="Arial"/>
      <family val="2"/>
    </font>
    <font>
      <sz val="11.5"/>
      <name val="Arial"/>
      <family val="2"/>
    </font>
    <font>
      <sz val="9"/>
      <color indexed="81"/>
      <name val="Tahoma"/>
      <family val="2"/>
    </font>
    <font>
      <b/>
      <sz val="9"/>
      <color indexed="81"/>
      <name val="Tahoma"/>
      <family val="2"/>
    </font>
    <font>
      <sz val="9"/>
      <name val="Arial"/>
      <family val="2"/>
    </font>
    <font>
      <u/>
      <sz val="10"/>
      <color theme="10"/>
      <name val="Arial"/>
      <family val="2"/>
    </font>
    <font>
      <u/>
      <sz val="10"/>
      <color theme="11"/>
      <name val="Arial"/>
      <family val="2"/>
    </font>
    <font>
      <i/>
      <sz val="10"/>
      <color rgb="FF0000FF"/>
      <name val="Arial"/>
      <family val="2"/>
    </font>
    <font>
      <sz val="10"/>
      <color rgb="FFFF0000"/>
      <name val="Arial"/>
      <family val="2"/>
    </font>
    <font>
      <sz val="10"/>
      <color rgb="FF0000FF"/>
      <name val="Arial"/>
      <family val="2"/>
    </font>
    <font>
      <sz val="10"/>
      <color theme="1" tint="0.499984740745262"/>
      <name val="Arial"/>
      <family val="2"/>
    </font>
    <font>
      <sz val="10"/>
      <color theme="0"/>
      <name val="Arial"/>
      <family val="2"/>
    </font>
    <font>
      <b/>
      <sz val="8"/>
      <name val="Arial"/>
      <family val="2"/>
    </font>
    <font>
      <b/>
      <i/>
      <sz val="10"/>
      <color theme="1" tint="0.499984740745262"/>
      <name val="Arial"/>
      <family val="2"/>
    </font>
    <font>
      <b/>
      <i/>
      <sz val="10"/>
      <color theme="0"/>
      <name val="Arial"/>
      <family val="2"/>
    </font>
    <font>
      <b/>
      <sz val="10"/>
      <color theme="1" tint="0.499984740745262"/>
      <name val="Arial"/>
      <family val="2"/>
    </font>
    <font>
      <b/>
      <sz val="10"/>
      <color rgb="FF0000FF"/>
      <name val="Arial"/>
      <family val="2"/>
    </font>
    <font>
      <b/>
      <i/>
      <sz val="10"/>
      <color rgb="FF0000FF"/>
      <name val="Arial"/>
      <family val="2"/>
    </font>
    <font>
      <sz val="10"/>
      <name val="Arial"/>
      <family val="2"/>
    </font>
    <font>
      <b/>
      <sz val="6"/>
      <color indexed="9"/>
      <name val="Arial"/>
      <family val="2"/>
    </font>
    <font>
      <sz val="6"/>
      <color indexed="9"/>
      <name val="Arial"/>
      <family val="2"/>
    </font>
    <font>
      <sz val="6"/>
      <name val="Arial"/>
      <family val="2"/>
    </font>
    <font>
      <sz val="11"/>
      <name val="Calibri"/>
      <family val="2"/>
    </font>
    <font>
      <b/>
      <sz val="9"/>
      <name val="Arial"/>
      <family val="2"/>
    </font>
    <font>
      <b/>
      <sz val="10"/>
      <color theme="0"/>
      <name val="Arial"/>
      <family val="2"/>
    </font>
    <font>
      <b/>
      <sz val="8"/>
      <color theme="0"/>
      <name val="Arial"/>
      <family val="2"/>
    </font>
    <font>
      <sz val="11"/>
      <color theme="1"/>
      <name val="Arial"/>
      <family val="2"/>
    </font>
    <font>
      <b/>
      <sz val="8"/>
      <color theme="1"/>
      <name val="Arial"/>
      <family val="2"/>
    </font>
    <font>
      <sz val="8"/>
      <color theme="1"/>
      <name val="Arial"/>
      <family val="2"/>
    </font>
    <font>
      <b/>
      <sz val="12"/>
      <color indexed="23"/>
      <name val="Arial"/>
      <family val="2"/>
    </font>
    <font>
      <sz val="14"/>
      <name val="Arial"/>
      <family val="2"/>
    </font>
    <font>
      <b/>
      <sz val="14"/>
      <name val="Arial"/>
      <family val="2"/>
    </font>
    <font>
      <sz val="14"/>
      <color theme="0"/>
      <name val="Arial"/>
      <family val="2"/>
    </font>
    <font>
      <b/>
      <sz val="14"/>
      <color theme="0"/>
      <name val="Arial"/>
      <family val="2"/>
    </font>
    <font>
      <i/>
      <sz val="14"/>
      <name val="Arial"/>
      <family val="2"/>
    </font>
    <font>
      <b/>
      <i/>
      <sz val="14"/>
      <name val="Arial"/>
      <family val="2"/>
    </font>
    <font>
      <sz val="14"/>
      <color indexed="22"/>
      <name val="Arial"/>
      <family val="2"/>
    </font>
    <font>
      <b/>
      <i/>
      <sz val="14"/>
      <color indexed="10"/>
      <name val="Arial"/>
      <family val="2"/>
    </font>
    <font>
      <sz val="14"/>
      <color rgb="FFC7CBCE"/>
      <name val="Arial"/>
      <family val="2"/>
    </font>
    <font>
      <i/>
      <sz val="14"/>
      <color theme="0"/>
      <name val="Arial"/>
      <family val="2"/>
    </font>
    <font>
      <b/>
      <sz val="75"/>
      <color indexed="23"/>
      <name val="Wingdings"/>
      <charset val="2"/>
    </font>
    <font>
      <b/>
      <sz val="14"/>
      <color theme="1"/>
      <name val="Arial"/>
      <family val="2"/>
    </font>
    <font>
      <i/>
      <sz val="14"/>
      <color theme="1"/>
      <name val="Arial"/>
      <family val="2"/>
    </font>
    <font>
      <sz val="14"/>
      <color theme="1"/>
      <name val="Arial"/>
      <family val="2"/>
    </font>
    <font>
      <i/>
      <sz val="16"/>
      <color theme="1"/>
      <name val="Arial"/>
      <family val="2"/>
    </font>
    <font>
      <b/>
      <sz val="14"/>
      <color theme="0"/>
      <name val="Inter"/>
      <family val="2"/>
    </font>
    <font>
      <sz val="14"/>
      <color theme="1"/>
      <name val="Inter"/>
      <family val="2"/>
    </font>
    <font>
      <b/>
      <sz val="14"/>
      <name val="Inter"/>
      <family val="2"/>
    </font>
    <font>
      <sz val="14"/>
      <name val="Inter"/>
      <family val="2"/>
    </font>
    <font>
      <sz val="10"/>
      <name val="Inter"/>
      <family val="2"/>
    </font>
    <font>
      <sz val="12"/>
      <color indexed="23"/>
      <name val="Inter"/>
      <family val="2"/>
    </font>
    <font>
      <sz val="12"/>
      <name val="Inter"/>
      <family val="2"/>
    </font>
    <font>
      <b/>
      <sz val="12"/>
      <name val="Inter"/>
      <family val="2"/>
    </font>
    <font>
      <b/>
      <sz val="10"/>
      <name val="Inter"/>
      <family val="2"/>
    </font>
    <font>
      <b/>
      <sz val="16"/>
      <color theme="0"/>
      <name val="Inter"/>
      <family val="2"/>
    </font>
    <font>
      <sz val="14"/>
      <color theme="0"/>
      <name val="Inter"/>
      <family val="2"/>
    </font>
    <font>
      <sz val="10"/>
      <color theme="0"/>
      <name val="Inter"/>
      <family val="2"/>
    </font>
    <font>
      <b/>
      <i/>
      <sz val="14"/>
      <color theme="0"/>
      <name val="Inter"/>
      <family val="2"/>
    </font>
    <font>
      <sz val="12"/>
      <color theme="0"/>
      <name val="Inter"/>
      <family val="2"/>
    </font>
    <font>
      <b/>
      <sz val="10"/>
      <color theme="0"/>
      <name val="Inter"/>
      <family val="2"/>
    </font>
    <font>
      <b/>
      <sz val="8"/>
      <color theme="1"/>
      <name val="Inter"/>
      <family val="2"/>
    </font>
    <font>
      <b/>
      <sz val="6"/>
      <color indexed="9"/>
      <name val="Inter"/>
      <family val="2"/>
    </font>
    <font>
      <sz val="9"/>
      <color theme="1"/>
      <name val="Inter"/>
      <family val="2"/>
    </font>
    <font>
      <b/>
      <sz val="14"/>
      <color rgb="FFF8F8F8"/>
      <name val="Inter"/>
      <family val="2"/>
    </font>
    <font>
      <vertAlign val="superscript"/>
      <sz val="14"/>
      <name val="Inter"/>
      <family val="2"/>
    </font>
    <font>
      <b/>
      <sz val="18"/>
      <color indexed="9"/>
      <name val="Inter"/>
      <family val="2"/>
    </font>
    <font>
      <i/>
      <sz val="10"/>
      <name val="Inter"/>
      <family val="2"/>
    </font>
    <font>
      <b/>
      <i/>
      <sz val="10"/>
      <name val="Inter"/>
      <family val="2"/>
    </font>
    <font>
      <sz val="10"/>
      <color rgb="FF004680"/>
      <name val="Inter"/>
      <family val="2"/>
    </font>
    <font>
      <b/>
      <sz val="18"/>
      <name val="Inter"/>
      <family val="2"/>
    </font>
    <font>
      <b/>
      <sz val="18"/>
      <name val="Arial"/>
      <family val="2"/>
    </font>
  </fonts>
  <fills count="29">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9"/>
      </patternFill>
    </fill>
    <fill>
      <patternFill patternType="solid">
        <fgColor rgb="FFFF66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0C0C0"/>
        <bgColor indexed="64"/>
      </patternFill>
    </fill>
    <fill>
      <patternFill patternType="solid">
        <fgColor rgb="FF234396"/>
        <bgColor indexed="64"/>
      </patternFill>
    </fill>
    <fill>
      <patternFill patternType="solid">
        <fgColor rgb="FFC7CBCE"/>
        <bgColor indexed="64"/>
      </patternFill>
    </fill>
    <fill>
      <patternFill patternType="solid">
        <fgColor rgb="FF999FA7"/>
        <bgColor indexed="64"/>
      </patternFill>
    </fill>
    <fill>
      <patternFill patternType="solid">
        <fgColor rgb="FFDBD2C2"/>
        <bgColor indexed="64"/>
      </patternFill>
    </fill>
    <fill>
      <patternFill patternType="solid">
        <fgColor rgb="FFB8CDCB"/>
        <bgColor indexed="64"/>
      </patternFill>
    </fill>
    <fill>
      <patternFill patternType="solid">
        <fgColor rgb="FFD8BABB"/>
        <bgColor indexed="64"/>
      </patternFill>
    </fill>
    <fill>
      <patternFill patternType="solid">
        <fgColor rgb="FF999FA7"/>
        <bgColor indexed="9"/>
      </patternFill>
    </fill>
    <fill>
      <patternFill patternType="darkUp">
        <fgColor rgb="FFDBD2C2"/>
        <bgColor auto="1"/>
      </patternFill>
    </fill>
    <fill>
      <patternFill patternType="darkUp">
        <fgColor rgb="FFDBD2C2"/>
        <bgColor theme="0"/>
      </patternFill>
    </fill>
    <fill>
      <patternFill patternType="solid">
        <fgColor rgb="FF004680"/>
        <bgColor indexed="64"/>
      </patternFill>
    </fill>
    <fill>
      <patternFill patternType="solid">
        <fgColor rgb="FF485CC7"/>
        <bgColor indexed="64"/>
      </patternFill>
    </fill>
    <fill>
      <patternFill patternType="solid">
        <fgColor rgb="FFA78E64"/>
        <bgColor indexed="64"/>
      </patternFill>
    </fill>
  </fills>
  <borders count="108">
    <border>
      <left/>
      <right/>
      <top/>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22"/>
      </top>
      <bottom style="thin">
        <color indexed="22"/>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thin">
        <color indexed="22"/>
      </left>
      <right/>
      <top/>
      <bottom/>
      <diagonal/>
    </border>
    <border>
      <left/>
      <right style="thin">
        <color indexed="22"/>
      </right>
      <top/>
      <bottom/>
      <diagonal/>
    </border>
    <border>
      <left/>
      <right/>
      <top style="thin">
        <color auto="1"/>
      </top>
      <bottom style="thin">
        <color auto="1"/>
      </bottom>
      <diagonal/>
    </border>
    <border>
      <left style="thin">
        <color indexed="22"/>
      </left>
      <right style="thin">
        <color indexed="22"/>
      </right>
      <top/>
      <bottom/>
      <diagonal/>
    </border>
    <border>
      <left/>
      <right/>
      <top style="thin">
        <color indexed="22"/>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indexed="64"/>
      </right>
      <top/>
      <bottom style="thin">
        <color auto="1"/>
      </bottom>
      <diagonal/>
    </border>
    <border>
      <left/>
      <right style="thin">
        <color indexed="64"/>
      </right>
      <top/>
      <bottom/>
      <diagonal/>
    </border>
    <border>
      <left/>
      <right/>
      <top style="thin">
        <color indexed="64"/>
      </top>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22"/>
      </bottom>
      <diagonal/>
    </border>
    <border>
      <left style="thin">
        <color indexed="9"/>
      </left>
      <right/>
      <top/>
      <bottom/>
      <diagonal/>
    </border>
    <border>
      <left/>
      <right style="thin">
        <color rgb="FFC0C0C0"/>
      </right>
      <top style="thin">
        <color indexed="22"/>
      </top>
      <bottom style="thin">
        <color rgb="FFC0C0C0"/>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3"/>
      </left>
      <right/>
      <top style="thin">
        <color auto="1"/>
      </top>
      <bottom style="thin">
        <color auto="1"/>
      </bottom>
      <diagonal/>
    </border>
    <border>
      <left/>
      <right style="thin">
        <color indexed="63"/>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4"/>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right style="thin">
        <color indexed="64"/>
      </right>
      <top style="thin">
        <color indexed="64"/>
      </top>
      <bottom/>
      <diagonal/>
    </border>
    <border>
      <left/>
      <right style="thin">
        <color auto="1"/>
      </right>
      <top/>
      <bottom style="thin">
        <color auto="1"/>
      </bottom>
      <diagonal/>
    </border>
    <border>
      <left style="thin">
        <color indexed="22"/>
      </left>
      <right/>
      <top style="thin">
        <color auto="1"/>
      </top>
      <bottom/>
      <diagonal/>
    </border>
    <border>
      <left/>
      <right style="thin">
        <color indexed="22"/>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theme="0"/>
      </top>
      <bottom style="thin">
        <color auto="1"/>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bottom style="thin">
        <color theme="0"/>
      </bottom>
      <diagonal/>
    </border>
    <border>
      <left style="thin">
        <color auto="1"/>
      </left>
      <right/>
      <top/>
      <bottom style="thin">
        <color indexed="64"/>
      </bottom>
      <diagonal/>
    </border>
    <border>
      <left style="thin">
        <color indexed="64"/>
      </left>
      <right/>
      <top style="thin">
        <color indexed="64"/>
      </top>
      <bottom/>
      <diagonal/>
    </border>
    <border>
      <left style="thin">
        <color indexed="64"/>
      </left>
      <right/>
      <top/>
      <bottom style="thin">
        <color theme="0"/>
      </bottom>
      <diagonal/>
    </border>
    <border>
      <left style="thin">
        <color indexed="64"/>
      </left>
      <right style="thin">
        <color indexed="64"/>
      </right>
      <top/>
      <bottom/>
      <diagonal/>
    </border>
    <border>
      <left style="thin">
        <color indexed="64"/>
      </left>
      <right style="thin">
        <color auto="1"/>
      </right>
      <top style="thin">
        <color indexed="64"/>
      </top>
      <bottom/>
      <diagonal/>
    </border>
    <border>
      <left style="thin">
        <color indexed="64"/>
      </left>
      <right style="thin">
        <color auto="1"/>
      </right>
      <top/>
      <bottom style="thin">
        <color theme="0"/>
      </bottom>
      <diagonal/>
    </border>
    <border>
      <left/>
      <right style="thin">
        <color indexed="64"/>
      </right>
      <top style="thin">
        <color indexed="64"/>
      </top>
      <bottom/>
      <diagonal/>
    </border>
  </borders>
  <cellStyleXfs count="19">
    <xf numFmtId="0" fontId="0" fillId="0" borderId="0"/>
    <xf numFmtId="43"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38"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1043">
    <xf numFmtId="0" fontId="0" fillId="0" borderId="0" xfId="0"/>
    <xf numFmtId="0" fontId="0" fillId="0" borderId="0" xfId="0" applyBorder="1"/>
    <xf numFmtId="0" fontId="0" fillId="0" borderId="0" xfId="0" applyFill="1" applyBorder="1" applyAlignment="1"/>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xf numFmtId="0" fontId="0" fillId="0" borderId="0" xfId="0" applyAlignment="1" applyProtection="1">
      <alignment horizontal="left"/>
    </xf>
    <xf numFmtId="0" fontId="0" fillId="0" borderId="0" xfId="0" applyProtection="1"/>
    <xf numFmtId="0" fontId="0" fillId="0" borderId="0" xfId="0" applyBorder="1" applyProtection="1"/>
    <xf numFmtId="0" fontId="0" fillId="0" borderId="0" xfId="0" applyAlignment="1" applyProtection="1">
      <alignment wrapText="1"/>
    </xf>
    <xf numFmtId="164" fontId="0" fillId="0" borderId="0" xfId="0" applyNumberFormat="1" applyAlignment="1" applyProtection="1">
      <alignment horizontal="center" vertical="center"/>
    </xf>
    <xf numFmtId="0" fontId="0" fillId="5" borderId="0" xfId="0" applyFill="1" applyBorder="1" applyAlignment="1" applyProtection="1">
      <alignment horizontal="center" vertical="center"/>
    </xf>
    <xf numFmtId="0" fontId="0" fillId="5" borderId="0" xfId="0" applyFill="1" applyAlignment="1" applyProtection="1">
      <alignment horizontal="center" vertical="center"/>
    </xf>
    <xf numFmtId="0" fontId="0" fillId="0" borderId="0" xfId="0" applyAlignment="1" applyProtection="1">
      <alignment horizontal="center"/>
    </xf>
    <xf numFmtId="2" fontId="0" fillId="6" borderId="1" xfId="0" applyNumberFormat="1" applyFill="1" applyBorder="1" applyAlignment="1" applyProtection="1">
      <alignment horizontal="center" vertical="center"/>
    </xf>
    <xf numFmtId="0" fontId="0" fillId="6"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1" xfId="0" applyBorder="1" applyProtection="1"/>
    <xf numFmtId="2" fontId="0" fillId="0" borderId="1" xfId="0" applyNumberFormat="1" applyBorder="1" applyProtection="1"/>
    <xf numFmtId="164" fontId="0" fillId="0" borderId="0" xfId="0" applyNumberFormat="1" applyFill="1" applyBorder="1" applyAlignment="1" applyProtection="1">
      <alignment horizontal="center" vertical="center"/>
    </xf>
    <xf numFmtId="0" fontId="0" fillId="0" borderId="0" xfId="0" applyAlignment="1" applyProtection="1">
      <alignment horizontal="center" vertical="center"/>
    </xf>
    <xf numFmtId="2" fontId="0" fillId="0" borderId="0" xfId="0" applyNumberFormat="1" applyProtection="1"/>
    <xf numFmtId="10" fontId="0" fillId="0" borderId="0" xfId="0" applyNumberFormat="1" applyProtection="1"/>
    <xf numFmtId="0" fontId="0" fillId="2" borderId="0" xfId="0" applyFill="1" applyProtection="1"/>
    <xf numFmtId="0" fontId="0" fillId="2" borderId="0" xfId="0" applyFill="1" applyAlignment="1" applyProtection="1">
      <alignment wrapText="1"/>
    </xf>
    <xf numFmtId="164" fontId="0" fillId="2" borderId="0" xfId="0" applyNumberFormat="1" applyFill="1" applyAlignment="1" applyProtection="1">
      <alignment horizontal="center" vertical="center"/>
    </xf>
    <xf numFmtId="0" fontId="0" fillId="2" borderId="0" xfId="0" applyFill="1" applyAlignment="1" applyProtection="1"/>
    <xf numFmtId="0" fontId="0" fillId="2" borderId="0" xfId="0" applyFill="1" applyAlignment="1" applyProtection="1">
      <alignment horizontal="left" vertical="center" wrapText="1"/>
    </xf>
    <xf numFmtId="0" fontId="0" fillId="2" borderId="0" xfId="0" applyFill="1" applyAlignment="1" applyProtection="1">
      <alignment horizontal="right"/>
    </xf>
    <xf numFmtId="164" fontId="0" fillId="2" borderId="0" xfId="0" applyNumberFormat="1" applyFill="1" applyAlignment="1" applyProtection="1">
      <alignment vertical="center"/>
    </xf>
    <xf numFmtId="165" fontId="0" fillId="2" borderId="0" xfId="0" applyNumberFormat="1" applyFill="1" applyAlignment="1" applyProtection="1">
      <alignment vertical="center"/>
    </xf>
    <xf numFmtId="164" fontId="0" fillId="2" borderId="0" xfId="0" applyNumberFormat="1" applyFill="1" applyProtection="1"/>
    <xf numFmtId="165" fontId="0" fillId="2" borderId="0" xfId="0" applyNumberFormat="1" applyFill="1" applyProtection="1"/>
    <xf numFmtId="0" fontId="0" fillId="2" borderId="0" xfId="0" applyFill="1" applyAlignment="1" applyProtection="1">
      <alignment horizontal="right" wrapText="1"/>
    </xf>
    <xf numFmtId="0" fontId="9" fillId="2" borderId="0" xfId="0" applyFont="1" applyFill="1" applyProtection="1"/>
    <xf numFmtId="0" fontId="9" fillId="2" borderId="0" xfId="0" applyFont="1" applyFill="1" applyAlignment="1" applyProtection="1">
      <alignment wrapText="1"/>
    </xf>
    <xf numFmtId="1" fontId="0" fillId="2" borderId="0" xfId="0" applyNumberFormat="1" applyFill="1" applyProtection="1"/>
    <xf numFmtId="10" fontId="0" fillId="2" borderId="0" xfId="0" applyNumberFormat="1" applyFill="1" applyAlignment="1" applyProtection="1">
      <alignment wrapText="1"/>
    </xf>
    <xf numFmtId="0" fontId="0" fillId="0" borderId="0" xfId="0" applyProtection="1">
      <protection locked="0"/>
    </xf>
    <xf numFmtId="0" fontId="0" fillId="0" borderId="0" xfId="0" applyBorder="1" applyAlignment="1" applyProtection="1">
      <alignment wrapText="1"/>
    </xf>
    <xf numFmtId="0" fontId="0" fillId="0" borderId="12" xfId="0" applyBorder="1" applyProtection="1"/>
    <xf numFmtId="0" fontId="0" fillId="0" borderId="5" xfId="0" applyBorder="1" applyProtection="1"/>
    <xf numFmtId="0" fontId="0" fillId="0" borderId="8" xfId="0" applyBorder="1" applyProtection="1"/>
    <xf numFmtId="0" fontId="0" fillId="0" borderId="9" xfId="0" applyBorder="1" applyProtection="1"/>
    <xf numFmtId="0" fontId="0" fillId="0" borderId="6" xfId="0" applyBorder="1" applyProtection="1"/>
    <xf numFmtId="0" fontId="0" fillId="0" borderId="7" xfId="0" applyBorder="1" applyProtection="1"/>
    <xf numFmtId="0" fontId="0" fillId="6" borderId="5" xfId="0" applyFill="1" applyBorder="1" applyAlignment="1" applyProtection="1">
      <alignment horizontal="center" vertical="center"/>
    </xf>
    <xf numFmtId="0" fontId="0" fillId="6" borderId="0" xfId="0" applyFill="1" applyAlignment="1" applyProtection="1">
      <alignment horizontal="center" vertical="center"/>
    </xf>
    <xf numFmtId="10" fontId="0" fillId="0" borderId="0" xfId="0" applyNumberFormat="1" applyBorder="1" applyAlignment="1" applyProtection="1">
      <alignment horizontal="center" vertical="center"/>
    </xf>
    <xf numFmtId="2" fontId="0" fillId="0" borderId="0" xfId="0" applyNumberFormat="1" applyBorder="1" applyProtection="1"/>
    <xf numFmtId="0" fontId="0" fillId="0" borderId="0" xfId="0" applyFill="1" applyBorder="1" applyAlignment="1" applyProtection="1">
      <alignment horizontal="center" vertical="center" wrapText="1"/>
    </xf>
    <xf numFmtId="2" fontId="0" fillId="0" borderId="0" xfId="0" applyNumberFormat="1" applyFill="1" applyBorder="1" applyAlignment="1" applyProtection="1">
      <alignment horizontal="center" vertical="center" wrapText="1"/>
    </xf>
    <xf numFmtId="2" fontId="0" fillId="0" borderId="0" xfId="0" applyNumberFormat="1" applyFill="1" applyBorder="1" applyAlignment="1" applyProtection="1">
      <alignment horizontal="center" vertical="center"/>
    </xf>
    <xf numFmtId="0" fontId="0" fillId="0" borderId="0" xfId="0" applyFill="1" applyAlignment="1" applyProtection="1">
      <alignment horizontal="center" vertical="center"/>
    </xf>
    <xf numFmtId="0" fontId="0" fillId="0" borderId="0" xfId="0" applyFill="1" applyAlignment="1">
      <alignment wrapText="1"/>
    </xf>
    <xf numFmtId="168" fontId="0" fillId="2" borderId="0" xfId="0" applyNumberFormat="1" applyFill="1" applyProtection="1"/>
    <xf numFmtId="0" fontId="0" fillId="0" borderId="0" xfId="0" applyFill="1" applyBorder="1" applyProtection="1"/>
    <xf numFmtId="0" fontId="0" fillId="2" borderId="0" xfId="0" applyFill="1" applyBorder="1" applyProtection="1"/>
    <xf numFmtId="0" fontId="0" fillId="2" borderId="0" xfId="0" applyFill="1" applyAlignment="1" applyProtection="1">
      <alignment horizontal="left"/>
    </xf>
    <xf numFmtId="0" fontId="9" fillId="2" borderId="0" xfId="0" applyFont="1" applyFill="1" applyAlignment="1" applyProtection="1">
      <alignment horizontal="left"/>
    </xf>
    <xf numFmtId="0" fontId="0" fillId="2" borderId="18" xfId="0" applyFill="1" applyBorder="1" applyAlignment="1" applyProtection="1">
      <alignment wrapText="1"/>
    </xf>
    <xf numFmtId="0" fontId="0" fillId="2" borderId="19" xfId="0" applyFill="1" applyBorder="1" applyAlignment="1" applyProtection="1">
      <alignment horizontal="center" wrapText="1"/>
    </xf>
    <xf numFmtId="0" fontId="0" fillId="2" borderId="11" xfId="0" applyFill="1" applyBorder="1" applyProtection="1"/>
    <xf numFmtId="2" fontId="0" fillId="6" borderId="13" xfId="0" applyNumberFormat="1" applyFill="1" applyBorder="1" applyAlignment="1" applyProtection="1">
      <alignment horizontal="center" vertical="center"/>
    </xf>
    <xf numFmtId="173" fontId="0" fillId="7" borderId="1" xfId="0" applyNumberFormat="1" applyFill="1" applyBorder="1" applyAlignment="1" applyProtection="1">
      <alignment horizontal="center" vertical="center" wrapText="1"/>
    </xf>
    <xf numFmtId="0" fontId="9" fillId="2" borderId="6" xfId="0" applyFont="1" applyFill="1" applyBorder="1" applyAlignment="1" applyProtection="1">
      <alignment horizontal="center"/>
    </xf>
    <xf numFmtId="0" fontId="0" fillId="2" borderId="6" xfId="0" applyFill="1" applyBorder="1" applyAlignment="1" applyProtection="1">
      <alignment wrapText="1"/>
    </xf>
    <xf numFmtId="0" fontId="0" fillId="8" borderId="0" xfId="0" applyFill="1" applyAlignment="1" applyProtection="1"/>
    <xf numFmtId="0" fontId="0" fillId="0" borderId="0" xfId="0" applyFill="1" applyAlignment="1" applyProtection="1"/>
    <xf numFmtId="0" fontId="0" fillId="5" borderId="0" xfId="0" applyFill="1" applyAlignment="1" applyProtection="1">
      <alignment horizontal="left"/>
    </xf>
    <xf numFmtId="0" fontId="0" fillId="5" borderId="0" xfId="0" applyFill="1" applyProtection="1"/>
    <xf numFmtId="0" fontId="0" fillId="5" borderId="0" xfId="0" applyFill="1" applyBorder="1" applyProtection="1"/>
    <xf numFmtId="0" fontId="0" fillId="0" borderId="0" xfId="0" applyFill="1" applyProtection="1"/>
    <xf numFmtId="0" fontId="8" fillId="5" borderId="0" xfId="0" applyFont="1" applyFill="1" applyBorder="1" applyAlignment="1" applyProtection="1">
      <alignment horizontal="center" vertical="center"/>
    </xf>
    <xf numFmtId="0" fontId="0" fillId="5" borderId="0" xfId="0" applyFill="1" applyAlignment="1">
      <alignment horizontal="center" vertical="center"/>
    </xf>
    <xf numFmtId="164" fontId="0" fillId="5" borderId="0" xfId="0" applyNumberFormat="1" applyFill="1" applyBorder="1" applyAlignment="1" applyProtection="1">
      <alignment horizontal="center" vertical="center"/>
    </xf>
    <xf numFmtId="2" fontId="17" fillId="6" borderId="1" xfId="0" applyNumberFormat="1" applyFont="1" applyFill="1" applyBorder="1" applyAlignment="1" applyProtection="1">
      <alignment horizontal="center" vertical="center"/>
    </xf>
    <xf numFmtId="43" fontId="0" fillId="6" borderId="14" xfId="1" applyFont="1" applyFill="1" applyBorder="1" applyAlignment="1" applyProtection="1">
      <alignment horizontal="center" vertical="center"/>
    </xf>
    <xf numFmtId="2" fontId="0" fillId="0" borderId="1" xfId="0" applyNumberFormat="1" applyBorder="1" applyAlignment="1" applyProtection="1">
      <alignment horizontal="center" vertical="center"/>
    </xf>
    <xf numFmtId="0" fontId="0" fillId="0" borderId="0" xfId="0" applyFill="1" applyAlignment="1" applyProtection="1">
      <alignment wrapText="1"/>
    </xf>
    <xf numFmtId="2" fontId="0" fillId="5" borderId="0" xfId="0" applyNumberFormat="1" applyFill="1" applyProtection="1"/>
    <xf numFmtId="10" fontId="0" fillId="5" borderId="0" xfId="0" applyNumberFormat="1" applyFill="1" applyProtection="1"/>
    <xf numFmtId="0" fontId="0" fillId="0" borderId="0" xfId="0" applyFill="1"/>
    <xf numFmtId="0" fontId="9" fillId="0" borderId="0" xfId="0" applyFont="1" applyProtection="1"/>
    <xf numFmtId="0" fontId="0" fillId="5" borderId="16" xfId="0" applyFill="1" applyBorder="1" applyAlignment="1">
      <alignment horizontal="center" vertical="center" wrapText="1"/>
    </xf>
    <xf numFmtId="0" fontId="7" fillId="0" borderId="0" xfId="0" applyFont="1" applyFill="1" applyBorder="1" applyAlignment="1"/>
    <xf numFmtId="0" fontId="8" fillId="0" borderId="0" xfId="0" applyFont="1" applyFill="1" applyBorder="1" applyAlignment="1">
      <alignment horizontal="center"/>
    </xf>
    <xf numFmtId="10" fontId="0" fillId="2" borderId="0" xfId="0" applyNumberFormat="1" applyFill="1" applyProtection="1"/>
    <xf numFmtId="181" fontId="0" fillId="0" borderId="0" xfId="0" applyNumberFormat="1" applyProtection="1"/>
    <xf numFmtId="181" fontId="0" fillId="0" borderId="0" xfId="0" applyNumberFormat="1" applyBorder="1" applyAlignment="1" applyProtection="1">
      <alignment horizontal="center" vertical="center"/>
    </xf>
    <xf numFmtId="0" fontId="9" fillId="2" borderId="6" xfId="0" applyFont="1" applyFill="1" applyBorder="1" applyAlignment="1" applyProtection="1"/>
    <xf numFmtId="0" fontId="0" fillId="2" borderId="6" xfId="0" applyFill="1" applyBorder="1" applyAlignment="1" applyProtection="1"/>
    <xf numFmtId="0" fontId="9" fillId="2" borderId="6" xfId="0" applyFont="1" applyFill="1" applyBorder="1" applyProtection="1"/>
    <xf numFmtId="0" fontId="0" fillId="2" borderId="6" xfId="0" applyFill="1" applyBorder="1" applyProtection="1"/>
    <xf numFmtId="0" fontId="0" fillId="2" borderId="5" xfId="0" applyFill="1" applyBorder="1" applyProtection="1"/>
    <xf numFmtId="0" fontId="9" fillId="2" borderId="6" xfId="0" applyFont="1" applyFill="1" applyBorder="1" applyAlignment="1" applyProtection="1">
      <alignment wrapText="1"/>
    </xf>
    <xf numFmtId="165" fontId="0" fillId="2" borderId="0" xfId="0" applyNumberFormat="1" applyFill="1" applyAlignment="1" applyProtection="1"/>
    <xf numFmtId="0" fontId="5" fillId="2" borderId="11" xfId="0" applyNumberFormat="1" applyFont="1" applyFill="1" applyBorder="1" applyProtection="1"/>
    <xf numFmtId="0" fontId="0" fillId="2" borderId="11" xfId="0" applyFill="1" applyBorder="1" applyAlignment="1" applyProtection="1">
      <alignment horizontal="center"/>
    </xf>
    <xf numFmtId="2" fontId="0" fillId="0" borderId="0" xfId="0" applyNumberFormat="1" applyFill="1" applyBorder="1" applyProtection="1"/>
    <xf numFmtId="2" fontId="17" fillId="0" borderId="0" xfId="0" applyNumberFormat="1" applyFont="1" applyFill="1" applyBorder="1" applyAlignment="1" applyProtection="1">
      <alignment horizontal="center" vertical="center"/>
    </xf>
    <xf numFmtId="43" fontId="0" fillId="0" borderId="0" xfId="1" applyFon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181" fontId="0" fillId="0" borderId="0" xfId="0" applyNumberFormat="1" applyFill="1" applyBorder="1" applyAlignment="1" applyProtection="1">
      <alignment horizontal="center" vertical="center"/>
    </xf>
    <xf numFmtId="10" fontId="0" fillId="0" borderId="0" xfId="0" applyNumberForma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2" fontId="0" fillId="0" borderId="0" xfId="0" applyNumberFormat="1" applyAlignment="1" applyProtection="1">
      <alignment horizontal="center"/>
    </xf>
    <xf numFmtId="2" fontId="0" fillId="0" borderId="24" xfId="0" applyNumberFormat="1" applyFill="1" applyBorder="1" applyAlignment="1" applyProtection="1">
      <alignment horizontal="center" vertical="center"/>
    </xf>
    <xf numFmtId="2" fontId="0" fillId="0" borderId="25" xfId="0" applyNumberFormat="1" applyFill="1" applyBorder="1" applyAlignment="1" applyProtection="1">
      <alignment horizontal="center" vertical="center"/>
    </xf>
    <xf numFmtId="2" fontId="0" fillId="0" borderId="26" xfId="0" applyNumberFormat="1" applyFill="1" applyBorder="1" applyAlignment="1" applyProtection="1">
      <alignment horizontal="center" vertical="center"/>
    </xf>
    <xf numFmtId="0" fontId="20" fillId="2" borderId="0" xfId="0" applyFont="1" applyFill="1" applyProtection="1"/>
    <xf numFmtId="0" fontId="9" fillId="2" borderId="0" xfId="0" applyFont="1" applyFill="1" applyBorder="1" applyProtection="1"/>
    <xf numFmtId="0" fontId="20" fillId="2" borderId="0" xfId="0" applyFont="1" applyFill="1" applyAlignment="1" applyProtection="1"/>
    <xf numFmtId="0" fontId="20" fillId="2" borderId="0" xfId="0" applyFont="1" applyFill="1" applyAlignment="1" applyProtection="1">
      <alignment horizontal="right"/>
    </xf>
    <xf numFmtId="0" fontId="20" fillId="2" borderId="0" xfId="0" applyFont="1" applyFill="1" applyAlignment="1" applyProtection="1">
      <alignment horizontal="center"/>
    </xf>
    <xf numFmtId="0" fontId="5" fillId="0" borderId="0" xfId="0" applyFont="1"/>
    <xf numFmtId="0" fontId="0" fillId="9" borderId="0" xfId="0" applyFill="1" applyProtection="1"/>
    <xf numFmtId="164" fontId="0" fillId="9" borderId="0" xfId="0" applyNumberFormat="1" applyFill="1" applyProtection="1"/>
    <xf numFmtId="0" fontId="0" fillId="9" borderId="0" xfId="0" applyFill="1" applyAlignment="1" applyProtection="1">
      <alignment horizontal="right" wrapText="1"/>
    </xf>
    <xf numFmtId="2" fontId="9" fillId="0" borderId="0" xfId="0" applyNumberFormat="1" applyFont="1" applyFill="1" applyBorder="1" applyAlignment="1" applyProtection="1">
      <alignment horizontal="center" vertical="center"/>
    </xf>
    <xf numFmtId="0" fontId="0" fillId="10" borderId="0" xfId="0" applyFill="1"/>
    <xf numFmtId="0" fontId="0" fillId="0" borderId="0" xfId="0" applyAlignment="1">
      <alignment horizontal="center" vertical="center" wrapText="1"/>
    </xf>
    <xf numFmtId="0" fontId="2" fillId="2" borderId="0" xfId="0" applyFont="1" applyFill="1" applyProtection="1"/>
    <xf numFmtId="0" fontId="4" fillId="2" borderId="0" xfId="0" applyFont="1" applyFill="1" applyAlignment="1" applyProtection="1"/>
    <xf numFmtId="0" fontId="2" fillId="2" borderId="0" xfId="0" applyFont="1" applyFill="1" applyAlignment="1" applyProtection="1"/>
    <xf numFmtId="0" fontId="0" fillId="2" borderId="0" xfId="0" applyFill="1" applyAlignment="1" applyProtection="1">
      <alignment wrapText="1"/>
    </xf>
    <xf numFmtId="0" fontId="0" fillId="9" borderId="0" xfId="0" applyFill="1"/>
    <xf numFmtId="0" fontId="27" fillId="2" borderId="0" xfId="0" applyFont="1" applyFill="1" applyAlignment="1" applyProtection="1"/>
    <xf numFmtId="0" fontId="0" fillId="2" borderId="31" xfId="0" applyFill="1" applyBorder="1" applyProtection="1"/>
    <xf numFmtId="0" fontId="9" fillId="2" borderId="6" xfId="0" applyFont="1" applyFill="1" applyBorder="1" applyAlignment="1" applyProtection="1">
      <alignment horizontal="left"/>
    </xf>
    <xf numFmtId="0" fontId="19" fillId="2" borderId="0" xfId="0" applyFont="1" applyFill="1" applyAlignment="1" applyProtection="1">
      <alignment horizontal="right"/>
    </xf>
    <xf numFmtId="0" fontId="2" fillId="0" borderId="0" xfId="0" applyFont="1" applyProtection="1"/>
    <xf numFmtId="164" fontId="0" fillId="2" borderId="0" xfId="0" applyNumberFormat="1" applyFill="1" applyAlignment="1" applyProtection="1">
      <alignment horizontal="center"/>
    </xf>
    <xf numFmtId="164" fontId="0" fillId="2" borderId="0" xfId="0" applyNumberFormat="1" applyFill="1" applyAlignment="1" applyProtection="1">
      <alignment horizontal="right" indent="1"/>
    </xf>
    <xf numFmtId="0" fontId="28" fillId="2" borderId="0" xfId="0" applyFont="1" applyFill="1" applyAlignment="1" applyProtection="1"/>
    <xf numFmtId="0" fontId="0" fillId="0" borderId="0" xfId="0" applyBorder="1" applyAlignment="1" applyProtection="1">
      <alignment horizontal="center"/>
    </xf>
    <xf numFmtId="0" fontId="28" fillId="0" borderId="1" xfId="0" applyFont="1" applyBorder="1" applyAlignment="1" applyProtection="1">
      <alignment horizontal="center" vertical="center"/>
    </xf>
    <xf numFmtId="1" fontId="28" fillId="0" borderId="1" xfId="0" applyNumberFormat="1" applyFont="1" applyBorder="1" applyAlignment="1" applyProtection="1">
      <alignment horizontal="center" vertical="center"/>
    </xf>
    <xf numFmtId="0" fontId="2" fillId="0" borderId="0" xfId="0" applyNumberFormat="1" applyFont="1" applyProtection="1"/>
    <xf numFmtId="0" fontId="33" fillId="0" borderId="0" xfId="0" applyFont="1" applyAlignment="1" applyProtection="1">
      <alignment horizontal="center"/>
    </xf>
    <xf numFmtId="0" fontId="27" fillId="0" borderId="0" xfId="0" applyFont="1" applyProtection="1"/>
    <xf numFmtId="0" fontId="32" fillId="0" borderId="31" xfId="0" applyFont="1" applyBorder="1" applyAlignment="1" applyProtection="1">
      <alignment horizontal="center" wrapText="1"/>
    </xf>
    <xf numFmtId="2" fontId="1" fillId="0" borderId="1" xfId="0" applyNumberFormat="1" applyFont="1" applyFill="1" applyBorder="1" applyProtection="1"/>
    <xf numFmtId="167" fontId="1" fillId="0" borderId="1" xfId="0" applyNumberFormat="1" applyFont="1" applyFill="1" applyBorder="1" applyAlignment="1" applyProtection="1">
      <alignment horizontal="center" vertical="center"/>
    </xf>
    <xf numFmtId="10" fontId="1" fillId="0" borderId="1" xfId="0" applyNumberFormat="1" applyFont="1" applyFill="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0" fontId="0" fillId="0" borderId="35" xfId="0" applyBorder="1" applyProtection="1"/>
    <xf numFmtId="0" fontId="9" fillId="0" borderId="0" xfId="0" applyFont="1" applyAlignment="1" applyProtection="1">
      <alignment horizontal="centerContinuous"/>
    </xf>
    <xf numFmtId="0" fontId="0" fillId="5" borderId="3" xfId="0" applyFill="1" applyBorder="1" applyAlignment="1" applyProtection="1">
      <alignment horizontal="center" vertical="center" wrapText="1"/>
    </xf>
    <xf numFmtId="0" fontId="0" fillId="5" borderId="4" xfId="0" applyFill="1" applyBorder="1" applyAlignment="1">
      <alignment wrapText="1"/>
    </xf>
    <xf numFmtId="0" fontId="30" fillId="0" borderId="0" xfId="0" applyFont="1" applyFill="1" applyAlignment="1" applyProtection="1">
      <alignment horizontal="center"/>
    </xf>
    <xf numFmtId="0" fontId="30" fillId="0" borderId="35" xfId="0" applyFont="1" applyFill="1" applyBorder="1" applyAlignment="1" applyProtection="1">
      <alignment horizontal="center"/>
    </xf>
    <xf numFmtId="0" fontId="0" fillId="0" borderId="3" xfId="0" applyBorder="1" applyProtection="1"/>
    <xf numFmtId="0" fontId="30" fillId="0" borderId="3" xfId="0" applyFont="1" applyFill="1" applyBorder="1" applyAlignment="1" applyProtection="1">
      <alignment horizontal="center"/>
    </xf>
    <xf numFmtId="0" fontId="35" fillId="10" borderId="0" xfId="0" applyFont="1" applyFill="1" applyAlignment="1" applyProtection="1">
      <alignment horizontal="right" indent="1"/>
    </xf>
    <xf numFmtId="2" fontId="27" fillId="0" borderId="0" xfId="0" applyNumberFormat="1" applyFont="1" applyProtection="1"/>
    <xf numFmtId="0" fontId="30" fillId="2" borderId="0" xfId="0" applyFont="1" applyFill="1" applyAlignment="1" applyProtection="1"/>
    <xf numFmtId="0" fontId="35" fillId="2" borderId="0" xfId="0" applyFont="1" applyFill="1" applyAlignment="1" applyProtection="1">
      <alignment horizontal="right" indent="1"/>
    </xf>
    <xf numFmtId="0" fontId="35" fillId="2" borderId="36" xfId="0" applyFont="1" applyFill="1" applyBorder="1" applyAlignment="1" applyProtection="1">
      <alignment horizontal="right" wrapText="1" indent="1"/>
    </xf>
    <xf numFmtId="0" fontId="0" fillId="5" borderId="4" xfId="0" applyFill="1" applyBorder="1" applyAlignment="1" applyProtection="1">
      <alignment wrapText="1"/>
    </xf>
    <xf numFmtId="2" fontId="0" fillId="6" borderId="37" xfId="0" applyNumberFormat="1" applyFill="1" applyBorder="1" applyAlignment="1" applyProtection="1">
      <alignment horizontal="center" vertical="center"/>
    </xf>
    <xf numFmtId="0" fontId="0" fillId="2" borderId="6" xfId="0" applyFill="1" applyBorder="1" applyAlignment="1" applyProtection="1">
      <alignment horizontal="center" wrapText="1"/>
    </xf>
    <xf numFmtId="0" fontId="2" fillId="2" borderId="6" xfId="0" applyFont="1" applyFill="1" applyBorder="1" applyAlignment="1" applyProtection="1">
      <alignment horizontal="right"/>
    </xf>
    <xf numFmtId="0" fontId="0" fillId="2" borderId="0" xfId="0" applyFill="1" applyAlignment="1" applyProtection="1">
      <alignment horizontal="right" indent="1"/>
    </xf>
    <xf numFmtId="0" fontId="30" fillId="0" borderId="0" xfId="0" applyFont="1" applyAlignment="1" applyProtection="1">
      <alignment horizontal="center"/>
    </xf>
    <xf numFmtId="0" fontId="30" fillId="0" borderId="35" xfId="0" applyFont="1" applyBorder="1" applyAlignment="1" applyProtection="1">
      <alignment horizontal="center"/>
    </xf>
    <xf numFmtId="0" fontId="0" fillId="5" borderId="4" xfId="0" applyFill="1" applyBorder="1" applyAlignment="1">
      <alignment wrapText="1"/>
    </xf>
    <xf numFmtId="0" fontId="2" fillId="5" borderId="3" xfId="0" applyFont="1" applyFill="1" applyBorder="1" applyAlignment="1">
      <alignment horizontal="center" vertical="center" wrapText="1"/>
    </xf>
    <xf numFmtId="0" fontId="2" fillId="5" borderId="1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9" fillId="0" borderId="0" xfId="0" applyFont="1"/>
    <xf numFmtId="0" fontId="27" fillId="0" borderId="0" xfId="0" applyFont="1"/>
    <xf numFmtId="0" fontId="2" fillId="14" borderId="0" xfId="0" applyFont="1" applyFill="1" applyBorder="1"/>
    <xf numFmtId="0" fontId="2" fillId="2" borderId="0" xfId="0" applyFont="1" applyFill="1" applyAlignment="1" applyProtection="1">
      <alignment horizontal="left"/>
    </xf>
    <xf numFmtId="0" fontId="0" fillId="13" borderId="0" xfId="0" applyFill="1" applyAlignment="1" applyProtection="1">
      <alignment horizontal="right" vertical="center"/>
    </xf>
    <xf numFmtId="164" fontId="0" fillId="13" borderId="0" xfId="0" applyNumberFormat="1" applyFill="1" applyAlignment="1" applyProtection="1">
      <alignment vertical="center" wrapText="1"/>
    </xf>
    <xf numFmtId="0" fontId="0" fillId="13" borderId="0" xfId="0" applyFill="1" applyAlignment="1" applyProtection="1">
      <alignment horizontal="center" vertical="center" wrapText="1"/>
    </xf>
    <xf numFmtId="0" fontId="0" fillId="13" borderId="0" xfId="0" applyFill="1" applyAlignment="1" applyProtection="1">
      <alignment horizontal="right"/>
    </xf>
    <xf numFmtId="0" fontId="5" fillId="13" borderId="0" xfId="0" applyFont="1" applyFill="1" applyAlignment="1" applyProtection="1">
      <alignment horizontal="right"/>
    </xf>
    <xf numFmtId="0" fontId="2" fillId="13" borderId="0" xfId="0" applyFont="1" applyFill="1" applyAlignment="1" applyProtection="1">
      <alignment horizontal="right"/>
    </xf>
    <xf numFmtId="164" fontId="0" fillId="13" borderId="0" xfId="0" applyNumberFormat="1" applyFill="1" applyAlignment="1" applyProtection="1">
      <alignment horizontal="center" vertical="center"/>
    </xf>
    <xf numFmtId="0" fontId="0" fillId="13" borderId="0" xfId="0" applyFill="1" applyAlignment="1" applyProtection="1">
      <alignment horizontal="right" wrapText="1"/>
    </xf>
    <xf numFmtId="164" fontId="0" fillId="13" borderId="0" xfId="0" applyNumberFormat="1" applyFill="1" applyProtection="1"/>
    <xf numFmtId="0" fontId="2" fillId="9" borderId="0" xfId="0" applyFont="1" applyFill="1" applyProtection="1"/>
    <xf numFmtId="0" fontId="37" fillId="9" borderId="0" xfId="0" applyFont="1" applyFill="1" applyProtection="1"/>
    <xf numFmtId="0" fontId="2" fillId="15" borderId="0" xfId="0" applyFont="1" applyFill="1" applyBorder="1"/>
    <xf numFmtId="0" fontId="3" fillId="0" borderId="31" xfId="0" applyFont="1" applyBorder="1" applyAlignment="1" applyProtection="1">
      <alignment horizontal="center" wrapText="1"/>
    </xf>
    <xf numFmtId="0" fontId="3" fillId="0" borderId="32" xfId="0" applyFont="1" applyBorder="1" applyAlignment="1" applyProtection="1">
      <alignment horizontal="center" wrapText="1"/>
    </xf>
    <xf numFmtId="0" fontId="3" fillId="0" borderId="34" xfId="0" applyFont="1" applyBorder="1" applyAlignment="1" applyProtection="1">
      <alignment horizontal="center" wrapText="1"/>
    </xf>
    <xf numFmtId="0" fontId="3" fillId="0" borderId="40" xfId="0" applyFont="1" applyBorder="1" applyAlignment="1" applyProtection="1">
      <alignment horizontal="center" wrapText="1"/>
    </xf>
    <xf numFmtId="0" fontId="0" fillId="0" borderId="41" xfId="0" applyBorder="1" applyProtection="1"/>
    <xf numFmtId="0" fontId="0" fillId="0" borderId="38" xfId="0" applyBorder="1" applyProtection="1"/>
    <xf numFmtId="173" fontId="0" fillId="9" borderId="1" xfId="0" applyNumberFormat="1" applyFill="1" applyBorder="1" applyAlignment="1" applyProtection="1">
      <alignment horizontal="center" vertical="center" wrapText="1"/>
    </xf>
    <xf numFmtId="0" fontId="0" fillId="2" borderId="43" xfId="0" applyFill="1" applyBorder="1" applyProtection="1"/>
    <xf numFmtId="0" fontId="0" fillId="2" borderId="0" xfId="0" applyFill="1" applyBorder="1" applyAlignment="1" applyProtection="1">
      <alignment horizontal="center"/>
    </xf>
    <xf numFmtId="2" fontId="30"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3" fillId="0" borderId="39" xfId="0" applyFont="1" applyBorder="1" applyAlignment="1" applyProtection="1">
      <alignment horizontal="center" wrapText="1"/>
    </xf>
    <xf numFmtId="0" fontId="30" fillId="0" borderId="0" xfId="0" applyFont="1" applyFill="1" applyBorder="1" applyAlignment="1" applyProtection="1">
      <alignment horizontal="center"/>
    </xf>
    <xf numFmtId="173" fontId="0" fillId="13" borderId="1" xfId="0" applyNumberFormat="1" applyFill="1" applyBorder="1" applyAlignment="1" applyProtection="1">
      <alignment horizontal="center" vertical="center" wrapText="1"/>
    </xf>
    <xf numFmtId="9" fontId="5" fillId="11" borderId="46"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xf>
    <xf numFmtId="0" fontId="2" fillId="0" borderId="39" xfId="0" applyFont="1" applyBorder="1" applyAlignment="1" applyProtection="1">
      <alignment horizontal="center"/>
    </xf>
    <xf numFmtId="0" fontId="36" fillId="10" borderId="0" xfId="0" applyFont="1" applyFill="1" applyAlignment="1" applyProtection="1">
      <alignment horizontal="center" wrapText="1"/>
    </xf>
    <xf numFmtId="1" fontId="2" fillId="0" borderId="13" xfId="0" quotePrefix="1" applyNumberFormat="1" applyFont="1" applyBorder="1" applyAlignment="1" applyProtection="1">
      <alignment horizontal="center" vertical="center"/>
    </xf>
    <xf numFmtId="0" fontId="27" fillId="2" borderId="0" xfId="0" applyFont="1" applyFill="1" applyProtection="1"/>
    <xf numFmtId="2" fontId="3" fillId="0" borderId="0" xfId="0" applyNumberFormat="1" applyFont="1" applyFill="1" applyBorder="1" applyAlignment="1" applyProtection="1">
      <alignment horizontal="center" vertical="center" wrapText="1"/>
    </xf>
    <xf numFmtId="186" fontId="0" fillId="6" borderId="17" xfId="0" applyNumberFormat="1" applyFill="1" applyBorder="1" applyAlignment="1" applyProtection="1">
      <alignment horizontal="center" vertical="center"/>
    </xf>
    <xf numFmtId="186" fontId="0" fillId="6" borderId="14" xfId="0" applyNumberFormat="1" applyFill="1" applyBorder="1" applyAlignment="1" applyProtection="1">
      <alignment horizontal="center" vertical="center"/>
    </xf>
    <xf numFmtId="186" fontId="0" fillId="6" borderId="37" xfId="0" applyNumberFormat="1" applyFill="1" applyBorder="1" applyAlignment="1" applyProtection="1">
      <alignment horizontal="center" vertical="center"/>
    </xf>
    <xf numFmtId="0" fontId="0" fillId="2" borderId="18" xfId="0" applyFill="1" applyBorder="1" applyAlignment="1" applyProtection="1">
      <alignment horizontal="center" wrapText="1"/>
    </xf>
    <xf numFmtId="171" fontId="0" fillId="2" borderId="27" xfId="0" applyNumberFormat="1" applyFill="1" applyBorder="1" applyAlignment="1" applyProtection="1">
      <alignment horizontal="center"/>
    </xf>
    <xf numFmtId="2" fontId="1" fillId="0" borderId="13" xfId="0" applyNumberFormat="1" applyFont="1" applyFill="1" applyBorder="1" applyProtection="1"/>
    <xf numFmtId="2" fontId="1" fillId="0" borderId="37" xfId="0" applyNumberFormat="1" applyFont="1" applyFill="1" applyBorder="1" applyProtection="1"/>
    <xf numFmtId="9" fontId="1" fillId="0" borderId="13" xfId="0" applyNumberFormat="1" applyFont="1" applyFill="1" applyBorder="1" applyAlignment="1" applyProtection="1">
      <alignment horizontal="center" vertical="center"/>
    </xf>
    <xf numFmtId="0" fontId="0" fillId="0" borderId="13" xfId="0" applyBorder="1" applyAlignment="1" applyProtection="1">
      <alignment horizontal="center"/>
    </xf>
    <xf numFmtId="2" fontId="0" fillId="0" borderId="37" xfId="0" applyNumberFormat="1" applyFill="1" applyBorder="1" applyAlignment="1" applyProtection="1">
      <alignment horizontal="center"/>
    </xf>
    <xf numFmtId="181" fontId="0" fillId="0" borderId="0" xfId="10" applyNumberFormat="1" applyFont="1"/>
    <xf numFmtId="0" fontId="28" fillId="0" borderId="1" xfId="0" applyFont="1" applyBorder="1" applyProtection="1"/>
    <xf numFmtId="0" fontId="27" fillId="2" borderId="0" xfId="0" applyFont="1" applyFill="1" applyAlignment="1" applyProtection="1">
      <alignment horizontal="center"/>
    </xf>
    <xf numFmtId="0" fontId="2" fillId="0" borderId="0" xfId="0" applyFont="1"/>
    <xf numFmtId="173" fontId="2" fillId="3" borderId="1" xfId="0" applyNumberFormat="1" applyFont="1" applyFill="1" applyBorder="1" applyAlignment="1" applyProtection="1">
      <alignment horizontal="center" vertical="center" wrapText="1"/>
    </xf>
    <xf numFmtId="173" fontId="2" fillId="3" borderId="37" xfId="0" applyNumberFormat="1" applyFont="1" applyFill="1" applyBorder="1" applyAlignment="1" applyProtection="1">
      <alignment horizontal="center" vertical="center" wrapText="1"/>
    </xf>
    <xf numFmtId="173" fontId="2" fillId="3" borderId="13" xfId="0" applyNumberFormat="1" applyFont="1" applyFill="1" applyBorder="1" applyAlignment="1" applyProtection="1">
      <alignment horizontal="center" vertical="center" wrapText="1"/>
    </xf>
    <xf numFmtId="10" fontId="2" fillId="3" borderId="13" xfId="0" applyNumberFormat="1" applyFont="1" applyFill="1" applyBorder="1" applyAlignment="1" applyProtection="1">
      <alignment horizontal="center" vertical="center"/>
    </xf>
    <xf numFmtId="10" fontId="2" fillId="3" borderId="37" xfId="0" applyNumberFormat="1" applyFont="1" applyFill="1" applyBorder="1" applyAlignment="1" applyProtection="1">
      <alignment horizontal="center" vertical="center"/>
    </xf>
    <xf numFmtId="0" fontId="27" fillId="0" borderId="0" xfId="0" applyFont="1" applyAlignment="1" applyProtection="1">
      <alignment vertical="top"/>
    </xf>
    <xf numFmtId="0" fontId="2" fillId="10" borderId="0" xfId="0" applyFont="1" applyFill="1" applyProtection="1"/>
    <xf numFmtId="0" fontId="41" fillId="2" borderId="0" xfId="0" applyFont="1" applyFill="1" applyBorder="1" applyProtection="1"/>
    <xf numFmtId="0" fontId="41" fillId="2" borderId="0" xfId="0" applyFont="1" applyFill="1" applyProtection="1"/>
    <xf numFmtId="0" fontId="27" fillId="0" borderId="0" xfId="0" applyFont="1" applyAlignment="1" applyProtection="1">
      <alignment horizontal="center"/>
    </xf>
    <xf numFmtId="0" fontId="35" fillId="0" borderId="0" xfId="0" applyFont="1" applyAlignment="1" applyProtection="1">
      <alignment horizontal="center"/>
    </xf>
    <xf numFmtId="171" fontId="0" fillId="12" borderId="13" xfId="0" applyNumberFormat="1" applyFill="1" applyBorder="1" applyAlignment="1" applyProtection="1">
      <alignment horizontal="center" vertical="center"/>
    </xf>
    <xf numFmtId="171" fontId="0" fillId="12" borderId="1" xfId="0" applyNumberFormat="1" applyFill="1" applyBorder="1" applyAlignment="1" applyProtection="1">
      <alignment horizontal="center" vertical="center"/>
    </xf>
    <xf numFmtId="164" fontId="0" fillId="0" borderId="0" xfId="0" applyNumberFormat="1" applyFill="1" applyAlignment="1" applyProtection="1">
      <alignment horizontal="center" vertical="center"/>
    </xf>
    <xf numFmtId="0" fontId="27" fillId="0" borderId="0" xfId="0" applyFont="1" applyAlignment="1" applyProtection="1">
      <alignment horizontal="left"/>
    </xf>
    <xf numFmtId="0" fontId="40" fillId="0" borderId="0" xfId="0" applyFont="1" applyBorder="1" applyProtection="1"/>
    <xf numFmtId="2" fontId="3" fillId="0" borderId="24" xfId="0" applyNumberFormat="1" applyFont="1" applyFill="1" applyBorder="1" applyAlignment="1" applyProtection="1">
      <alignment horizontal="center" vertical="center" wrapText="1"/>
    </xf>
    <xf numFmtId="0" fontId="30" fillId="2" borderId="0" xfId="0" applyFont="1" applyFill="1" applyAlignment="1" applyProtection="1">
      <alignment wrapText="1"/>
    </xf>
    <xf numFmtId="0" fontId="30" fillId="0" borderId="0" xfId="0" applyFont="1" applyProtection="1"/>
    <xf numFmtId="0" fontId="29" fillId="0" borderId="0" xfId="0" applyFont="1" applyAlignment="1" applyProtection="1">
      <alignment horizontal="center"/>
    </xf>
    <xf numFmtId="0" fontId="0" fillId="0" borderId="0" xfId="0"/>
    <xf numFmtId="0" fontId="0" fillId="16" borderId="0" xfId="0" applyFill="1" applyProtection="1"/>
    <xf numFmtId="0" fontId="0" fillId="16" borderId="0" xfId="0" applyFill="1" applyAlignment="1" applyProtection="1">
      <alignment horizontal="left"/>
    </xf>
    <xf numFmtId="0" fontId="27" fillId="16" borderId="0" xfId="0" applyFont="1" applyFill="1" applyProtection="1"/>
    <xf numFmtId="0" fontId="42" fillId="0" borderId="0" xfId="0" applyFont="1" applyAlignment="1">
      <alignment vertical="center"/>
    </xf>
    <xf numFmtId="0" fontId="3" fillId="0" borderId="0" xfId="0" applyFont="1"/>
    <xf numFmtId="0" fontId="24" fillId="0" borderId="0" xfId="0" applyFont="1"/>
    <xf numFmtId="0" fontId="24" fillId="0" borderId="48" xfId="0" applyFont="1" applyBorder="1"/>
    <xf numFmtId="0" fontId="24" fillId="0" borderId="36" xfId="0" applyFont="1" applyBorder="1"/>
    <xf numFmtId="0" fontId="24" fillId="0" borderId="0" xfId="0" applyFont="1" applyBorder="1"/>
    <xf numFmtId="0" fontId="24" fillId="0" borderId="35" xfId="0" applyFont="1" applyBorder="1"/>
    <xf numFmtId="0" fontId="24" fillId="0" borderId="16" xfId="0" applyFont="1" applyBorder="1"/>
    <xf numFmtId="0" fontId="24" fillId="0" borderId="33" xfId="0" applyFont="1" applyBorder="1"/>
    <xf numFmtId="0" fontId="24" fillId="0" borderId="39" xfId="0" applyFont="1" applyBorder="1"/>
    <xf numFmtId="0" fontId="24" fillId="0" borderId="9" xfId="0" applyFont="1" applyBorder="1"/>
    <xf numFmtId="0" fontId="43" fillId="0" borderId="16" xfId="0" applyFont="1" applyFill="1" applyBorder="1" applyAlignment="1">
      <alignment horizontal="right"/>
    </xf>
    <xf numFmtId="0" fontId="24" fillId="0" borderId="49" xfId="0" applyFont="1" applyBorder="1"/>
    <xf numFmtId="0" fontId="24" fillId="0" borderId="7" xfId="0" applyFont="1" applyBorder="1"/>
    <xf numFmtId="0" fontId="0" fillId="0" borderId="50" xfId="0" applyBorder="1"/>
    <xf numFmtId="0" fontId="0" fillId="0" borderId="26" xfId="0" applyBorder="1"/>
    <xf numFmtId="0" fontId="32" fillId="0" borderId="51" xfId="0" applyFont="1" applyBorder="1" applyAlignment="1">
      <alignment horizontal="center"/>
    </xf>
    <xf numFmtId="0" fontId="32" fillId="0" borderId="52" xfId="0" applyFont="1" applyBorder="1" applyAlignment="1">
      <alignment horizontal="center"/>
    </xf>
    <xf numFmtId="0" fontId="29" fillId="0" borderId="53" xfId="0" applyFont="1" applyBorder="1" applyAlignment="1">
      <alignment horizontal="right" indent="1"/>
    </xf>
    <xf numFmtId="0" fontId="29" fillId="0" borderId="0" xfId="0" applyFont="1" applyBorder="1" applyAlignment="1">
      <alignment horizontal="right" indent="1"/>
    </xf>
    <xf numFmtId="0" fontId="0" fillId="14" borderId="0" xfId="0" applyNumberFormat="1" applyFill="1" applyBorder="1" applyAlignment="1">
      <alignment horizontal="right" indent="1"/>
    </xf>
    <xf numFmtId="0" fontId="0" fillId="14" borderId="54" xfId="0" applyFill="1" applyBorder="1"/>
    <xf numFmtId="0" fontId="9" fillId="14" borderId="54" xfId="0" applyFont="1" applyFill="1" applyBorder="1"/>
    <xf numFmtId="0" fontId="29" fillId="0" borderId="55" xfId="0" applyFont="1" applyBorder="1" applyAlignment="1">
      <alignment horizontal="right" indent="1"/>
    </xf>
    <xf numFmtId="0" fontId="29" fillId="0" borderId="56" xfId="0" applyFont="1" applyBorder="1" applyAlignment="1">
      <alignment horizontal="right" indent="1"/>
    </xf>
    <xf numFmtId="0" fontId="0" fillId="14" borderId="56" xfId="0" applyFill="1" applyBorder="1" applyAlignment="1">
      <alignment horizontal="left"/>
    </xf>
    <xf numFmtId="0" fontId="0" fillId="14" borderId="56" xfId="0" applyNumberFormat="1" applyFill="1" applyBorder="1" applyAlignment="1">
      <alignment horizontal="right" indent="1"/>
    </xf>
    <xf numFmtId="0" fontId="0" fillId="14" borderId="57" xfId="0" applyFill="1" applyBorder="1"/>
    <xf numFmtId="0" fontId="0" fillId="0" borderId="0" xfId="0" applyAlignment="1" applyProtection="1">
      <alignment wrapText="1"/>
    </xf>
    <xf numFmtId="0" fontId="40" fillId="0" borderId="0" xfId="0" applyFont="1" applyBorder="1" applyAlignment="1" applyProtection="1">
      <alignment wrapText="1"/>
    </xf>
    <xf numFmtId="2" fontId="0" fillId="0" borderId="0" xfId="0" applyNumberFormat="1" applyBorder="1" applyAlignment="1" applyProtection="1">
      <alignment wrapText="1"/>
    </xf>
    <xf numFmtId="2" fontId="0" fillId="0" borderId="0" xfId="0" applyNumberFormat="1" applyAlignment="1" applyProtection="1">
      <alignment wrapText="1"/>
    </xf>
    <xf numFmtId="2" fontId="0" fillId="5" borderId="0" xfId="0" applyNumberFormat="1" applyFill="1" applyAlignment="1" applyProtection="1">
      <alignment wrapText="1"/>
    </xf>
    <xf numFmtId="2" fontId="0" fillId="12" borderId="1" xfId="0" applyNumberFormat="1" applyFill="1" applyBorder="1" applyAlignment="1" applyProtection="1">
      <alignment wrapText="1"/>
    </xf>
    <xf numFmtId="170" fontId="0" fillId="0" borderId="0" xfId="0" applyNumberFormat="1"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alignment wrapText="1"/>
    </xf>
    <xf numFmtId="2" fontId="0" fillId="0" borderId="0" xfId="0" applyNumberFormat="1" applyFill="1" applyBorder="1" applyAlignment="1" applyProtection="1">
      <alignment wrapText="1"/>
    </xf>
    <xf numFmtId="0" fontId="0" fillId="0" borderId="0" xfId="0" applyAlignment="1" applyProtection="1">
      <alignment horizontal="center" vertical="center" wrapText="1"/>
    </xf>
    <xf numFmtId="0" fontId="0" fillId="0" borderId="0" xfId="0" applyAlignment="1" applyProtection="1">
      <alignment wrapText="1"/>
    </xf>
    <xf numFmtId="0" fontId="15" fillId="0" borderId="0" xfId="0" applyFont="1" applyBorder="1" applyAlignment="1">
      <alignment wrapText="1"/>
    </xf>
    <xf numFmtId="0" fontId="29" fillId="0" borderId="16" xfId="0" applyFont="1" applyFill="1" applyBorder="1" applyAlignment="1">
      <alignment horizontal="right" indent="1"/>
    </xf>
    <xf numFmtId="0" fontId="0" fillId="0" borderId="35" xfId="0" applyBorder="1"/>
    <xf numFmtId="0" fontId="29" fillId="0" borderId="9" xfId="0" applyFont="1" applyFill="1" applyBorder="1" applyAlignment="1">
      <alignment horizontal="right" indent="1"/>
    </xf>
    <xf numFmtId="0" fontId="0" fillId="0" borderId="6" xfId="0" applyBorder="1"/>
    <xf numFmtId="0" fontId="0" fillId="0" borderId="7" xfId="0" applyBorder="1"/>
    <xf numFmtId="0" fontId="0" fillId="0" borderId="64" xfId="0" applyBorder="1"/>
    <xf numFmtId="0" fontId="0" fillId="0" borderId="65" xfId="0" applyBorder="1"/>
    <xf numFmtId="0" fontId="0" fillId="0" borderId="66" xfId="0" applyBorder="1"/>
    <xf numFmtId="2" fontId="0" fillId="6" borderId="47" xfId="0" applyNumberFormat="1" applyFill="1" applyBorder="1" applyAlignment="1" applyProtection="1">
      <alignment horizontal="center" vertical="center"/>
    </xf>
    <xf numFmtId="0" fontId="0" fillId="0" borderId="0" xfId="0" applyAlignment="1" applyProtection="1">
      <alignment wrapText="1"/>
    </xf>
    <xf numFmtId="0" fontId="3" fillId="0" borderId="0" xfId="0" applyFont="1" applyBorder="1"/>
    <xf numFmtId="0" fontId="3" fillId="0" borderId="35" xfId="0" applyFont="1" applyBorder="1"/>
    <xf numFmtId="0" fontId="0" fillId="0" borderId="68" xfId="0" applyBorder="1"/>
    <xf numFmtId="0" fontId="0" fillId="0" borderId="67" xfId="0" applyBorder="1"/>
    <xf numFmtId="0" fontId="3" fillId="0" borderId="65" xfId="0" applyFont="1" applyBorder="1"/>
    <xf numFmtId="0" fontId="3" fillId="0" borderId="66" xfId="0" applyFont="1" applyBorder="1"/>
    <xf numFmtId="0" fontId="3" fillId="0" borderId="43" xfId="0" applyFont="1" applyBorder="1"/>
    <xf numFmtId="0" fontId="3" fillId="0" borderId="3" xfId="0" applyFont="1" applyBorder="1"/>
    <xf numFmtId="2" fontId="0" fillId="12" borderId="1" xfId="0" applyNumberFormat="1" applyFill="1" applyBorder="1" applyAlignment="1" applyProtection="1">
      <alignment vertical="center" wrapText="1"/>
    </xf>
    <xf numFmtId="2" fontId="0" fillId="0" borderId="37" xfId="0" applyNumberFormat="1" applyFill="1" applyBorder="1" applyAlignment="1" applyProtection="1">
      <alignment horizontal="center" vertical="center"/>
    </xf>
    <xf numFmtId="2" fontId="1" fillId="0" borderId="13" xfId="0" applyNumberFormat="1" applyFont="1" applyFill="1" applyBorder="1" applyAlignment="1" applyProtection="1">
      <alignment vertical="center"/>
    </xf>
    <xf numFmtId="2" fontId="1" fillId="0" borderId="1" xfId="0" applyNumberFormat="1" applyFont="1" applyFill="1" applyBorder="1" applyAlignment="1" applyProtection="1">
      <alignment vertical="center"/>
    </xf>
    <xf numFmtId="2" fontId="1" fillId="0" borderId="37" xfId="0" applyNumberFormat="1" applyFont="1" applyFill="1" applyBorder="1" applyAlignment="1" applyProtection="1">
      <alignment vertical="center"/>
    </xf>
    <xf numFmtId="0" fontId="0" fillId="0" borderId="0" xfId="0" applyAlignment="1" applyProtection="1">
      <alignment vertical="center"/>
    </xf>
    <xf numFmtId="0" fontId="30" fillId="0" borderId="0" xfId="0" applyFont="1" applyFill="1" applyAlignment="1" applyProtection="1">
      <alignment horizontal="center" vertical="center"/>
    </xf>
    <xf numFmtId="0" fontId="30" fillId="0" borderId="35" xfId="0" applyFont="1" applyFill="1" applyBorder="1" applyAlignment="1" applyProtection="1">
      <alignment horizontal="center" vertical="center"/>
    </xf>
    <xf numFmtId="0" fontId="35" fillId="10" borderId="0" xfId="0" applyFont="1" applyFill="1" applyAlignment="1" applyProtection="1">
      <alignment horizontal="right" vertical="center"/>
    </xf>
    <xf numFmtId="0" fontId="30" fillId="0" borderId="3" xfId="0" applyFont="1" applyFill="1" applyBorder="1" applyAlignment="1" applyProtection="1">
      <alignment horizontal="center" vertical="center"/>
    </xf>
    <xf numFmtId="0" fontId="0" fillId="2" borderId="0" xfId="0" applyFill="1" applyBorder="1" applyAlignment="1" applyProtection="1">
      <alignment horizontal="center" wrapText="1"/>
    </xf>
    <xf numFmtId="0" fontId="0" fillId="2" borderId="68" xfId="0" applyFill="1" applyBorder="1" applyAlignment="1" applyProtection="1">
      <alignment wrapText="1"/>
    </xf>
    <xf numFmtId="0" fontId="3" fillId="0" borderId="70" xfId="0" applyFont="1" applyBorder="1" applyAlignment="1" applyProtection="1">
      <alignment horizontal="center" wrapText="1"/>
    </xf>
    <xf numFmtId="0" fontId="30" fillId="0" borderId="0" xfId="0" applyFont="1" applyBorder="1" applyAlignment="1" applyProtection="1">
      <alignment horizontal="center"/>
    </xf>
    <xf numFmtId="0" fontId="0" fillId="0" borderId="36" xfId="0" applyBorder="1" applyProtection="1"/>
    <xf numFmtId="0" fontId="3" fillId="0" borderId="71" xfId="0" applyFont="1" applyBorder="1" applyAlignment="1" applyProtection="1">
      <alignment horizontal="center" wrapText="1"/>
    </xf>
    <xf numFmtId="0" fontId="3" fillId="0" borderId="72" xfId="0" applyFont="1" applyBorder="1" applyAlignment="1" applyProtection="1">
      <alignment horizontal="center" wrapText="1"/>
    </xf>
    <xf numFmtId="0" fontId="46" fillId="10" borderId="0" xfId="0" applyFont="1" applyFill="1" applyProtection="1"/>
    <xf numFmtId="0" fontId="48" fillId="10" borderId="0" xfId="0" applyFont="1" applyFill="1" applyAlignment="1" applyProtection="1">
      <alignment vertical="center" wrapText="1"/>
    </xf>
    <xf numFmtId="0" fontId="1" fillId="10" borderId="0" xfId="0" applyFont="1" applyFill="1"/>
    <xf numFmtId="0" fontId="48" fillId="10" borderId="0" xfId="0" applyFont="1" applyFill="1" applyProtection="1"/>
    <xf numFmtId="0" fontId="0" fillId="10" borderId="0" xfId="0" applyFill="1" applyProtection="1"/>
    <xf numFmtId="0" fontId="24" fillId="10" borderId="61" xfId="0" applyFont="1" applyFill="1" applyBorder="1" applyAlignment="1" applyProtection="1">
      <alignment horizontal="left" vertical="center"/>
    </xf>
    <xf numFmtId="169" fontId="39" fillId="10" borderId="59" xfId="0" applyNumberFormat="1" applyFont="1" applyFill="1" applyBorder="1" applyAlignment="1" applyProtection="1">
      <alignment vertical="center"/>
    </xf>
    <xf numFmtId="0" fontId="39" fillId="10" borderId="59" xfId="0" applyFont="1" applyFill="1" applyBorder="1" applyProtection="1"/>
    <xf numFmtId="0" fontId="40" fillId="10" borderId="59" xfId="0" applyFont="1" applyFill="1" applyBorder="1" applyProtection="1"/>
    <xf numFmtId="0" fontId="0" fillId="18" borderId="0" xfId="0" applyFill="1" applyProtection="1"/>
    <xf numFmtId="0" fontId="0" fillId="18" borderId="0" xfId="0" applyFill="1" applyAlignment="1" applyProtection="1">
      <alignment horizontal="left"/>
    </xf>
    <xf numFmtId="0" fontId="0" fillId="18" borderId="0" xfId="0" applyFill="1" applyAlignment="1" applyProtection="1">
      <alignment wrapText="1"/>
    </xf>
    <xf numFmtId="0" fontId="34" fillId="18" borderId="0" xfId="0" applyFont="1" applyFill="1" applyBorder="1" applyAlignment="1" applyProtection="1">
      <alignment horizontal="left" vertical="center"/>
    </xf>
    <xf numFmtId="0" fontId="0" fillId="18" borderId="0" xfId="0" applyFill="1" applyBorder="1" applyAlignment="1" applyProtection="1">
      <alignment horizontal="center" vertical="center" wrapText="1"/>
    </xf>
    <xf numFmtId="0" fontId="0" fillId="18" borderId="0" xfId="0" applyFill="1" applyBorder="1" applyAlignment="1" applyProtection="1">
      <alignment wrapText="1"/>
    </xf>
    <xf numFmtId="0" fontId="8" fillId="18" borderId="0" xfId="0" applyFont="1" applyFill="1" applyAlignment="1" applyProtection="1">
      <alignment horizontal="left"/>
    </xf>
    <xf numFmtId="0" fontId="0" fillId="18" borderId="0" xfId="0" applyFill="1" applyBorder="1" applyProtection="1"/>
    <xf numFmtId="2" fontId="0" fillId="18" borderId="0" xfId="0" applyNumberFormat="1" applyFill="1" applyBorder="1" applyAlignment="1" applyProtection="1">
      <alignment horizontal="center" vertical="center" wrapText="1"/>
    </xf>
    <xf numFmtId="0" fontId="12" fillId="18" borderId="0" xfId="0" applyFont="1" applyFill="1" applyBorder="1" applyProtection="1"/>
    <xf numFmtId="0" fontId="13" fillId="18" borderId="0" xfId="0" applyFont="1" applyFill="1" applyBorder="1" applyAlignment="1" applyProtection="1">
      <alignment horizontal="left" vertical="center"/>
    </xf>
    <xf numFmtId="168" fontId="0" fillId="18" borderId="0" xfId="0" applyNumberFormat="1" applyFill="1" applyBorder="1" applyAlignment="1" applyProtection="1">
      <alignment horizontal="center" vertical="center" wrapText="1"/>
    </xf>
    <xf numFmtId="0" fontId="0" fillId="18" borderId="0" xfId="0" applyFill="1" applyBorder="1" applyAlignment="1" applyProtection="1">
      <alignment horizontal="center" vertical="center"/>
    </xf>
    <xf numFmtId="0" fontId="14" fillId="18" borderId="0" xfId="0" applyFont="1" applyFill="1" applyBorder="1" applyAlignment="1">
      <alignment vertical="top" wrapText="1"/>
    </xf>
    <xf numFmtId="0" fontId="15" fillId="18" borderId="0" xfId="0" applyFont="1" applyFill="1" applyBorder="1" applyAlignment="1">
      <alignment wrapText="1"/>
    </xf>
    <xf numFmtId="10" fontId="0" fillId="18" borderId="0" xfId="0" applyNumberFormat="1" applyFill="1" applyBorder="1" applyAlignment="1" applyProtection="1">
      <alignment horizontal="center" vertical="center" wrapText="1"/>
    </xf>
    <xf numFmtId="0" fontId="16" fillId="18" borderId="0" xfId="0" applyFont="1" applyFill="1" applyAlignment="1">
      <alignment horizontal="center" vertical="center" wrapText="1"/>
    </xf>
    <xf numFmtId="0" fontId="49" fillId="18" borderId="0" xfId="0" applyFont="1" applyFill="1" applyBorder="1" applyAlignment="1">
      <alignment horizontal="center" vertical="center"/>
    </xf>
    <xf numFmtId="0" fontId="0" fillId="18" borderId="0" xfId="0" applyFill="1" applyBorder="1" applyAlignment="1" applyProtection="1">
      <alignment vertical="center"/>
    </xf>
    <xf numFmtId="0" fontId="0" fillId="18" borderId="0" xfId="0" applyFill="1" applyAlignment="1" applyProtection="1">
      <alignment vertical="center"/>
    </xf>
    <xf numFmtId="0" fontId="13" fillId="10" borderId="79" xfId="0" applyFont="1" applyFill="1" applyBorder="1" applyAlignment="1" applyProtection="1">
      <alignment vertical="center"/>
    </xf>
    <xf numFmtId="0" fontId="13" fillId="10" borderId="79" xfId="0" applyFont="1" applyFill="1" applyBorder="1" applyProtection="1"/>
    <xf numFmtId="0" fontId="13" fillId="18" borderId="0" xfId="0" applyFont="1" applyFill="1" applyBorder="1" applyProtection="1"/>
    <xf numFmtId="0" fontId="0" fillId="18" borderId="0" xfId="0" applyFill="1" applyBorder="1" applyAlignment="1" applyProtection="1">
      <alignment horizontal="center"/>
    </xf>
    <xf numFmtId="178" fontId="0" fillId="18" borderId="0" xfId="0" applyNumberFormat="1" applyFill="1" applyBorder="1" applyAlignment="1" applyProtection="1">
      <alignment horizontal="center"/>
    </xf>
    <xf numFmtId="2" fontId="0" fillId="18" borderId="0" xfId="0" applyNumberFormat="1" applyFill="1" applyBorder="1" applyAlignment="1" applyProtection="1">
      <alignment horizontal="center"/>
    </xf>
    <xf numFmtId="0" fontId="0" fillId="18" borderId="6" xfId="0" applyFill="1" applyBorder="1" applyProtection="1"/>
    <xf numFmtId="0" fontId="0" fillId="18" borderId="0" xfId="0" applyFill="1" applyAlignment="1" applyProtection="1">
      <alignment horizontal="center" vertical="center" wrapText="1"/>
    </xf>
    <xf numFmtId="164" fontId="0" fillId="18" borderId="0" xfId="0" applyNumberFormat="1" applyFill="1" applyAlignment="1" applyProtection="1">
      <alignment horizontal="center" vertical="center"/>
    </xf>
    <xf numFmtId="181" fontId="0" fillId="18" borderId="0" xfId="0" applyNumberFormat="1" applyFill="1" applyProtection="1"/>
    <xf numFmtId="0" fontId="8" fillId="18" borderId="0" xfId="0" applyFont="1" applyFill="1" applyBorder="1" applyAlignment="1" applyProtection="1">
      <alignment horizontal="center" vertical="center"/>
    </xf>
    <xf numFmtId="0" fontId="0" fillId="18" borderId="0" xfId="0" applyFill="1" applyAlignment="1">
      <alignment horizontal="center" vertical="center"/>
    </xf>
    <xf numFmtId="164" fontId="0" fillId="18" borderId="0" xfId="0" applyNumberFormat="1" applyFill="1" applyBorder="1" applyAlignment="1" applyProtection="1">
      <alignment horizontal="center" vertical="center" wrapText="1"/>
    </xf>
    <xf numFmtId="164" fontId="0" fillId="18" borderId="0" xfId="0" applyNumberFormat="1" applyFill="1" applyBorder="1" applyAlignment="1" applyProtection="1">
      <alignment horizontal="center" vertical="center"/>
    </xf>
    <xf numFmtId="0" fontId="0" fillId="18" borderId="0" xfId="0" applyFill="1" applyAlignment="1" applyProtection="1">
      <alignment horizontal="center" vertical="center"/>
    </xf>
    <xf numFmtId="2" fontId="0" fillId="18" borderId="0" xfId="0" applyNumberFormat="1" applyFill="1" applyProtection="1"/>
    <xf numFmtId="2" fontId="0" fillId="18" borderId="0" xfId="0" applyNumberFormat="1" applyFill="1" applyAlignment="1" applyProtection="1">
      <alignment wrapText="1"/>
    </xf>
    <xf numFmtId="10" fontId="0" fillId="18" borderId="0" xfId="0" applyNumberFormat="1" applyFill="1" applyProtection="1"/>
    <xf numFmtId="0" fontId="27" fillId="18" borderId="0" xfId="0" applyFont="1" applyFill="1" applyProtection="1"/>
    <xf numFmtId="0" fontId="9" fillId="18" borderId="39" xfId="0" applyFont="1" applyFill="1" applyBorder="1" applyAlignment="1" applyProtection="1">
      <alignment horizontal="center"/>
    </xf>
    <xf numFmtId="0" fontId="0" fillId="18" borderId="39" xfId="0" applyFill="1" applyBorder="1" applyAlignment="1" applyProtection="1">
      <alignment horizontal="center"/>
    </xf>
    <xf numFmtId="0" fontId="9" fillId="18" borderId="0" xfId="0" applyFont="1" applyFill="1" applyAlignment="1" applyProtection="1">
      <alignment wrapText="1"/>
    </xf>
    <xf numFmtId="0" fontId="2" fillId="18" borderId="0" xfId="0" applyFont="1" applyFill="1" applyProtection="1"/>
    <xf numFmtId="0" fontId="2" fillId="18" borderId="0" xfId="0" applyFont="1" applyFill="1" applyAlignment="1" applyProtection="1">
      <alignment horizontal="left"/>
    </xf>
    <xf numFmtId="0" fontId="0" fillId="18" borderId="0" xfId="0" applyFill="1" applyAlignment="1"/>
    <xf numFmtId="0" fontId="0" fillId="18" borderId="0" xfId="0" applyFill="1" applyAlignment="1" applyProtection="1"/>
    <xf numFmtId="0" fontId="0" fillId="18" borderId="12" xfId="0" applyFill="1" applyBorder="1" applyAlignment="1" applyProtection="1">
      <alignment wrapText="1"/>
    </xf>
    <xf numFmtId="0" fontId="0" fillId="18" borderId="8" xfId="0" applyFill="1" applyBorder="1" applyAlignment="1" applyProtection="1">
      <alignment horizontal="center" vertical="center" wrapText="1"/>
    </xf>
    <xf numFmtId="0" fontId="0" fillId="18" borderId="0" xfId="0" applyFill="1" applyAlignment="1" applyProtection="1">
      <alignment horizontal="left" vertical="center" wrapText="1"/>
    </xf>
    <xf numFmtId="0" fontId="0" fillId="18" borderId="0" xfId="0" applyFill="1" applyAlignment="1" applyProtection="1">
      <alignment horizontal="right" vertical="center" wrapText="1"/>
    </xf>
    <xf numFmtId="164" fontId="0" fillId="18" borderId="0" xfId="0" applyNumberFormat="1" applyFill="1" applyAlignment="1" applyProtection="1">
      <alignment vertical="center" wrapText="1"/>
    </xf>
    <xf numFmtId="0" fontId="27" fillId="18" borderId="0" xfId="0" applyFont="1" applyFill="1" applyAlignment="1" applyProtection="1"/>
    <xf numFmtId="0" fontId="0" fillId="18" borderId="16" xfId="0" applyFill="1" applyBorder="1" applyAlignment="1" applyProtection="1">
      <alignment wrapText="1"/>
    </xf>
    <xf numFmtId="0" fontId="0" fillId="18" borderId="2" xfId="0" applyFill="1" applyBorder="1" applyAlignment="1" applyProtection="1">
      <alignment horizontal="center" vertical="center" wrapText="1"/>
    </xf>
    <xf numFmtId="164" fontId="0" fillId="18" borderId="0" xfId="0" applyNumberFormat="1" applyFill="1" applyAlignment="1" applyProtection="1">
      <alignment vertical="center"/>
    </xf>
    <xf numFmtId="0" fontId="0" fillId="18" borderId="0" xfId="0" applyFill="1" applyAlignment="1" applyProtection="1">
      <alignment horizontal="right"/>
    </xf>
    <xf numFmtId="165" fontId="0" fillId="18" borderId="0" xfId="0" applyNumberFormat="1" applyFill="1" applyAlignment="1" applyProtection="1">
      <alignment vertical="center"/>
    </xf>
    <xf numFmtId="0" fontId="2" fillId="18" borderId="0" xfId="0" applyFont="1" applyFill="1" applyAlignment="1" applyProtection="1"/>
    <xf numFmtId="165" fontId="0" fillId="18" borderId="0" xfId="0" applyNumberFormat="1" applyFill="1" applyAlignment="1" applyProtection="1"/>
    <xf numFmtId="164" fontId="0" fillId="18" borderId="0" xfId="0" applyNumberFormat="1" applyFill="1" applyProtection="1"/>
    <xf numFmtId="165" fontId="0" fillId="18" borderId="0" xfId="0" applyNumberFormat="1" applyFill="1" applyProtection="1"/>
    <xf numFmtId="0" fontId="5" fillId="18" borderId="0" xfId="0" applyFont="1" applyFill="1" applyAlignment="1" applyProtection="1">
      <alignment horizontal="right"/>
    </xf>
    <xf numFmtId="0" fontId="0" fillId="18" borderId="9" xfId="0" applyFill="1" applyBorder="1" applyAlignment="1" applyProtection="1">
      <alignment wrapText="1"/>
    </xf>
    <xf numFmtId="0" fontId="0" fillId="18" borderId="7" xfId="0" applyFill="1" applyBorder="1" applyAlignment="1" applyProtection="1">
      <alignment horizontal="center" vertical="center" wrapText="1"/>
    </xf>
    <xf numFmtId="0" fontId="0" fillId="18" borderId="0" xfId="0" applyFill="1" applyAlignment="1" applyProtection="1">
      <alignment horizontal="right" wrapText="1"/>
    </xf>
    <xf numFmtId="0" fontId="9" fillId="18" borderId="6" xfId="0" applyFont="1" applyFill="1" applyBorder="1" applyAlignment="1" applyProtection="1">
      <alignment horizontal="left"/>
    </xf>
    <xf numFmtId="0" fontId="0" fillId="18" borderId="6" xfId="0" applyFill="1" applyBorder="1" applyAlignment="1" applyProtection="1">
      <alignment wrapText="1"/>
    </xf>
    <xf numFmtId="0" fontId="5" fillId="18" borderId="0" xfId="0" applyFont="1" applyFill="1" applyAlignment="1" applyProtection="1">
      <alignment horizontal="right" wrapText="1"/>
    </xf>
    <xf numFmtId="0" fontId="4" fillId="18" borderId="0" xfId="0" applyFont="1" applyFill="1" applyAlignment="1" applyProtection="1"/>
    <xf numFmtId="0" fontId="9" fillId="18" borderId="0" xfId="0" applyFont="1" applyFill="1" applyAlignment="1" applyProtection="1">
      <alignment horizontal="left"/>
    </xf>
    <xf numFmtId="2" fontId="0" fillId="18" borderId="0" xfId="0" applyNumberFormat="1" applyFill="1" applyAlignment="1" applyProtection="1">
      <alignment horizontal="left"/>
    </xf>
    <xf numFmtId="0" fontId="9" fillId="18" borderId="0" xfId="0" applyFont="1" applyFill="1" applyAlignment="1" applyProtection="1"/>
    <xf numFmtId="0" fontId="0" fillId="18" borderId="5" xfId="0" applyFill="1" applyBorder="1" applyAlignment="1" applyProtection="1">
      <alignment wrapText="1"/>
    </xf>
    <xf numFmtId="0" fontId="9" fillId="18" borderId="0" xfId="0" applyFont="1" applyFill="1" applyProtection="1"/>
    <xf numFmtId="0" fontId="29" fillId="18" borderId="0" xfId="0" applyFont="1" applyFill="1" applyAlignment="1" applyProtection="1"/>
    <xf numFmtId="0" fontId="9" fillId="18" borderId="0" xfId="0" applyFont="1" applyFill="1" applyAlignment="1" applyProtection="1">
      <alignment horizontal="left" wrapText="1" indent="4"/>
    </xf>
    <xf numFmtId="0" fontId="9" fillId="18" borderId="0" xfId="0" applyFont="1" applyFill="1" applyAlignment="1" applyProtection="1">
      <alignment horizontal="center" vertical="center" wrapText="1"/>
    </xf>
    <xf numFmtId="0" fontId="2" fillId="18" borderId="0" xfId="0" applyFont="1" applyFill="1" applyAlignment="1" applyProtection="1">
      <alignment horizontal="left" indent="4"/>
    </xf>
    <xf numFmtId="10" fontId="0" fillId="18" borderId="0" xfId="0" applyNumberFormat="1" applyFill="1" applyAlignment="1" applyProtection="1">
      <alignment wrapText="1"/>
    </xf>
    <xf numFmtId="0" fontId="36" fillId="18" borderId="0" xfId="0" applyFont="1" applyFill="1" applyAlignment="1" applyProtection="1">
      <alignment horizontal="right" wrapText="1" indent="2"/>
    </xf>
    <xf numFmtId="1" fontId="0" fillId="18" borderId="0" xfId="0" applyNumberFormat="1" applyFill="1" applyProtection="1"/>
    <xf numFmtId="168" fontId="0" fillId="18" borderId="0" xfId="0" applyNumberFormat="1" applyFill="1" applyProtection="1"/>
    <xf numFmtId="0" fontId="30" fillId="18" borderId="0" xfId="0" applyFont="1" applyFill="1" applyAlignment="1" applyProtection="1">
      <alignment horizontal="left"/>
    </xf>
    <xf numFmtId="0" fontId="0" fillId="18" borderId="0" xfId="0" applyFill="1" applyBorder="1" applyAlignment="1" applyProtection="1"/>
    <xf numFmtId="0" fontId="0" fillId="18" borderId="45" xfId="0" applyFill="1" applyBorder="1" applyAlignment="1" applyProtection="1">
      <alignment vertical="center"/>
    </xf>
    <xf numFmtId="0" fontId="0" fillId="18" borderId="44" xfId="0" applyFill="1" applyBorder="1" applyProtection="1"/>
    <xf numFmtId="169" fontId="39" fillId="10" borderId="79" xfId="0" applyNumberFormat="1" applyFont="1" applyFill="1" applyBorder="1" applyProtection="1"/>
    <xf numFmtId="0" fontId="39" fillId="10" borderId="79" xfId="0" applyFont="1" applyFill="1" applyBorder="1" applyProtection="1"/>
    <xf numFmtId="0" fontId="40" fillId="10" borderId="79" xfId="0" applyFont="1" applyFill="1" applyBorder="1" applyProtection="1"/>
    <xf numFmtId="0" fontId="0" fillId="18" borderId="0" xfId="0" applyFill="1"/>
    <xf numFmtId="0" fontId="40" fillId="18" borderId="0" xfId="0" applyFont="1" applyFill="1" applyBorder="1" applyProtection="1"/>
    <xf numFmtId="164" fontId="0" fillId="10" borderId="0" xfId="0" applyNumberFormat="1" applyFill="1" applyBorder="1" applyAlignment="1" applyProtection="1">
      <alignment horizontal="center" vertical="center"/>
    </xf>
    <xf numFmtId="0" fontId="0" fillId="10" borderId="0" xfId="0" applyFill="1" applyAlignment="1" applyProtection="1">
      <alignment horizontal="left"/>
    </xf>
    <xf numFmtId="0" fontId="0" fillId="10" borderId="0" xfId="0" applyFill="1" applyAlignment="1" applyProtection="1">
      <alignment wrapText="1"/>
    </xf>
    <xf numFmtId="0" fontId="2" fillId="18" borderId="0" xfId="0" applyFont="1" applyFill="1"/>
    <xf numFmtId="0" fontId="0" fillId="18" borderId="0" xfId="0" applyFill="1" applyBorder="1"/>
    <xf numFmtId="170" fontId="2" fillId="4" borderId="61" xfId="0" applyNumberFormat="1" applyFont="1" applyFill="1" applyBorder="1" applyAlignment="1" applyProtection="1">
      <alignment horizontal="center" vertical="center" wrapText="1"/>
    </xf>
    <xf numFmtId="170" fontId="2" fillId="4" borderId="60"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5" borderId="10" xfId="0" applyFill="1" applyBorder="1" applyAlignment="1" applyProtection="1">
      <alignment horizontal="center" vertical="center"/>
    </xf>
    <xf numFmtId="0" fontId="0" fillId="0" borderId="4" xfId="0" applyBorder="1" applyAlignment="1">
      <alignment horizontal="center" vertical="center"/>
    </xf>
    <xf numFmtId="0" fontId="0" fillId="5" borderId="10"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0" borderId="4" xfId="0" applyBorder="1" applyAlignment="1">
      <alignment wrapText="1"/>
    </xf>
    <xf numFmtId="0" fontId="0" fillId="5" borderId="4" xfId="0" applyFill="1" applyBorder="1" applyAlignment="1">
      <alignment wrapText="1"/>
    </xf>
    <xf numFmtId="0" fontId="0" fillId="0" borderId="3" xfId="0" applyBorder="1" applyAlignment="1">
      <alignment horizontal="center" vertical="center" wrapText="1"/>
    </xf>
    <xf numFmtId="0" fontId="0" fillId="5" borderId="11" xfId="0" applyFill="1" applyBorder="1" applyAlignment="1" applyProtection="1">
      <alignment horizontal="center" vertical="center" wrapText="1"/>
    </xf>
    <xf numFmtId="0" fontId="0" fillId="0" borderId="11" xfId="0" applyBorder="1" applyAlignment="1" applyProtection="1">
      <alignment wrapText="1"/>
    </xf>
    <xf numFmtId="0" fontId="0" fillId="0" borderId="3" xfId="0" applyBorder="1" applyAlignment="1">
      <alignment wrapText="1"/>
    </xf>
    <xf numFmtId="0" fontId="2" fillId="5" borderId="10" xfId="0" applyFont="1" applyFill="1" applyBorder="1" applyAlignment="1" applyProtection="1">
      <alignment horizontal="center" vertical="center" wrapText="1"/>
    </xf>
    <xf numFmtId="0" fontId="0" fillId="0" borderId="7" xfId="0" applyBorder="1" applyAlignment="1">
      <alignment horizontal="center" vertical="center"/>
    </xf>
    <xf numFmtId="164" fontId="0" fillId="5" borderId="11" xfId="0" applyNumberFormat="1" applyFill="1" applyBorder="1" applyAlignment="1" applyProtection="1">
      <alignment horizontal="center" vertical="center" wrapText="1"/>
    </xf>
    <xf numFmtId="0" fontId="0" fillId="0" borderId="11" xfId="0" applyBorder="1" applyAlignment="1" applyProtection="1">
      <alignment horizontal="center" vertical="center" wrapText="1"/>
    </xf>
    <xf numFmtId="164" fontId="0" fillId="5" borderId="3" xfId="0" applyNumberForma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3" xfId="0" applyBorder="1" applyAlignment="1">
      <alignment horizontal="center" vertical="center"/>
    </xf>
    <xf numFmtId="0" fontId="0" fillId="5" borderId="12" xfId="0" applyFill="1" applyBorder="1" applyAlignment="1" applyProtection="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2" fillId="5" borderId="12" xfId="0" applyFont="1" applyFill="1" applyBorder="1" applyAlignment="1" applyProtection="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5" borderId="11" xfId="0" applyFill="1" applyBorder="1" applyAlignment="1" applyProtection="1">
      <alignment horizontal="center" vertical="center"/>
    </xf>
    <xf numFmtId="0" fontId="0" fillId="0" borderId="11" xfId="0" applyBorder="1" applyAlignment="1" applyProtection="1"/>
    <xf numFmtId="164" fontId="2" fillId="5" borderId="11" xfId="0" applyNumberFormat="1" applyFont="1" applyFill="1" applyBorder="1" applyAlignment="1" applyProtection="1">
      <alignment horizontal="center" vertical="center" wrapText="1"/>
    </xf>
    <xf numFmtId="164" fontId="2" fillId="5" borderId="10" xfId="0" applyNumberFormat="1" applyFont="1" applyFill="1" applyBorder="1" applyAlignment="1" applyProtection="1">
      <alignment horizontal="center" vertical="center" wrapText="1"/>
    </xf>
    <xf numFmtId="0" fontId="0" fillId="5" borderId="3" xfId="0" applyFill="1" applyBorder="1" applyAlignment="1" applyProtection="1">
      <alignment horizontal="center" vertical="center"/>
    </xf>
    <xf numFmtId="0" fontId="0" fillId="0" borderId="4" xfId="0" applyBorder="1" applyAlignment="1"/>
    <xf numFmtId="0" fontId="2" fillId="5" borderId="58"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11" xfId="0" applyFont="1" applyFill="1" applyBorder="1" applyAlignment="1" applyProtection="1">
      <alignment horizontal="center" vertical="center" wrapText="1"/>
    </xf>
    <xf numFmtId="181" fontId="0" fillId="5" borderId="10" xfId="0" applyNumberFormat="1" applyFill="1" applyBorder="1" applyAlignment="1" applyProtection="1">
      <alignment horizontal="center" vertical="center" wrapText="1"/>
    </xf>
    <xf numFmtId="181" fontId="0" fillId="5" borderId="3" xfId="0" applyNumberFormat="1" applyFill="1" applyBorder="1" applyAlignment="1" applyProtection="1">
      <alignment horizontal="center" vertical="center" wrapText="1"/>
    </xf>
    <xf numFmtId="181" fontId="0" fillId="5" borderId="4" xfId="0" applyNumberFormat="1" applyFill="1" applyBorder="1" applyAlignment="1">
      <alignment wrapText="1"/>
    </xf>
    <xf numFmtId="0" fontId="0" fillId="5" borderId="34" xfId="0" applyFill="1" applyBorder="1" applyAlignment="1"/>
    <xf numFmtId="0" fontId="0" fillId="5" borderId="58" xfId="0"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2" fillId="18" borderId="0" xfId="0" applyFont="1" applyFill="1" applyAlignment="1" applyProtection="1">
      <alignment horizontal="center" wrapText="1"/>
    </xf>
    <xf numFmtId="0" fontId="0" fillId="0" borderId="0" xfId="0" applyAlignment="1" applyProtection="1">
      <alignment horizontal="center" wrapText="1"/>
    </xf>
    <xf numFmtId="0" fontId="0" fillId="18" borderId="0" xfId="0" applyFill="1" applyAlignment="1" applyProtection="1">
      <alignment horizontal="center" wrapText="1"/>
    </xf>
    <xf numFmtId="0" fontId="0" fillId="18" borderId="0" xfId="0" applyFill="1" applyAlignment="1">
      <alignment wrapText="1"/>
    </xf>
    <xf numFmtId="0" fontId="34" fillId="18" borderId="0" xfId="0" applyFont="1" applyFill="1" applyBorder="1" applyAlignment="1" applyProtection="1">
      <alignment vertical="center" wrapText="1"/>
    </xf>
    <xf numFmtId="0" fontId="45" fillId="17" borderId="0" xfId="0" applyFont="1" applyFill="1" applyBorder="1" applyAlignment="1" applyProtection="1"/>
    <xf numFmtId="0" fontId="0" fillId="18" borderId="0" xfId="0" applyFill="1" applyAlignment="1" applyProtection="1">
      <alignment horizontal="center" vertical="center" wrapText="1"/>
    </xf>
    <xf numFmtId="0" fontId="0" fillId="18" borderId="0" xfId="0" applyFill="1" applyAlignment="1" applyProtection="1">
      <alignment horizontal="center" vertical="center" wrapText="1"/>
    </xf>
    <xf numFmtId="0" fontId="0" fillId="18" borderId="0" xfId="0" applyFill="1" applyAlignment="1"/>
    <xf numFmtId="2" fontId="0" fillId="6" borderId="93" xfId="0" applyNumberFormat="1" applyFill="1" applyBorder="1" applyAlignment="1" applyProtection="1">
      <alignment horizontal="center" vertical="center"/>
    </xf>
    <xf numFmtId="0" fontId="3" fillId="0" borderId="82" xfId="0" applyFont="1" applyBorder="1" applyAlignment="1" applyProtection="1">
      <alignment horizontal="center" wrapText="1"/>
    </xf>
    <xf numFmtId="0" fontId="30" fillId="0" borderId="0" xfId="0" applyFont="1" applyFill="1" applyBorder="1" applyAlignment="1" applyProtection="1">
      <alignment horizontal="center" vertical="center"/>
    </xf>
    <xf numFmtId="0" fontId="0" fillId="0" borderId="94" xfId="0" applyBorder="1" applyProtection="1"/>
    <xf numFmtId="0" fontId="0" fillId="0" borderId="82" xfId="0" applyBorder="1" applyProtection="1"/>
    <xf numFmtId="0" fontId="0" fillId="18" borderId="0" xfId="0" applyFill="1" applyBorder="1" applyAlignment="1"/>
    <xf numFmtId="0" fontId="18" fillId="18" borderId="0" xfId="0" applyFont="1" applyFill="1" applyBorder="1" applyAlignment="1"/>
    <xf numFmtId="0" fontId="14" fillId="0" borderId="0" xfId="0" applyFont="1" applyFill="1" applyBorder="1"/>
    <xf numFmtId="0" fontId="0" fillId="0" borderId="0" xfId="0" applyFill="1" applyAlignment="1"/>
    <xf numFmtId="0" fontId="50" fillId="0" borderId="0" xfId="0" applyFont="1" applyFill="1"/>
    <xf numFmtId="0" fontId="50" fillId="0" borderId="0" xfId="0" applyFont="1" applyFill="1" applyBorder="1"/>
    <xf numFmtId="0" fontId="50" fillId="0" borderId="0" xfId="0" applyFont="1" applyFill="1" applyAlignment="1">
      <alignment vertical="center"/>
    </xf>
    <xf numFmtId="0" fontId="0" fillId="0" borderId="0" xfId="0" applyFill="1" applyAlignment="1">
      <alignment vertical="center"/>
    </xf>
    <xf numFmtId="0" fontId="50" fillId="0" borderId="0" xfId="0" applyFont="1" applyFill="1" applyBorder="1" applyAlignment="1">
      <alignment vertical="center"/>
    </xf>
    <xf numFmtId="0" fontId="0" fillId="0" borderId="0" xfId="0" applyFill="1" applyBorder="1" applyAlignment="1">
      <alignment vertical="center"/>
    </xf>
    <xf numFmtId="0" fontId="50" fillId="18" borderId="0" xfId="0" applyFont="1" applyFill="1" applyProtection="1"/>
    <xf numFmtId="0" fontId="50" fillId="18" borderId="0" xfId="0" applyFont="1" applyFill="1" applyAlignment="1" applyProtection="1">
      <alignment horizontal="left"/>
    </xf>
    <xf numFmtId="0" fontId="50" fillId="18" borderId="0" xfId="0" applyFont="1" applyFill="1" applyAlignment="1" applyProtection="1">
      <alignment wrapText="1"/>
    </xf>
    <xf numFmtId="0" fontId="52" fillId="18" borderId="89" xfId="0" applyFont="1" applyFill="1" applyBorder="1" applyAlignment="1" applyProtection="1">
      <alignment vertical="center"/>
    </xf>
    <xf numFmtId="0" fontId="50" fillId="18" borderId="89" xfId="0" applyFont="1" applyFill="1" applyBorder="1" applyAlignment="1" applyProtection="1">
      <alignment vertical="center"/>
      <protection locked="0"/>
    </xf>
    <xf numFmtId="0" fontId="50" fillId="18" borderId="0" xfId="0" applyFont="1" applyFill="1" applyBorder="1" applyProtection="1"/>
    <xf numFmtId="182" fontId="52" fillId="10" borderId="61" xfId="0" applyNumberFormat="1" applyFont="1" applyFill="1" applyBorder="1" applyAlignment="1" applyProtection="1">
      <alignment horizontal="center" vertical="center" wrapText="1" readingOrder="1"/>
    </xf>
    <xf numFmtId="171" fontId="52" fillId="10" borderId="78" xfId="0" applyNumberFormat="1" applyFont="1" applyFill="1" applyBorder="1" applyAlignment="1" applyProtection="1">
      <alignment horizontal="center" vertical="center" wrapText="1" readingOrder="1"/>
    </xf>
    <xf numFmtId="185" fontId="50" fillId="10" borderId="61" xfId="0" applyNumberFormat="1" applyFont="1" applyFill="1" applyBorder="1" applyAlignment="1" applyProtection="1">
      <alignment horizontal="left" vertical="center" wrapText="1" indent="1"/>
    </xf>
    <xf numFmtId="187" fontId="50" fillId="10" borderId="61" xfId="0" applyNumberFormat="1" applyFont="1" applyFill="1" applyBorder="1" applyAlignment="1" applyProtection="1">
      <alignment horizontal="center" vertical="center"/>
    </xf>
    <xf numFmtId="2" fontId="50" fillId="10" borderId="61" xfId="0" applyNumberFormat="1" applyFont="1" applyFill="1" applyBorder="1" applyAlignment="1" applyProtection="1">
      <alignment horizontal="center" vertical="center"/>
    </xf>
    <xf numFmtId="178" fontId="50" fillId="10" borderId="78" xfId="0" applyNumberFormat="1" applyFont="1" applyFill="1" applyBorder="1" applyAlignment="1" applyProtection="1">
      <alignment horizontal="center" vertical="center"/>
    </xf>
    <xf numFmtId="0" fontId="50" fillId="18" borderId="39" xfId="0" applyFont="1" applyFill="1" applyBorder="1" applyProtection="1"/>
    <xf numFmtId="0" fontId="55" fillId="18" borderId="0" xfId="0" applyFont="1" applyFill="1" applyBorder="1" applyAlignment="1" applyProtection="1">
      <alignment horizontal="right"/>
    </xf>
    <xf numFmtId="179" fontId="50" fillId="18" borderId="0" xfId="0" applyNumberFormat="1" applyFont="1" applyFill="1" applyBorder="1" applyAlignment="1" applyProtection="1">
      <alignment horizontal="center" vertical="center"/>
    </xf>
    <xf numFmtId="0" fontId="55" fillId="18" borderId="0" xfId="0" applyFont="1" applyFill="1" applyAlignment="1" applyProtection="1">
      <alignment horizontal="right"/>
    </xf>
    <xf numFmtId="180" fontId="50" fillId="18" borderId="0" xfId="0" applyNumberFormat="1" applyFont="1" applyFill="1" applyBorder="1" applyAlignment="1" applyProtection="1">
      <alignment horizontal="center" vertical="center"/>
    </xf>
    <xf numFmtId="0" fontId="18" fillId="18" borderId="0" xfId="0" applyFont="1" applyFill="1" applyBorder="1" applyProtection="1"/>
    <xf numFmtId="0" fontId="56" fillId="18" borderId="0" xfId="0" applyFont="1" applyFill="1" applyBorder="1" applyAlignment="1" applyProtection="1">
      <alignment horizontal="left" vertical="center"/>
    </xf>
    <xf numFmtId="0" fontId="50" fillId="18" borderId="0" xfId="0" applyFont="1" applyFill="1" applyBorder="1" applyAlignment="1" applyProtection="1">
      <alignment horizontal="center" vertical="center"/>
    </xf>
    <xf numFmtId="0" fontId="50" fillId="18" borderId="39" xfId="0" applyFont="1" applyFill="1" applyBorder="1" applyAlignment="1" applyProtection="1">
      <alignment horizontal="center" vertical="center"/>
    </xf>
    <xf numFmtId="0" fontId="50" fillId="18" borderId="0" xfId="0" applyFont="1" applyFill="1" applyBorder="1" applyAlignment="1" applyProtection="1">
      <alignment horizontal="center" vertical="center" wrapText="1"/>
    </xf>
    <xf numFmtId="10" fontId="50" fillId="18" borderId="0" xfId="0" applyNumberFormat="1" applyFont="1" applyFill="1" applyBorder="1" applyAlignment="1" applyProtection="1">
      <alignment horizontal="center" vertical="center" wrapText="1"/>
    </xf>
    <xf numFmtId="2" fontId="55" fillId="18" borderId="0" xfId="0" applyNumberFormat="1" applyFont="1" applyFill="1" applyBorder="1" applyAlignment="1" applyProtection="1">
      <alignment horizontal="center" vertical="center"/>
    </xf>
    <xf numFmtId="2" fontId="55" fillId="18" borderId="0" xfId="0" applyNumberFormat="1" applyFont="1" applyFill="1" applyBorder="1" applyAlignment="1" applyProtection="1">
      <alignment horizontal="center" vertical="center" wrapText="1"/>
    </xf>
    <xf numFmtId="2" fontId="50" fillId="18" borderId="0" xfId="0" applyNumberFormat="1" applyFont="1" applyFill="1" applyBorder="1" applyAlignment="1" applyProtection="1">
      <alignment horizontal="center" vertical="center"/>
    </xf>
    <xf numFmtId="168" fontId="50" fillId="10" borderId="11" xfId="0" applyNumberFormat="1" applyFont="1" applyFill="1" applyBorder="1" applyAlignment="1" applyProtection="1">
      <alignment horizontal="center" vertical="center"/>
    </xf>
    <xf numFmtId="170" fontId="50" fillId="10" borderId="4" xfId="0" applyNumberFormat="1" applyFont="1" applyFill="1" applyBorder="1" applyAlignment="1" applyProtection="1">
      <alignment horizontal="center" vertical="center"/>
    </xf>
    <xf numFmtId="178" fontId="50" fillId="18" borderId="0" xfId="0" applyNumberFormat="1" applyFont="1" applyFill="1" applyBorder="1" applyAlignment="1" applyProtection="1">
      <alignment horizontal="center" vertical="center"/>
    </xf>
    <xf numFmtId="178" fontId="52" fillId="18" borderId="0" xfId="0" applyNumberFormat="1" applyFont="1" applyFill="1" applyBorder="1" applyAlignment="1" applyProtection="1">
      <alignment horizontal="center" vertical="center"/>
    </xf>
    <xf numFmtId="173" fontId="50" fillId="18" borderId="0" xfId="0" applyNumberFormat="1" applyFont="1" applyFill="1" applyBorder="1" applyAlignment="1" applyProtection="1">
      <alignment horizontal="center" vertical="center"/>
    </xf>
    <xf numFmtId="168" fontId="50" fillId="18" borderId="0" xfId="0" applyNumberFormat="1" applyFont="1" applyFill="1" applyBorder="1" applyAlignment="1" applyProtection="1">
      <alignment horizontal="center" vertical="center"/>
    </xf>
    <xf numFmtId="170" fontId="50" fillId="18" borderId="0" xfId="0" applyNumberFormat="1" applyFont="1" applyFill="1" applyBorder="1" applyAlignment="1" applyProtection="1">
      <alignment horizontal="center" vertical="center"/>
    </xf>
    <xf numFmtId="0" fontId="54" fillId="18" borderId="0" xfId="0" applyFont="1" applyFill="1" applyAlignment="1">
      <alignment horizontal="center" vertical="center" wrapText="1"/>
    </xf>
    <xf numFmtId="0" fontId="50" fillId="18" borderId="0" xfId="0" applyFont="1" applyFill="1" applyBorder="1" applyAlignment="1" applyProtection="1">
      <alignment vertical="center"/>
    </xf>
    <xf numFmtId="0" fontId="50" fillId="18" borderId="0" xfId="0" applyFont="1" applyFill="1" applyAlignment="1">
      <alignment vertical="center"/>
    </xf>
    <xf numFmtId="164" fontId="50" fillId="18" borderId="0" xfId="0" applyNumberFormat="1" applyFont="1" applyFill="1" applyBorder="1" applyAlignment="1" applyProtection="1">
      <alignment horizontal="center" vertical="center"/>
    </xf>
    <xf numFmtId="2" fontId="50" fillId="18" borderId="0" xfId="0" applyNumberFormat="1" applyFont="1" applyFill="1" applyBorder="1" applyAlignment="1" applyProtection="1">
      <alignment horizontal="center" vertical="center" wrapText="1"/>
    </xf>
    <xf numFmtId="172" fontId="50" fillId="18" borderId="0" xfId="0" applyNumberFormat="1" applyFont="1" applyFill="1" applyBorder="1" applyAlignment="1" applyProtection="1">
      <alignment horizontal="center" vertical="center" wrapText="1"/>
    </xf>
    <xf numFmtId="166" fontId="50" fillId="18" borderId="0" xfId="0" applyNumberFormat="1" applyFont="1" applyFill="1" applyBorder="1" applyAlignment="1" applyProtection="1">
      <alignment horizontal="center" vertical="center"/>
    </xf>
    <xf numFmtId="170" fontId="50" fillId="10" borderId="11" xfId="0" applyNumberFormat="1" applyFont="1" applyFill="1" applyBorder="1" applyAlignment="1" applyProtection="1">
      <alignment horizontal="center" vertical="center"/>
    </xf>
    <xf numFmtId="9" fontId="50" fillId="18" borderId="0" xfId="0" applyNumberFormat="1" applyFont="1" applyFill="1" applyBorder="1" applyAlignment="1" applyProtection="1">
      <alignment horizontal="center" vertical="center" wrapText="1" readingOrder="1"/>
    </xf>
    <xf numFmtId="9" fontId="50" fillId="18" borderId="0" xfId="0" applyNumberFormat="1" applyFont="1" applyFill="1" applyBorder="1" applyAlignment="1" applyProtection="1">
      <alignment horizontal="center" vertical="center" wrapText="1"/>
    </xf>
    <xf numFmtId="0" fontId="50" fillId="18" borderId="0" xfId="0" applyFont="1" applyFill="1" applyBorder="1" applyAlignment="1" applyProtection="1">
      <alignment horizontal="center" vertical="center" wrapText="1" readingOrder="1"/>
    </xf>
    <xf numFmtId="10" fontId="57" fillId="18" borderId="0" xfId="0" applyNumberFormat="1" applyFont="1" applyFill="1" applyBorder="1" applyAlignment="1" applyProtection="1">
      <alignment horizontal="center" vertical="center" wrapText="1"/>
    </xf>
    <xf numFmtId="170" fontId="50" fillId="18" borderId="0" xfId="0" applyNumberFormat="1" applyFont="1" applyFill="1" applyBorder="1" applyAlignment="1" applyProtection="1">
      <alignment horizontal="center" vertical="center" wrapText="1"/>
    </xf>
    <xf numFmtId="170" fontId="52" fillId="10" borderId="11" xfId="0" applyNumberFormat="1" applyFont="1" applyFill="1" applyBorder="1" applyAlignment="1" applyProtection="1">
      <alignment horizontal="center" vertical="center" wrapText="1"/>
    </xf>
    <xf numFmtId="2" fontId="50" fillId="18" borderId="6" xfId="0" applyNumberFormat="1" applyFont="1" applyFill="1" applyBorder="1" applyAlignment="1" applyProtection="1">
      <alignment horizontal="center" vertical="center" wrapText="1"/>
    </xf>
    <xf numFmtId="0" fontId="50" fillId="18" borderId="0" xfId="0" applyFont="1" applyFill="1" applyBorder="1" applyAlignment="1">
      <alignment vertical="center" wrapText="1"/>
    </xf>
    <xf numFmtId="0" fontId="50" fillId="18" borderId="6" xfId="0" applyFont="1" applyFill="1" applyBorder="1" applyProtection="1"/>
    <xf numFmtId="0" fontId="50" fillId="18" borderId="0" xfId="0" applyFont="1" applyFill="1"/>
    <xf numFmtId="0" fontId="18" fillId="18" borderId="0" xfId="0" applyFont="1" applyFill="1" applyAlignment="1">
      <alignment horizontal="center" vertical="center"/>
    </xf>
    <xf numFmtId="0" fontId="50" fillId="18" borderId="0" xfId="0" applyFont="1" applyFill="1" applyBorder="1"/>
    <xf numFmtId="0" fontId="50" fillId="4" borderId="0" xfId="0" applyFont="1" applyFill="1" applyBorder="1"/>
    <xf numFmtId="0" fontId="47" fillId="0" borderId="0" xfId="0" applyFont="1" applyFill="1" applyBorder="1" applyAlignment="1" applyProtection="1"/>
    <xf numFmtId="0" fontId="47" fillId="10" borderId="0" xfId="0" applyFont="1" applyFill="1" applyBorder="1" applyAlignment="1" applyProtection="1"/>
    <xf numFmtId="0" fontId="50" fillId="2" borderId="16" xfId="0" applyFont="1" applyFill="1" applyBorder="1"/>
    <xf numFmtId="0" fontId="50" fillId="2" borderId="0" xfId="0" applyFont="1" applyFill="1" applyBorder="1"/>
    <xf numFmtId="0" fontId="50" fillId="2" borderId="2" xfId="0" applyFont="1" applyFill="1" applyBorder="1"/>
    <xf numFmtId="0" fontId="50" fillId="0" borderId="16" xfId="0" applyFont="1" applyFill="1" applyBorder="1"/>
    <xf numFmtId="0" fontId="50" fillId="0" borderId="2" xfId="0" applyFont="1" applyFill="1" applyBorder="1"/>
    <xf numFmtId="0" fontId="50" fillId="0" borderId="16"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16" xfId="0" applyFont="1" applyFill="1" applyBorder="1" applyAlignment="1"/>
    <xf numFmtId="0" fontId="50" fillId="0" borderId="0" xfId="0" applyFont="1" applyFill="1" applyBorder="1" applyAlignment="1">
      <alignment horizontal="center" vertical="center" wrapText="1"/>
    </xf>
    <xf numFmtId="0" fontId="50" fillId="0" borderId="2" xfId="0" applyFont="1" applyFill="1" applyBorder="1" applyAlignment="1"/>
    <xf numFmtId="9" fontId="50" fillId="0" borderId="0" xfId="0" applyNumberFormat="1" applyFont="1" applyFill="1" applyBorder="1" applyAlignment="1">
      <alignment vertical="center"/>
    </xf>
    <xf numFmtId="9" fontId="50" fillId="0" borderId="0" xfId="0" applyNumberFormat="1" applyFont="1" applyFill="1" applyBorder="1"/>
    <xf numFmtId="9" fontId="50" fillId="0" borderId="0" xfId="0" applyNumberFormat="1" applyFont="1" applyFill="1" applyBorder="1" applyAlignment="1">
      <alignment horizontal="center" vertical="center"/>
    </xf>
    <xf numFmtId="9" fontId="54" fillId="0" borderId="0" xfId="0" applyNumberFormat="1" applyFont="1" applyFill="1" applyBorder="1" applyAlignment="1">
      <alignment vertical="top" wrapText="1"/>
    </xf>
    <xf numFmtId="0" fontId="50" fillId="0" borderId="9" xfId="0" applyFont="1" applyFill="1" applyBorder="1"/>
    <xf numFmtId="0" fontId="50" fillId="0" borderId="6" xfId="0" applyFont="1" applyFill="1" applyBorder="1"/>
    <xf numFmtId="9" fontId="50" fillId="0" borderId="6" xfId="0" applyNumberFormat="1" applyFont="1" applyFill="1" applyBorder="1"/>
    <xf numFmtId="0" fontId="50" fillId="0" borderId="7" xfId="0" applyFont="1" applyFill="1" applyBorder="1"/>
    <xf numFmtId="9" fontId="50" fillId="18" borderId="0" xfId="0" applyNumberFormat="1" applyFont="1" applyFill="1" applyBorder="1"/>
    <xf numFmtId="0" fontId="60" fillId="10" borderId="10" xfId="0" applyFont="1" applyFill="1" applyBorder="1" applyAlignment="1">
      <alignment horizontal="center" vertical="center"/>
    </xf>
    <xf numFmtId="0" fontId="0" fillId="0" borderId="0" xfId="0" applyFill="1" applyProtection="1">
      <protection locked="0"/>
    </xf>
    <xf numFmtId="176" fontId="61" fillId="18" borderId="0" xfId="0" applyNumberFormat="1" applyFont="1" applyFill="1" applyBorder="1" applyProtection="1"/>
    <xf numFmtId="0" fontId="2" fillId="18" borderId="0" xfId="0" applyFont="1" applyFill="1" applyBorder="1" applyProtection="1"/>
    <xf numFmtId="0" fontId="62" fillId="18" borderId="0" xfId="0" applyFont="1" applyFill="1" applyProtection="1"/>
    <xf numFmtId="0" fontId="0" fillId="18" borderId="0" xfId="0" applyFill="1" applyProtection="1">
      <protection locked="0"/>
    </xf>
    <xf numFmtId="0" fontId="2" fillId="0" borderId="0" xfId="0" applyFont="1" applyFill="1" applyProtection="1"/>
    <xf numFmtId="0" fontId="63" fillId="0" borderId="0" xfId="0" applyFont="1" applyFill="1" applyProtection="1">
      <protection locked="0"/>
    </xf>
    <xf numFmtId="0" fontId="2" fillId="0" borderId="0" xfId="0" applyFont="1" applyFill="1" applyProtection="1">
      <protection locked="0"/>
    </xf>
    <xf numFmtId="0" fontId="63" fillId="18" borderId="0" xfId="0" applyFont="1" applyFill="1" applyProtection="1"/>
    <xf numFmtId="0" fontId="64" fillId="18" borderId="0" xfId="0" applyFont="1" applyFill="1" applyProtection="1"/>
    <xf numFmtId="0" fontId="0" fillId="18" borderId="0" xfId="0" applyFill="1" applyBorder="1" applyAlignment="1"/>
    <xf numFmtId="0" fontId="61" fillId="18" borderId="0" xfId="0" applyFont="1" applyFill="1" applyBorder="1" applyProtection="1"/>
    <xf numFmtId="0" fontId="63" fillId="18" borderId="0" xfId="0" applyFont="1" applyFill="1" applyBorder="1" applyProtection="1"/>
    <xf numFmtId="0" fontId="24" fillId="10" borderId="95" xfId="0" applyFont="1" applyFill="1" applyBorder="1" applyAlignment="1" applyProtection="1">
      <alignment horizontal="left" vertical="center"/>
    </xf>
    <xf numFmtId="0" fontId="2" fillId="24" borderId="61" xfId="0" applyFont="1" applyFill="1" applyBorder="1" applyAlignment="1" applyProtection="1">
      <alignment horizontal="center" vertical="center" wrapText="1"/>
      <protection locked="0"/>
    </xf>
    <xf numFmtId="168" fontId="2" fillId="24" borderId="61" xfId="0" applyNumberFormat="1" applyFont="1" applyFill="1" applyBorder="1" applyAlignment="1" applyProtection="1">
      <alignment horizontal="center" vertical="center" wrapText="1"/>
      <protection locked="0"/>
    </xf>
    <xf numFmtId="166" fontId="2" fillId="24" borderId="61" xfId="0" applyNumberFormat="1" applyFont="1" applyFill="1" applyBorder="1" applyAlignment="1" applyProtection="1">
      <alignment horizontal="center" vertical="center"/>
      <protection locked="0"/>
    </xf>
    <xf numFmtId="0" fontId="2" fillId="24" borderId="74" xfId="0" applyFont="1" applyFill="1" applyBorder="1" applyAlignment="1" applyProtection="1">
      <alignment horizontal="center" vertical="center" wrapText="1"/>
      <protection locked="0"/>
    </xf>
    <xf numFmtId="0" fontId="50" fillId="25" borderId="61" xfId="0" applyFont="1" applyFill="1" applyBorder="1" applyAlignment="1" applyProtection="1">
      <alignment horizontal="left" vertical="center" wrapText="1"/>
      <protection locked="0"/>
    </xf>
    <xf numFmtId="0" fontId="50" fillId="25" borderId="61" xfId="0" applyFont="1" applyFill="1" applyBorder="1" applyAlignment="1" applyProtection="1">
      <alignment vertical="center" wrapText="1"/>
      <protection locked="0"/>
    </xf>
    <xf numFmtId="168" fontId="50" fillId="25" borderId="61" xfId="0" applyNumberFormat="1" applyFont="1" applyFill="1" applyBorder="1" applyAlignment="1" applyProtection="1">
      <alignment horizontal="center" vertical="center" wrapText="1"/>
      <protection locked="0"/>
    </xf>
    <xf numFmtId="170" fontId="50" fillId="25" borderId="61" xfId="0" applyNumberFormat="1" applyFont="1" applyFill="1" applyBorder="1" applyAlignment="1" applyProtection="1">
      <alignment horizontal="center" vertical="center"/>
      <protection locked="0"/>
    </xf>
    <xf numFmtId="0" fontId="50" fillId="25" borderId="79" xfId="0" quotePrefix="1" applyFont="1" applyFill="1" applyBorder="1" applyAlignment="1" applyProtection="1">
      <alignment vertical="center" wrapText="1" readingOrder="1"/>
      <protection locked="0"/>
    </xf>
    <xf numFmtId="0" fontId="50" fillId="25" borderId="79" xfId="0" applyFont="1" applyFill="1" applyBorder="1" applyAlignment="1" applyProtection="1">
      <alignment vertical="center" wrapText="1" readingOrder="1"/>
      <protection locked="0"/>
    </xf>
    <xf numFmtId="0" fontId="50" fillId="25" borderId="79" xfId="0" applyFont="1" applyFill="1" applyBorder="1" applyAlignment="1" applyProtection="1">
      <alignment vertical="center" wrapText="1"/>
      <protection locked="0"/>
    </xf>
    <xf numFmtId="9" fontId="50" fillId="19" borderId="61" xfId="0" applyNumberFormat="1" applyFont="1" applyFill="1" applyBorder="1" applyAlignment="1" applyProtection="1">
      <alignment horizontal="center" vertical="center" wrapText="1" readingOrder="1"/>
      <protection locked="0"/>
    </xf>
    <xf numFmtId="9" fontId="50" fillId="23" borderId="78" xfId="0" applyNumberFormat="1" applyFont="1" applyFill="1" applyBorder="1" applyAlignment="1" applyProtection="1">
      <alignment horizontal="center" vertical="center" wrapText="1"/>
      <protection locked="0"/>
    </xf>
    <xf numFmtId="175" fontId="50" fillId="20" borderId="76" xfId="0" applyNumberFormat="1" applyFont="1" applyFill="1" applyBorder="1" applyAlignment="1" applyProtection="1">
      <alignment horizontal="center" vertical="center"/>
      <protection locked="0"/>
    </xf>
    <xf numFmtId="167" fontId="50" fillId="20" borderId="76" xfId="0" applyNumberFormat="1" applyFont="1" applyFill="1" applyBorder="1" applyAlignment="1" applyProtection="1">
      <alignment horizontal="center" vertical="center"/>
      <protection locked="0"/>
    </xf>
    <xf numFmtId="172" fontId="2" fillId="24" borderId="61" xfId="0" applyNumberFormat="1" applyFont="1" applyFill="1" applyBorder="1" applyAlignment="1" applyProtection="1">
      <alignment horizontal="center" vertical="center"/>
      <protection locked="0"/>
    </xf>
    <xf numFmtId="170" fontId="2" fillId="24" borderId="61" xfId="0" applyNumberFormat="1" applyFont="1" applyFill="1" applyBorder="1" applyAlignment="1" applyProtection="1">
      <alignment horizontal="center" vertical="center"/>
      <protection locked="0"/>
    </xf>
    <xf numFmtId="0" fontId="2" fillId="24" borderId="64" xfId="0" applyNumberFormat="1" applyFont="1" applyFill="1" applyBorder="1" applyAlignment="1" applyProtection="1">
      <alignment horizontal="center" vertical="center" wrapText="1"/>
      <protection locked="0"/>
    </xf>
    <xf numFmtId="0" fontId="2" fillId="24" borderId="65" xfId="0" applyNumberFormat="1" applyFont="1" applyFill="1" applyBorder="1" applyAlignment="1" applyProtection="1">
      <alignment horizontal="center" vertical="center" wrapText="1"/>
      <protection locked="0"/>
    </xf>
    <xf numFmtId="9" fontId="2" fillId="19" borderId="61" xfId="0" applyNumberFormat="1" applyFont="1" applyFill="1" applyBorder="1" applyAlignment="1" applyProtection="1">
      <alignment horizontal="center" vertical="center" wrapText="1"/>
      <protection locked="0"/>
    </xf>
    <xf numFmtId="9" fontId="2" fillId="23" borderId="75" xfId="0" applyNumberFormat="1" applyFont="1" applyFill="1" applyBorder="1" applyAlignment="1" applyProtection="1">
      <alignment horizontal="center" vertical="center" wrapText="1"/>
      <protection locked="0"/>
    </xf>
    <xf numFmtId="9" fontId="2" fillId="24" borderId="77" xfId="0" applyNumberFormat="1" applyFont="1" applyFill="1" applyBorder="1" applyAlignment="1" applyProtection="1">
      <alignment horizontal="center" vertical="center" wrapText="1"/>
      <protection locked="0"/>
    </xf>
    <xf numFmtId="185" fontId="2" fillId="10" borderId="61" xfId="0" applyNumberFormat="1" applyFont="1" applyFill="1" applyBorder="1" applyAlignment="1" applyProtection="1">
      <alignment horizontal="center" vertical="center" wrapText="1"/>
    </xf>
    <xf numFmtId="183" fontId="2" fillId="10" borderId="61" xfId="0" applyNumberFormat="1" applyFont="1" applyFill="1" applyBorder="1" applyAlignment="1" applyProtection="1">
      <alignment horizontal="center" vertical="center"/>
    </xf>
    <xf numFmtId="184" fontId="2" fillId="10" borderId="61" xfId="0" applyNumberFormat="1" applyFont="1" applyFill="1" applyBorder="1" applyAlignment="1" applyProtection="1">
      <alignment horizontal="center" vertical="center"/>
    </xf>
    <xf numFmtId="0" fontId="2" fillId="10" borderId="61" xfId="0" applyFont="1" applyFill="1" applyBorder="1" applyAlignment="1" applyProtection="1">
      <alignment horizontal="center" vertical="center"/>
    </xf>
    <xf numFmtId="2" fontId="2" fillId="10" borderId="61" xfId="0" applyNumberFormat="1" applyFont="1" applyFill="1" applyBorder="1" applyAlignment="1" applyProtection="1">
      <alignment horizontal="center" vertical="center"/>
    </xf>
    <xf numFmtId="184" fontId="2" fillId="10" borderId="78" xfId="0" applyNumberFormat="1" applyFont="1" applyFill="1" applyBorder="1" applyAlignment="1" applyProtection="1">
      <alignment horizontal="center" vertical="center"/>
    </xf>
    <xf numFmtId="185" fontId="2" fillId="10" borderId="61" xfId="0" applyNumberFormat="1" applyFont="1" applyFill="1" applyBorder="1" applyAlignment="1" applyProtection="1">
      <alignment horizontal="center" wrapText="1"/>
    </xf>
    <xf numFmtId="183" fontId="2" fillId="10" borderId="61" xfId="0" applyNumberFormat="1" applyFont="1" applyFill="1" applyBorder="1" applyAlignment="1" applyProtection="1">
      <alignment horizontal="center"/>
    </xf>
    <xf numFmtId="184" fontId="2" fillId="10" borderId="61" xfId="0" applyNumberFormat="1" applyFont="1" applyFill="1" applyBorder="1" applyAlignment="1" applyProtection="1">
      <alignment horizontal="center"/>
    </xf>
    <xf numFmtId="2" fontId="2" fillId="10" borderId="61" xfId="0" applyNumberFormat="1" applyFont="1" applyFill="1" applyBorder="1" applyAlignment="1" applyProtection="1">
      <alignment horizontal="center"/>
    </xf>
    <xf numFmtId="0" fontId="2" fillId="24" borderId="61" xfId="0" applyFont="1" applyFill="1" applyBorder="1" applyAlignment="1">
      <alignment horizontal="center" vertical="center" wrapText="1"/>
    </xf>
    <xf numFmtId="0" fontId="3" fillId="0" borderId="89" xfId="0" applyFont="1" applyFill="1" applyBorder="1"/>
    <xf numFmtId="0" fontId="3" fillId="0" borderId="89" xfId="0" applyFont="1" applyBorder="1"/>
    <xf numFmtId="0" fontId="3" fillId="0" borderId="92" xfId="0" applyFont="1" applyFill="1" applyBorder="1"/>
    <xf numFmtId="0" fontId="0" fillId="26" borderId="0" xfId="0" applyFill="1" applyBorder="1" applyAlignment="1"/>
    <xf numFmtId="0" fontId="0" fillId="26" borderId="0" xfId="0" applyFill="1"/>
    <xf numFmtId="0" fontId="66" fillId="20" borderId="64" xfId="0" applyFont="1" applyFill="1" applyBorder="1" applyAlignment="1">
      <alignment horizontal="center" vertical="center"/>
    </xf>
    <xf numFmtId="0" fontId="66" fillId="19" borderId="95" xfId="0" applyFont="1" applyFill="1" applyBorder="1" applyAlignment="1">
      <alignment horizontal="center" vertical="center"/>
    </xf>
    <xf numFmtId="0" fontId="50" fillId="26" borderId="0" xfId="0" applyFont="1" applyFill="1"/>
    <xf numFmtId="174" fontId="70" fillId="0" borderId="0" xfId="0" applyNumberFormat="1" applyFont="1" applyFill="1" applyAlignment="1">
      <alignment vertical="top"/>
    </xf>
    <xf numFmtId="174" fontId="71" fillId="0" borderId="0" xfId="0" applyNumberFormat="1" applyFont="1" applyFill="1" applyAlignment="1">
      <alignment vertical="center"/>
    </xf>
    <xf numFmtId="0" fontId="71" fillId="0" borderId="0" xfId="0" applyFont="1" applyFill="1" applyAlignment="1">
      <alignment vertical="center" wrapText="1"/>
    </xf>
    <xf numFmtId="174" fontId="70" fillId="0" borderId="0" xfId="0" applyNumberFormat="1" applyFont="1" applyFill="1" applyAlignment="1">
      <alignment vertical="center"/>
    </xf>
    <xf numFmtId="0" fontId="71" fillId="0" borderId="0" xfId="0" applyFont="1" applyFill="1" applyAlignment="1">
      <alignment vertical="center"/>
    </xf>
    <xf numFmtId="0" fontId="71" fillId="0" borderId="0" xfId="0" applyFont="1" applyFill="1"/>
    <xf numFmtId="0" fontId="72" fillId="0" borderId="0" xfId="0" applyFont="1" applyFill="1" applyAlignment="1">
      <alignment vertical="center"/>
    </xf>
    <xf numFmtId="174" fontId="72" fillId="0" borderId="0" xfId="0" applyNumberFormat="1" applyFont="1" applyFill="1" applyAlignment="1">
      <alignment vertical="center"/>
    </xf>
    <xf numFmtId="0" fontId="71" fillId="0" borderId="0" xfId="0" applyFont="1" applyFill="1" applyAlignment="1">
      <alignment horizontal="left" vertical="center" wrapText="1"/>
    </xf>
    <xf numFmtId="0" fontId="72" fillId="0" borderId="0" xfId="0" applyFont="1" applyFill="1" applyAlignment="1">
      <alignment vertical="top" wrapText="1"/>
    </xf>
    <xf numFmtId="0" fontId="72" fillId="0" borderId="0" xfId="0" applyFont="1" applyFill="1" applyAlignment="1">
      <alignment vertical="center" wrapText="1"/>
    </xf>
    <xf numFmtId="0" fontId="71" fillId="0" borderId="0" xfId="0" applyFont="1" applyFill="1" applyAlignment="1">
      <alignment vertical="top"/>
    </xf>
    <xf numFmtId="0" fontId="71" fillId="0" borderId="6" xfId="0" applyFont="1" applyFill="1" applyBorder="1" applyAlignment="1">
      <alignment vertical="center"/>
    </xf>
    <xf numFmtId="0" fontId="71" fillId="0" borderId="0" xfId="0" applyFont="1" applyFill="1" applyAlignment="1">
      <alignment horizontal="center" vertical="center"/>
    </xf>
    <xf numFmtId="0" fontId="71" fillId="0" borderId="0" xfId="0" quotePrefix="1" applyFont="1" applyFill="1" applyAlignment="1">
      <alignment vertical="center"/>
    </xf>
    <xf numFmtId="49" fontId="71" fillId="0" borderId="0" xfId="0" applyNumberFormat="1" applyFont="1" applyFill="1" applyAlignment="1">
      <alignment vertical="center"/>
    </xf>
    <xf numFmtId="0" fontId="71" fillId="0" borderId="0" xfId="0" applyFont="1" applyFill="1" applyAlignment="1">
      <alignment horizontal="right" vertical="center"/>
    </xf>
    <xf numFmtId="0" fontId="71" fillId="0" borderId="0" xfId="0" applyFont="1" applyFill="1" applyBorder="1" applyAlignment="1">
      <alignment vertical="top"/>
    </xf>
    <xf numFmtId="0" fontId="71" fillId="0" borderId="0" xfId="0" applyFont="1" applyFill="1" applyBorder="1" applyAlignment="1">
      <alignment vertical="center"/>
    </xf>
    <xf numFmtId="0" fontId="72" fillId="0" borderId="5" xfId="0" applyFont="1" applyFill="1" applyBorder="1"/>
    <xf numFmtId="0" fontId="71" fillId="0" borderId="5" xfId="0" applyFont="1" applyFill="1" applyBorder="1"/>
    <xf numFmtId="0" fontId="71" fillId="0" borderId="0" xfId="0" applyFont="1" applyFill="1" applyBorder="1"/>
    <xf numFmtId="0" fontId="71" fillId="0" borderId="0" xfId="0" applyFont="1" applyFill="1" applyBorder="1" applyAlignment="1">
      <alignment wrapText="1"/>
    </xf>
    <xf numFmtId="0" fontId="72" fillId="0" borderId="0" xfId="0" applyFont="1" applyFill="1" applyBorder="1" applyAlignment="1">
      <alignment horizontal="left" vertical="center"/>
    </xf>
    <xf numFmtId="0" fontId="71" fillId="0" borderId="0" xfId="0" applyFont="1" applyFill="1" applyAlignment="1">
      <alignment horizontal="left" vertical="center"/>
    </xf>
    <xf numFmtId="0" fontId="0" fillId="26" borderId="0" xfId="0" applyFill="1" applyProtection="1"/>
    <xf numFmtId="0" fontId="0" fillId="26" borderId="0" xfId="0" applyFill="1" applyAlignment="1" applyProtection="1">
      <alignment horizontal="left"/>
    </xf>
    <xf numFmtId="0" fontId="0" fillId="26" borderId="0" xfId="0" applyFill="1" applyAlignment="1" applyProtection="1">
      <alignment wrapText="1"/>
    </xf>
    <xf numFmtId="0" fontId="68" fillId="20" borderId="76" xfId="0" applyFont="1" applyFill="1" applyBorder="1" applyAlignment="1" applyProtection="1">
      <alignment horizontal="center" vertical="center"/>
      <protection locked="0"/>
    </xf>
    <xf numFmtId="0" fontId="31" fillId="26" borderId="62" xfId="0" applyFont="1" applyFill="1" applyBorder="1" applyProtection="1"/>
    <xf numFmtId="0" fontId="31" fillId="26" borderId="5" xfId="0" applyFont="1" applyFill="1" applyBorder="1" applyAlignment="1" applyProtection="1">
      <alignment horizontal="left"/>
    </xf>
    <xf numFmtId="0" fontId="31" fillId="26" borderId="16" xfId="0" applyFont="1" applyFill="1" applyBorder="1" applyProtection="1"/>
    <xf numFmtId="0" fontId="31" fillId="26" borderId="0" xfId="0" applyFont="1" applyFill="1" applyBorder="1" applyAlignment="1" applyProtection="1">
      <alignment horizontal="left"/>
    </xf>
    <xf numFmtId="0" fontId="31" fillId="26" borderId="16" xfId="0" applyFont="1" applyFill="1" applyBorder="1" applyAlignment="1" applyProtection="1">
      <alignment horizontal="center" vertical="top" textRotation="90"/>
    </xf>
    <xf numFmtId="0" fontId="31" fillId="26" borderId="81" xfId="0" applyFont="1" applyFill="1" applyBorder="1" applyAlignment="1">
      <alignment horizontal="center" vertical="top" textRotation="90"/>
    </xf>
    <xf numFmtId="0" fontId="44" fillId="26" borderId="73" xfId="0" applyFont="1" applyFill="1" applyBorder="1" applyAlignment="1" applyProtection="1">
      <alignment horizontal="center"/>
    </xf>
    <xf numFmtId="187" fontId="68" fillId="10" borderId="22" xfId="0" applyNumberFormat="1" applyFont="1" applyFill="1" applyBorder="1" applyAlignment="1" applyProtection="1">
      <alignment horizontal="center" vertical="center"/>
    </xf>
    <xf numFmtId="0" fontId="68" fillId="18" borderId="16" xfId="0" applyFont="1" applyFill="1" applyBorder="1" applyProtection="1"/>
    <xf numFmtId="178" fontId="68" fillId="10" borderId="11" xfId="0" applyNumberFormat="1" applyFont="1" applyFill="1" applyBorder="1" applyAlignment="1" applyProtection="1">
      <alignment horizontal="center" vertical="center"/>
    </xf>
    <xf numFmtId="0" fontId="76" fillId="26" borderId="73" xfId="0" applyFont="1" applyFill="1" applyBorder="1" applyAlignment="1"/>
    <xf numFmtId="0" fontId="76" fillId="26" borderId="73" xfId="0" applyFont="1" applyFill="1" applyBorder="1" applyAlignment="1">
      <alignment horizontal="center" vertical="center" wrapText="1"/>
    </xf>
    <xf numFmtId="0" fontId="76" fillId="26" borderId="73" xfId="0" applyFont="1" applyFill="1" applyBorder="1" applyAlignment="1" applyProtection="1">
      <alignment wrapText="1"/>
    </xf>
    <xf numFmtId="0" fontId="69" fillId="18" borderId="2" xfId="0" applyFont="1" applyFill="1" applyBorder="1" applyProtection="1"/>
    <xf numFmtId="0" fontId="69" fillId="18" borderId="0" xfId="0" applyFont="1" applyFill="1" applyProtection="1"/>
    <xf numFmtId="0" fontId="69" fillId="18" borderId="0" xfId="0" applyFont="1" applyFill="1" applyBorder="1" applyProtection="1"/>
    <xf numFmtId="0" fontId="0" fillId="26" borderId="0" xfId="0" applyFill="1" applyAlignment="1" applyProtection="1">
      <alignment horizontal="center" vertical="center" wrapText="1"/>
    </xf>
    <xf numFmtId="0" fontId="68" fillId="20" borderId="43" xfId="0" applyFont="1" applyFill="1" applyBorder="1" applyAlignment="1" applyProtection="1">
      <alignment horizontal="center" vertical="center"/>
      <protection locked="0"/>
    </xf>
    <xf numFmtId="0" fontId="71" fillId="18" borderId="0" xfId="0" applyFont="1" applyFill="1" applyAlignment="1" applyProtection="1">
      <alignment vertical="center"/>
    </xf>
    <xf numFmtId="0" fontId="80" fillId="0" borderId="0" xfId="0" applyFont="1" applyFill="1" applyBorder="1" applyAlignment="1" applyProtection="1"/>
    <xf numFmtId="169" fontId="81" fillId="10" borderId="59" xfId="0" applyNumberFormat="1" applyFont="1" applyFill="1" applyBorder="1" applyAlignment="1" applyProtection="1">
      <alignment vertical="center"/>
    </xf>
    <xf numFmtId="0" fontId="81" fillId="10" borderId="59" xfId="0" applyFont="1" applyFill="1" applyBorder="1" applyProtection="1"/>
    <xf numFmtId="0" fontId="82" fillId="10" borderId="95" xfId="0" applyFont="1" applyFill="1" applyBorder="1" applyAlignment="1" applyProtection="1">
      <alignment horizontal="left" vertical="center"/>
    </xf>
    <xf numFmtId="0" fontId="68" fillId="4" borderId="84" xfId="0" applyFont="1" applyFill="1" applyBorder="1" applyAlignment="1">
      <alignment horizontal="center" vertical="center"/>
    </xf>
    <xf numFmtId="0" fontId="68" fillId="0" borderId="78" xfId="0" applyFont="1" applyBorder="1" applyAlignment="1">
      <alignment horizontal="center" vertical="center" wrapText="1"/>
    </xf>
    <xf numFmtId="0" fontId="68" fillId="4" borderId="78" xfId="0" applyFont="1" applyFill="1" applyBorder="1" applyAlignment="1">
      <alignment horizontal="center" vertical="center"/>
    </xf>
    <xf numFmtId="0" fontId="68" fillId="4" borderId="78" xfId="0" applyFont="1" applyFill="1" applyBorder="1" applyAlignment="1">
      <alignment horizontal="center" vertical="center" wrapText="1"/>
    </xf>
    <xf numFmtId="0" fontId="68" fillId="4" borderId="5" xfId="0" applyFont="1" applyFill="1" applyBorder="1"/>
    <xf numFmtId="0" fontId="68" fillId="4" borderId="83" xfId="0" applyFont="1" applyFill="1" applyBorder="1"/>
    <xf numFmtId="0" fontId="67" fillId="0" borderId="0" xfId="0" applyFont="1" applyFill="1" applyBorder="1" applyAlignment="1"/>
    <xf numFmtId="0" fontId="68" fillId="4" borderId="0" xfId="0" applyFont="1" applyFill="1" applyBorder="1"/>
    <xf numFmtId="0" fontId="68" fillId="4" borderId="2" xfId="0" applyFont="1" applyFill="1" applyBorder="1"/>
    <xf numFmtId="49" fontId="68" fillId="0" borderId="0" xfId="0" applyNumberFormat="1" applyFont="1" applyFill="1" applyBorder="1" applyAlignment="1">
      <alignment horizontal="center" vertical="top"/>
    </xf>
    <xf numFmtId="49" fontId="68" fillId="0" borderId="82" xfId="0" applyNumberFormat="1" applyFont="1" applyFill="1" applyBorder="1" applyAlignment="1">
      <alignment horizontal="center" vertical="top"/>
    </xf>
    <xf numFmtId="0" fontId="69" fillId="18" borderId="5" xfId="0" applyFont="1" applyFill="1" applyBorder="1"/>
    <xf numFmtId="0" fontId="69" fillId="18" borderId="5" xfId="0" applyFont="1" applyFill="1" applyBorder="1" applyAlignment="1"/>
    <xf numFmtId="0" fontId="69" fillId="18" borderId="0" xfId="0" applyFont="1" applyFill="1" applyBorder="1"/>
    <xf numFmtId="0" fontId="69" fillId="18" borderId="0" xfId="0" applyFont="1" applyFill="1"/>
    <xf numFmtId="0" fontId="69" fillId="18" borderId="0" xfId="0" applyFont="1" applyFill="1" applyBorder="1" applyAlignment="1"/>
    <xf numFmtId="0" fontId="68" fillId="0" borderId="5" xfId="0" applyFont="1" applyBorder="1"/>
    <xf numFmtId="0" fontId="68" fillId="0" borderId="83" xfId="0" applyFont="1" applyBorder="1"/>
    <xf numFmtId="0" fontId="68" fillId="0" borderId="0" xfId="0" applyFont="1" applyBorder="1"/>
    <xf numFmtId="0" fontId="68" fillId="0" borderId="2" xfId="0" applyFont="1" applyBorder="1"/>
    <xf numFmtId="0" fontId="68" fillId="0" borderId="82" xfId="0" applyFont="1" applyBorder="1"/>
    <xf numFmtId="0" fontId="68" fillId="0" borderId="80" xfId="0" applyFont="1" applyBorder="1"/>
    <xf numFmtId="0" fontId="68" fillId="0" borderId="99" xfId="0" applyFont="1" applyBorder="1" applyAlignment="1">
      <alignment horizontal="center" vertical="center" wrapText="1"/>
    </xf>
    <xf numFmtId="0" fontId="68" fillId="4" borderId="98" xfId="0" applyFont="1" applyFill="1" applyBorder="1" applyAlignment="1">
      <alignment horizontal="center" vertical="center"/>
    </xf>
    <xf numFmtId="0" fontId="50" fillId="18" borderId="35" xfId="0" applyFont="1" applyFill="1" applyBorder="1"/>
    <xf numFmtId="0" fontId="0" fillId="18" borderId="16" xfId="0" applyFill="1" applyBorder="1"/>
    <xf numFmtId="0" fontId="68" fillId="4" borderId="64" xfId="0" applyFont="1" applyFill="1" applyBorder="1" applyAlignment="1">
      <alignment horizontal="center" vertical="center"/>
    </xf>
    <xf numFmtId="0" fontId="68" fillId="0" borderId="102" xfId="0" applyFont="1" applyBorder="1"/>
    <xf numFmtId="0" fontId="67" fillId="0" borderId="16" xfId="0" applyFont="1" applyFill="1" applyBorder="1" applyAlignment="1"/>
    <xf numFmtId="0" fontId="68" fillId="0" borderId="81" xfId="0" quotePrefix="1" applyFont="1" applyBorder="1" applyAlignment="1">
      <alignment horizontal="center"/>
    </xf>
    <xf numFmtId="0" fontId="68" fillId="0" borderId="94" xfId="0" applyFont="1" applyFill="1" applyBorder="1"/>
    <xf numFmtId="0" fontId="68" fillId="4" borderId="95" xfId="0" applyFont="1" applyFill="1" applyBorder="1" applyAlignment="1">
      <alignment horizontal="center" vertical="center"/>
    </xf>
    <xf numFmtId="0" fontId="68" fillId="0" borderId="64" xfId="0" applyFont="1" applyBorder="1" applyAlignment="1">
      <alignment horizontal="center" vertical="center"/>
    </xf>
    <xf numFmtId="0" fontId="68" fillId="4" borderId="97" xfId="0" applyFont="1" applyFill="1" applyBorder="1" applyAlignment="1">
      <alignment horizontal="center" vertical="center"/>
    </xf>
    <xf numFmtId="0" fontId="50" fillId="18" borderId="82" xfId="0" applyFont="1" applyFill="1" applyBorder="1"/>
    <xf numFmtId="0" fontId="68" fillId="0" borderId="0" xfId="0" applyFont="1" applyFill="1" applyBorder="1" applyAlignment="1">
      <alignment horizontal="center" vertical="center"/>
    </xf>
    <xf numFmtId="0" fontId="68" fillId="0" borderId="2" xfId="0" applyFont="1" applyFill="1" applyBorder="1" applyAlignment="1">
      <alignment horizontal="center" vertical="center"/>
    </xf>
    <xf numFmtId="0" fontId="73" fillId="0" borderId="0" xfId="0" applyFont="1" applyProtection="1"/>
    <xf numFmtId="0" fontId="86" fillId="0" borderId="0" xfId="0" applyFont="1" applyProtection="1"/>
    <xf numFmtId="0" fontId="87" fillId="0" borderId="0" xfId="0" applyFont="1" applyProtection="1"/>
    <xf numFmtId="0" fontId="88" fillId="26" borderId="73" xfId="0" applyFont="1" applyFill="1" applyBorder="1" applyAlignment="1"/>
    <xf numFmtId="0" fontId="88" fillId="26" borderId="73" xfId="0" applyFont="1" applyFill="1" applyBorder="1" applyAlignment="1">
      <alignment horizontal="center" vertical="center" wrapText="1"/>
    </xf>
    <xf numFmtId="0" fontId="88" fillId="26" borderId="73" xfId="0" applyFont="1" applyFill="1" applyBorder="1" applyAlignment="1" applyProtection="1">
      <alignment wrapText="1"/>
    </xf>
    <xf numFmtId="0" fontId="31" fillId="26" borderId="12" xfId="0" applyFont="1" applyFill="1" applyBorder="1" applyProtection="1"/>
    <xf numFmtId="0" fontId="31" fillId="26" borderId="16" xfId="0" applyFont="1" applyFill="1" applyBorder="1" applyAlignment="1" applyProtection="1">
      <alignment horizontal="right" vertical="top" textRotation="90"/>
    </xf>
    <xf numFmtId="0" fontId="31" fillId="26" borderId="9" xfId="0" applyFont="1" applyFill="1" applyBorder="1" applyAlignment="1">
      <alignment horizontal="right" vertical="top" textRotation="90"/>
    </xf>
    <xf numFmtId="0" fontId="75" fillId="26" borderId="0" xfId="0" applyNumberFormat="1" applyFont="1" applyFill="1" applyBorder="1" applyAlignment="1" applyProtection="1">
      <alignment horizontal="center" vertical="center" wrapText="1"/>
    </xf>
    <xf numFmtId="0" fontId="75" fillId="26" borderId="2" xfId="0" applyFont="1" applyFill="1" applyBorder="1" applyAlignment="1" applyProtection="1">
      <alignment horizontal="center" vertical="center" wrapText="1"/>
    </xf>
    <xf numFmtId="0" fontId="75" fillId="26" borderId="0" xfId="0" applyFont="1" applyFill="1" applyBorder="1" applyAlignment="1" applyProtection="1">
      <alignment horizontal="right" vertical="center" wrapText="1"/>
    </xf>
    <xf numFmtId="166" fontId="65" fillId="26" borderId="76" xfId="0" applyNumberFormat="1" applyFont="1" applyFill="1" applyBorder="1" applyAlignment="1" applyProtection="1">
      <alignment horizontal="center" vertical="center"/>
    </xf>
    <xf numFmtId="2" fontId="65" fillId="26" borderId="76" xfId="0" applyNumberFormat="1" applyFont="1" applyFill="1" applyBorder="1" applyAlignment="1" applyProtection="1">
      <alignment horizontal="center" vertical="center" wrapText="1"/>
    </xf>
    <xf numFmtId="0" fontId="65" fillId="26" borderId="76" xfId="0" applyFont="1" applyFill="1" applyBorder="1" applyAlignment="1" applyProtection="1">
      <alignment horizontal="center" vertical="center"/>
    </xf>
    <xf numFmtId="0" fontId="75" fillId="27" borderId="79" xfId="0" applyFont="1" applyFill="1" applyBorder="1" applyAlignment="1">
      <alignment horizontal="center" vertical="center" wrapText="1"/>
    </xf>
    <xf numFmtId="0" fontId="75" fillId="27" borderId="43" xfId="0" applyFont="1" applyFill="1" applyBorder="1" applyAlignment="1">
      <alignment horizontal="center" vertical="center" wrapText="1"/>
    </xf>
    <xf numFmtId="0" fontId="65" fillId="27" borderId="62" xfId="0" applyFont="1" applyFill="1" applyBorder="1"/>
    <xf numFmtId="0" fontId="65" fillId="27" borderId="16" xfId="0" applyFont="1" applyFill="1" applyBorder="1"/>
    <xf numFmtId="0" fontId="65" fillId="27" borderId="81" xfId="0" applyFont="1" applyFill="1" applyBorder="1"/>
    <xf numFmtId="0" fontId="0" fillId="28" borderId="0" xfId="0" applyFill="1" applyBorder="1" applyAlignment="1"/>
    <xf numFmtId="0" fontId="0" fillId="28" borderId="0" xfId="0" applyFill="1"/>
    <xf numFmtId="0" fontId="50" fillId="28" borderId="82" xfId="0" applyFont="1" applyFill="1" applyBorder="1"/>
    <xf numFmtId="0" fontId="51" fillId="28" borderId="82" xfId="0" applyFont="1" applyFill="1" applyBorder="1" applyAlignment="1">
      <alignment horizontal="right" vertical="center"/>
    </xf>
    <xf numFmtId="0" fontId="0" fillId="28" borderId="0" xfId="0" applyFill="1" applyProtection="1"/>
    <xf numFmtId="0" fontId="0" fillId="28" borderId="0" xfId="0" applyFill="1" applyAlignment="1" applyProtection="1">
      <alignment horizontal="left"/>
    </xf>
    <xf numFmtId="0" fontId="0" fillId="28" borderId="0" xfId="0" applyFill="1" applyAlignment="1" applyProtection="1">
      <alignment wrapText="1"/>
    </xf>
    <xf numFmtId="0" fontId="89" fillId="28" borderId="0" xfId="0" applyFont="1" applyFill="1" applyAlignment="1" applyProtection="1">
      <alignment horizontal="center" vertical="center"/>
    </xf>
    <xf numFmtId="0" fontId="0" fillId="28" borderId="0" xfId="0" applyFill="1" applyBorder="1" applyProtection="1"/>
    <xf numFmtId="0" fontId="0" fillId="28" borderId="0" xfId="0" applyFill="1" applyAlignment="1" applyProtection="1">
      <alignment horizontal="center" vertical="center" wrapText="1"/>
    </xf>
    <xf numFmtId="0" fontId="89" fillId="28" borderId="0" xfId="0" applyFont="1" applyFill="1" applyAlignment="1" applyProtection="1">
      <alignment horizontal="left" vertical="center" wrapText="1"/>
    </xf>
    <xf numFmtId="0" fontId="51" fillId="28" borderId="0" xfId="0" applyFont="1" applyFill="1" applyAlignment="1">
      <alignment horizontal="center" vertical="center"/>
    </xf>
    <xf numFmtId="0" fontId="31" fillId="28" borderId="0" xfId="0" applyFont="1" applyFill="1" applyProtection="1"/>
    <xf numFmtId="0" fontId="53" fillId="28" borderId="0" xfId="0" applyFont="1" applyFill="1" applyProtection="1"/>
    <xf numFmtId="0" fontId="53" fillId="28" borderId="0" xfId="0" applyFont="1" applyFill="1"/>
    <xf numFmtId="0" fontId="51" fillId="28" borderId="0" xfId="0" applyFont="1" applyFill="1" applyAlignment="1">
      <alignment horizontal="right" vertical="center"/>
    </xf>
    <xf numFmtId="0" fontId="53" fillId="17" borderId="102" xfId="0" applyFont="1" applyFill="1" applyBorder="1" applyAlignment="1" applyProtection="1">
      <alignment vertical="center" wrapText="1"/>
    </xf>
    <xf numFmtId="0" fontId="66" fillId="0" borderId="95" xfId="0" applyFont="1" applyFill="1" applyBorder="1" applyAlignment="1">
      <alignment horizontal="center" vertical="center"/>
    </xf>
    <xf numFmtId="0" fontId="66" fillId="21" borderId="95" xfId="0" applyFont="1" applyFill="1" applyBorder="1" applyAlignment="1">
      <alignment horizontal="center" vertical="center"/>
    </xf>
    <xf numFmtId="0" fontId="66" fillId="22" borderId="95" xfId="0" applyFont="1" applyFill="1" applyBorder="1" applyAlignment="1">
      <alignment horizontal="center" vertical="center"/>
    </xf>
    <xf numFmtId="0" fontId="66" fillId="22" borderId="96" xfId="0" applyFont="1" applyFill="1" applyBorder="1" applyAlignment="1">
      <alignment horizontal="center" vertical="center"/>
    </xf>
    <xf numFmtId="0" fontId="67" fillId="28" borderId="0" xfId="0" applyFont="1" applyFill="1" applyAlignment="1">
      <alignment horizontal="center" vertical="center"/>
    </xf>
    <xf numFmtId="0" fontId="53" fillId="26" borderId="64" xfId="0" applyFont="1" applyFill="1" applyBorder="1" applyAlignment="1">
      <alignment horizontal="center" vertical="center"/>
    </xf>
    <xf numFmtId="0" fontId="53" fillId="26" borderId="95" xfId="0" applyFont="1" applyFill="1" applyBorder="1" applyAlignment="1">
      <alignment horizontal="center" vertical="center"/>
    </xf>
    <xf numFmtId="0" fontId="53" fillId="26" borderId="96" xfId="0" applyFont="1" applyFill="1" applyBorder="1" applyAlignment="1">
      <alignment horizontal="center" vertical="center"/>
    </xf>
    <xf numFmtId="0" fontId="72" fillId="0" borderId="0" xfId="0" applyFont="1" applyFill="1" applyAlignment="1">
      <alignment horizontal="left" vertical="center"/>
    </xf>
    <xf numFmtId="0" fontId="31" fillId="18" borderId="16" xfId="0" applyFont="1" applyFill="1" applyBorder="1" applyAlignment="1" applyProtection="1">
      <alignment horizontal="center" vertical="center" wrapText="1"/>
    </xf>
    <xf numFmtId="0" fontId="31" fillId="18" borderId="0" xfId="0" applyFont="1" applyFill="1" applyBorder="1" applyAlignment="1" applyProtection="1">
      <alignment horizontal="center" vertical="center" wrapText="1"/>
    </xf>
    <xf numFmtId="0" fontId="75" fillId="26" borderId="91" xfId="0" applyFont="1" applyFill="1" applyBorder="1" applyAlignment="1" applyProtection="1">
      <alignment horizontal="center" vertical="center"/>
    </xf>
    <xf numFmtId="0" fontId="52" fillId="26" borderId="90" xfId="0" applyFont="1" applyFill="1" applyBorder="1" applyAlignment="1" applyProtection="1">
      <alignment horizontal="center" vertical="center"/>
    </xf>
    <xf numFmtId="10" fontId="51" fillId="18" borderId="0" xfId="0" applyNumberFormat="1" applyFont="1" applyFill="1" applyBorder="1" applyAlignment="1" applyProtection="1">
      <alignment horizontal="center" vertical="center" wrapText="1"/>
    </xf>
    <xf numFmtId="0" fontId="0" fillId="18" borderId="0" xfId="0" applyFill="1" applyAlignment="1" applyProtection="1">
      <alignment horizontal="center" vertical="center" wrapText="1"/>
    </xf>
    <xf numFmtId="0" fontId="47" fillId="10" borderId="0" xfId="0" applyFont="1" applyFill="1" applyAlignment="1" applyProtection="1">
      <alignment horizontal="left" vertical="center" wrapText="1"/>
    </xf>
    <xf numFmtId="0" fontId="20" fillId="2" borderId="0" xfId="0" applyFont="1" applyFill="1" applyAlignment="1" applyProtection="1">
      <alignment horizontal="center" wrapText="1"/>
    </xf>
    <xf numFmtId="0" fontId="50" fillId="25" borderId="95" xfId="0" applyFont="1" applyFill="1" applyBorder="1" applyAlignment="1" applyProtection="1">
      <alignment vertical="center" wrapText="1"/>
      <protection locked="0"/>
    </xf>
    <xf numFmtId="0" fontId="50" fillId="25" borderId="96" xfId="0" applyFont="1" applyFill="1" applyBorder="1" applyAlignment="1" applyProtection="1">
      <alignment vertical="center" wrapText="1"/>
      <protection locked="0"/>
    </xf>
    <xf numFmtId="0" fontId="65" fillId="26" borderId="87" xfId="0" applyFont="1" applyFill="1" applyBorder="1" applyAlignment="1" applyProtection="1">
      <alignment horizontal="center" vertical="center" wrapText="1"/>
    </xf>
    <xf numFmtId="0" fontId="65" fillId="26" borderId="5" xfId="0" applyFont="1" applyFill="1" applyBorder="1" applyAlignment="1" applyProtection="1">
      <alignment horizontal="center" vertical="center" wrapText="1"/>
    </xf>
    <xf numFmtId="0" fontId="65" fillId="26" borderId="63" xfId="0" applyFont="1" applyFill="1" applyBorder="1" applyAlignment="1" applyProtection="1">
      <alignment horizontal="center" vertical="center" wrapText="1"/>
    </xf>
    <xf numFmtId="0" fontId="0" fillId="5" borderId="28"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29" xfId="0" applyBorder="1" applyAlignment="1">
      <alignment horizontal="center" vertical="center" wrapText="1"/>
    </xf>
    <xf numFmtId="0" fontId="0" fillId="8" borderId="88" xfId="0" applyFill="1" applyBorder="1" applyAlignment="1" applyProtection="1">
      <alignment horizontal="center" vertical="center" wrapText="1"/>
    </xf>
    <xf numFmtId="0" fontId="0" fillId="8" borderId="89" xfId="0" applyFill="1" applyBorder="1" applyAlignment="1" applyProtection="1">
      <alignment horizontal="center" vertical="center" wrapText="1"/>
    </xf>
    <xf numFmtId="0" fontId="0" fillId="8" borderId="69" xfId="0" applyFill="1" applyBorder="1" applyAlignment="1" applyProtection="1">
      <alignment horizontal="center" vertical="center" wrapText="1"/>
    </xf>
    <xf numFmtId="173" fontId="0" fillId="7" borderId="30" xfId="0" applyNumberFormat="1" applyFill="1" applyBorder="1" applyAlignment="1" applyProtection="1">
      <alignment horizontal="center" vertical="center" wrapText="1"/>
    </xf>
    <xf numFmtId="173" fontId="0" fillId="7" borderId="23" xfId="0" applyNumberFormat="1" applyFill="1" applyBorder="1" applyAlignment="1" applyProtection="1">
      <alignment horizontal="center" vertical="center" wrapText="1"/>
    </xf>
    <xf numFmtId="173" fontId="0" fillId="7" borderId="15" xfId="0" applyNumberFormat="1" applyFill="1" applyBorder="1" applyAlignment="1" applyProtection="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2" fillId="5" borderId="3" xfId="0" applyFont="1" applyFill="1" applyBorder="1" applyAlignment="1">
      <alignment horizontal="center" vertical="center" wrapText="1"/>
    </xf>
    <xf numFmtId="0" fontId="0" fillId="8" borderId="88" xfId="0" applyFill="1" applyBorder="1" applyAlignment="1">
      <alignment horizontal="center" vertical="center" wrapText="1"/>
    </xf>
    <xf numFmtId="0" fontId="0" fillId="8" borderId="89" xfId="0" applyFill="1" applyBorder="1" applyAlignment="1">
      <alignment horizontal="center" vertical="center" wrapText="1"/>
    </xf>
    <xf numFmtId="0" fontId="0" fillId="8" borderId="69" xfId="0" applyFill="1" applyBorder="1" applyAlignment="1">
      <alignment horizontal="center" vertical="center" wrapText="1"/>
    </xf>
    <xf numFmtId="0" fontId="9" fillId="5" borderId="87" xfId="0" applyFont="1" applyFill="1" applyBorder="1" applyAlignment="1" applyProtection="1">
      <alignment horizontal="center" vertical="center" wrapText="1"/>
    </xf>
    <xf numFmtId="0" fontId="9" fillId="5" borderId="63"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9" fillId="5" borderId="4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0" borderId="8" xfId="0" applyFont="1" applyBorder="1" applyAlignment="1">
      <alignment horizontal="center" vertical="center" wrapText="1"/>
    </xf>
    <xf numFmtId="2" fontId="0" fillId="5" borderId="88" xfId="0" applyNumberFormat="1" applyFill="1" applyBorder="1" applyAlignment="1" applyProtection="1">
      <alignment horizontal="center" vertical="center" wrapText="1"/>
    </xf>
    <xf numFmtId="2" fontId="0" fillId="5" borderId="89" xfId="0" applyNumberFormat="1" applyFill="1" applyBorder="1" applyAlignment="1" applyProtection="1">
      <alignment horizontal="center" vertical="center" wrapText="1"/>
    </xf>
    <xf numFmtId="2" fontId="0" fillId="5" borderId="69" xfId="0" applyNumberFormat="1" applyFill="1" applyBorder="1" applyAlignment="1" applyProtection="1">
      <alignment horizontal="center" vertical="center" wrapText="1"/>
    </xf>
    <xf numFmtId="0" fontId="9" fillId="8" borderId="87" xfId="0" applyFont="1" applyFill="1" applyBorder="1" applyAlignment="1" applyProtection="1">
      <alignment horizontal="center" vertical="center" wrapText="1"/>
    </xf>
    <xf numFmtId="0" fontId="9" fillId="8" borderId="63" xfId="0" applyFont="1" applyFill="1" applyBorder="1" applyAlignment="1" applyProtection="1">
      <alignment horizontal="center" vertical="center" wrapText="1"/>
    </xf>
    <xf numFmtId="0" fontId="9" fillId="8" borderId="33" xfId="0" applyFont="1" applyFill="1" applyBorder="1" applyAlignment="1" applyProtection="1">
      <alignment horizontal="center" vertical="center" wrapText="1"/>
    </xf>
    <xf numFmtId="0" fontId="9" fillId="8" borderId="40" xfId="0" applyFont="1" applyFill="1" applyBorder="1" applyAlignment="1" applyProtection="1">
      <alignment horizontal="center" vertical="center" wrapText="1"/>
    </xf>
    <xf numFmtId="164" fontId="0" fillId="5" borderId="88" xfId="0" applyNumberFormat="1" applyFill="1" applyBorder="1" applyAlignment="1" applyProtection="1">
      <alignment horizontal="center" vertical="center" wrapText="1"/>
    </xf>
    <xf numFmtId="164" fontId="0" fillId="5" borderId="89" xfId="0" applyNumberFormat="1" applyFill="1" applyBorder="1" applyAlignment="1" applyProtection="1">
      <alignment horizontal="center" vertical="center" wrapText="1"/>
    </xf>
    <xf numFmtId="164" fontId="0" fillId="5" borderId="69" xfId="0" applyNumberFormat="1" applyFill="1" applyBorder="1" applyAlignment="1" applyProtection="1">
      <alignment horizontal="center" vertical="center" wrapText="1"/>
    </xf>
    <xf numFmtId="0" fontId="0" fillId="5" borderId="88" xfId="0" applyFill="1" applyBorder="1" applyAlignment="1" applyProtection="1">
      <alignment horizontal="center" vertical="center" wrapText="1"/>
    </xf>
    <xf numFmtId="0" fontId="0" fillId="5" borderId="89" xfId="0" applyFill="1" applyBorder="1" applyAlignment="1" applyProtection="1">
      <alignment horizontal="center" vertical="center" wrapText="1"/>
    </xf>
    <xf numFmtId="0" fontId="0" fillId="5" borderId="69" xfId="0" applyFill="1" applyBorder="1" applyAlignment="1" applyProtection="1">
      <alignment horizontal="center" vertical="center" wrapText="1"/>
    </xf>
    <xf numFmtId="0" fontId="50" fillId="20" borderId="79" xfId="0" applyFont="1" applyFill="1" applyBorder="1" applyAlignment="1" applyProtection="1">
      <alignment horizontal="center" vertical="center"/>
      <protection locked="0"/>
    </xf>
    <xf numFmtId="0" fontId="50" fillId="20" borderId="78" xfId="0" applyFont="1" applyFill="1" applyBorder="1" applyAlignment="1" applyProtection="1">
      <alignment horizontal="center" vertical="center"/>
      <protection locked="0"/>
    </xf>
    <xf numFmtId="0" fontId="75" fillId="26" borderId="79" xfId="0" applyFont="1" applyFill="1" applyBorder="1" applyAlignment="1" applyProtection="1">
      <alignment horizontal="center" vertical="center"/>
    </xf>
    <xf numFmtId="0" fontId="75" fillId="26" borderId="78" xfId="0" applyFont="1" applyFill="1" applyBorder="1" applyAlignment="1" applyProtection="1">
      <alignment horizontal="center" vertical="center"/>
    </xf>
    <xf numFmtId="0" fontId="67" fillId="19" borderId="79" xfId="0" applyFont="1" applyFill="1" applyBorder="1" applyAlignment="1" applyProtection="1">
      <alignment horizontal="center" vertical="center"/>
    </xf>
    <xf numFmtId="0" fontId="67" fillId="19" borderId="61" xfId="0" applyFont="1" applyFill="1" applyBorder="1" applyAlignment="1" applyProtection="1">
      <alignment horizontal="center" vertical="center"/>
    </xf>
    <xf numFmtId="0" fontId="67" fillId="19" borderId="78" xfId="0" applyFont="1" applyFill="1" applyBorder="1" applyAlignment="1" applyProtection="1">
      <alignment horizontal="center" vertical="center"/>
    </xf>
    <xf numFmtId="0" fontId="65" fillId="26" borderId="62" xfId="0" applyFont="1" applyFill="1" applyBorder="1" applyAlignment="1" applyProtection="1">
      <alignment horizontal="center" vertical="center" wrapText="1"/>
    </xf>
    <xf numFmtId="0" fontId="65" fillId="26" borderId="5" xfId="0" applyFont="1" applyFill="1" applyBorder="1" applyAlignment="1"/>
    <xf numFmtId="0" fontId="65" fillId="26" borderId="0" xfId="0" applyFont="1" applyFill="1" applyBorder="1" applyAlignment="1" applyProtection="1">
      <alignment horizontal="center" vertical="center" wrapText="1"/>
    </xf>
    <xf numFmtId="0" fontId="65" fillId="26" borderId="0" xfId="0" applyFont="1" applyFill="1" applyBorder="1" applyAlignment="1"/>
    <xf numFmtId="0" fontId="65" fillId="26" borderId="73" xfId="0" applyFont="1" applyFill="1" applyBorder="1" applyAlignment="1" applyProtection="1"/>
    <xf numFmtId="0" fontId="65" fillId="26" borderId="73" xfId="0" applyFont="1" applyFill="1" applyBorder="1" applyAlignment="1"/>
    <xf numFmtId="0" fontId="75" fillId="26" borderId="16" xfId="0" applyFont="1" applyFill="1" applyBorder="1" applyAlignment="1" applyProtection="1">
      <alignment horizontal="center" vertical="top" wrapText="1"/>
    </xf>
    <xf numFmtId="0" fontId="75" fillId="26" borderId="81" xfId="0" applyFont="1" applyFill="1" applyBorder="1" applyAlignment="1">
      <alignment horizontal="center" vertical="top" wrapText="1"/>
    </xf>
    <xf numFmtId="0" fontId="65" fillId="26" borderId="0" xfId="0" applyFont="1" applyFill="1" applyBorder="1" applyAlignment="1">
      <alignment wrapText="1"/>
    </xf>
    <xf numFmtId="0" fontId="2" fillId="18" borderId="0" xfId="0" applyFont="1" applyFill="1" applyAlignment="1" applyProtection="1">
      <alignment horizontal="center" vertical="center" wrapText="1"/>
    </xf>
    <xf numFmtId="0" fontId="65" fillId="26" borderId="5" xfId="0" applyFont="1" applyFill="1" applyBorder="1" applyAlignment="1" applyProtection="1">
      <alignment horizontal="center" vertical="center"/>
    </xf>
    <xf numFmtId="0" fontId="65" fillId="26" borderId="0" xfId="0" applyFont="1" applyFill="1" applyBorder="1" applyAlignment="1">
      <alignment horizontal="center" vertical="center" wrapText="1"/>
    </xf>
    <xf numFmtId="0" fontId="78" fillId="26" borderId="16" xfId="0" applyFont="1" applyFill="1" applyBorder="1" applyAlignment="1" applyProtection="1">
      <alignment horizontal="center" vertical="top" wrapText="1"/>
    </xf>
    <xf numFmtId="0" fontId="78" fillId="26" borderId="81" xfId="0" applyFont="1" applyFill="1" applyBorder="1" applyAlignment="1">
      <alignment horizontal="center" vertical="top" wrapText="1"/>
    </xf>
    <xf numFmtId="0" fontId="21" fillId="18" borderId="0" xfId="0" applyFont="1" applyFill="1" applyAlignment="1" applyProtection="1">
      <alignment horizontal="left" wrapText="1"/>
    </xf>
    <xf numFmtId="0" fontId="78" fillId="26" borderId="0" xfId="0" applyNumberFormat="1" applyFont="1" applyFill="1" applyBorder="1" applyAlignment="1" applyProtection="1">
      <alignment horizontal="center" vertical="center" wrapText="1"/>
    </xf>
    <xf numFmtId="0" fontId="78" fillId="26" borderId="82" xfId="0" applyNumberFormat="1" applyFont="1" applyFill="1" applyBorder="1" applyAlignment="1" applyProtection="1">
      <alignment horizontal="center" vertical="center" wrapText="1"/>
    </xf>
    <xf numFmtId="0" fontId="78" fillId="26" borderId="2" xfId="0" applyFont="1" applyFill="1" applyBorder="1" applyAlignment="1" applyProtection="1">
      <alignment horizontal="center" vertical="center" wrapText="1"/>
    </xf>
    <xf numFmtId="0" fontId="78" fillId="26" borderId="80" xfId="0" applyFont="1" applyFill="1" applyBorder="1" applyAlignment="1" applyProtection="1">
      <alignment horizontal="center" vertical="center" wrapText="1"/>
    </xf>
    <xf numFmtId="0" fontId="50" fillId="20" borderId="91" xfId="0" applyFont="1" applyFill="1" applyBorder="1" applyAlignment="1" applyProtection="1">
      <alignment horizontal="center" vertical="center"/>
      <protection locked="0"/>
    </xf>
    <xf numFmtId="0" fontId="50" fillId="20" borderId="90" xfId="0" applyFont="1" applyFill="1" applyBorder="1" applyAlignment="1" applyProtection="1">
      <alignment horizontal="center" vertical="center"/>
      <protection locked="0"/>
    </xf>
    <xf numFmtId="10" fontId="0" fillId="5" borderId="88" xfId="0" applyNumberFormat="1" applyFill="1" applyBorder="1" applyAlignment="1" applyProtection="1">
      <alignment horizontal="center" vertical="center" wrapText="1"/>
    </xf>
    <xf numFmtId="10" fontId="0" fillId="5" borderId="89" xfId="0" applyNumberFormat="1" applyFill="1" applyBorder="1" applyAlignment="1" applyProtection="1">
      <alignment horizontal="center" vertical="center" wrapText="1"/>
    </xf>
    <xf numFmtId="10" fontId="0" fillId="5" borderId="69" xfId="0" applyNumberFormat="1" applyFill="1" applyBorder="1" applyAlignment="1" applyProtection="1">
      <alignment horizontal="center" vertical="center" wrapText="1"/>
    </xf>
    <xf numFmtId="0" fontId="9" fillId="5" borderId="87" xfId="0" applyFont="1" applyFill="1" applyBorder="1" applyAlignment="1" applyProtection="1">
      <alignment horizontal="center" vertical="center"/>
    </xf>
    <xf numFmtId="0" fontId="9" fillId="5" borderId="5" xfId="0" applyFont="1" applyFill="1" applyBorder="1" applyAlignment="1" applyProtection="1">
      <alignment horizontal="center" vertical="center"/>
    </xf>
    <xf numFmtId="0" fontId="9" fillId="5" borderId="63" xfId="0" applyFont="1" applyFill="1" applyBorder="1" applyAlignment="1" applyProtection="1">
      <alignment horizontal="center" vertical="center"/>
    </xf>
    <xf numFmtId="0" fontId="9" fillId="5" borderId="33" xfId="0" applyFont="1" applyFill="1" applyBorder="1" applyAlignment="1" applyProtection="1">
      <alignment horizontal="center" vertical="center"/>
    </xf>
    <xf numFmtId="0" fontId="9" fillId="5" borderId="82" xfId="0" applyFont="1" applyFill="1" applyBorder="1" applyAlignment="1" applyProtection="1">
      <alignment horizontal="center" vertical="center"/>
    </xf>
    <xf numFmtId="0" fontId="9" fillId="5" borderId="40" xfId="0" applyFont="1" applyFill="1" applyBorder="1" applyAlignment="1" applyProtection="1">
      <alignment horizontal="center" vertical="center"/>
    </xf>
    <xf numFmtId="0" fontId="9" fillId="5" borderId="5" xfId="0" applyFont="1" applyFill="1" applyBorder="1" applyAlignment="1" applyProtection="1">
      <alignment horizontal="center" vertical="center" wrapText="1"/>
    </xf>
    <xf numFmtId="0" fontId="9" fillId="5" borderId="82" xfId="0" applyFont="1" applyFill="1" applyBorder="1" applyAlignment="1" applyProtection="1">
      <alignment horizontal="center" vertical="center" wrapText="1"/>
    </xf>
    <xf numFmtId="0" fontId="2" fillId="8" borderId="88" xfId="0" applyFont="1" applyFill="1" applyBorder="1" applyAlignment="1" applyProtection="1">
      <alignment horizontal="center" vertical="center" wrapText="1"/>
    </xf>
    <xf numFmtId="0" fontId="2" fillId="8" borderId="89" xfId="0" applyFont="1" applyFill="1" applyBorder="1" applyAlignment="1" applyProtection="1">
      <alignment horizontal="center" vertical="center" wrapText="1"/>
    </xf>
    <xf numFmtId="0" fontId="2" fillId="8" borderId="69" xfId="0" applyFont="1" applyFill="1" applyBorder="1" applyAlignment="1" applyProtection="1">
      <alignment horizontal="center" vertical="center" wrapText="1"/>
    </xf>
    <xf numFmtId="0" fontId="0" fillId="5" borderId="8" xfId="0" applyFill="1" applyBorder="1" applyAlignment="1" applyProtection="1">
      <alignment horizontal="center" vertical="center"/>
    </xf>
    <xf numFmtId="0" fontId="0" fillId="0" borderId="7" xfId="0" applyBorder="1" applyAlignment="1">
      <alignment horizontal="center" vertical="center"/>
    </xf>
    <xf numFmtId="0" fontId="2" fillId="8" borderId="88" xfId="0" applyFont="1" applyFill="1" applyBorder="1" applyAlignment="1">
      <alignment horizontal="center" vertical="center" wrapText="1"/>
    </xf>
    <xf numFmtId="0" fontId="2" fillId="8" borderId="89"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65" fillId="26" borderId="35" xfId="0" applyFont="1" applyFill="1" applyBorder="1" applyAlignment="1" applyProtection="1">
      <alignment horizontal="center" vertical="center" wrapText="1"/>
    </xf>
    <xf numFmtId="0" fontId="65" fillId="26" borderId="40" xfId="0" applyFont="1" applyFill="1" applyBorder="1" applyAlignment="1" applyProtection="1">
      <alignment horizontal="center" vertical="center" wrapText="1"/>
    </xf>
    <xf numFmtId="0" fontId="65" fillId="26" borderId="0" xfId="0" applyFont="1" applyFill="1" applyBorder="1" applyAlignment="1" applyProtection="1">
      <alignment horizontal="center" vertical="center"/>
    </xf>
    <xf numFmtId="0" fontId="65" fillId="26" borderId="82" xfId="0" applyFont="1" applyFill="1" applyBorder="1" applyAlignment="1" applyProtection="1">
      <alignment horizontal="center" vertical="center"/>
    </xf>
    <xf numFmtId="0" fontId="65" fillId="26" borderId="82" xfId="0" applyFont="1" applyFill="1" applyBorder="1" applyAlignment="1" applyProtection="1">
      <alignment horizontal="center" vertical="center" wrapText="1"/>
    </xf>
    <xf numFmtId="0" fontId="0" fillId="5" borderId="88" xfId="0" applyFill="1" applyBorder="1" applyAlignment="1" applyProtection="1">
      <alignment horizontal="center" vertical="center"/>
    </xf>
    <xf numFmtId="0" fontId="0" fillId="5" borderId="89" xfId="0" applyFill="1" applyBorder="1" applyAlignment="1" applyProtection="1">
      <alignment horizontal="center" vertical="center"/>
    </xf>
    <xf numFmtId="0" fontId="0" fillId="5" borderId="69" xfId="0" applyFill="1" applyBorder="1" applyAlignment="1" applyProtection="1">
      <alignment horizontal="center" vertical="center"/>
    </xf>
    <xf numFmtId="0" fontId="2" fillId="5" borderId="88" xfId="0" applyFont="1" applyFill="1" applyBorder="1" applyAlignment="1" applyProtection="1">
      <alignment horizontal="center" vertical="center" wrapText="1"/>
    </xf>
    <xf numFmtId="0" fontId="2" fillId="5" borderId="89" xfId="0" applyFont="1" applyFill="1" applyBorder="1" applyAlignment="1" applyProtection="1">
      <alignment horizontal="center" vertical="center" wrapText="1"/>
    </xf>
    <xf numFmtId="0" fontId="2" fillId="5" borderId="69" xfId="0" applyFont="1" applyFill="1" applyBorder="1" applyAlignment="1" applyProtection="1">
      <alignment horizontal="center" vertical="center" wrapText="1"/>
    </xf>
    <xf numFmtId="0" fontId="65" fillId="26" borderId="87" xfId="0" applyFont="1" applyFill="1" applyBorder="1" applyAlignment="1" applyProtection="1">
      <alignment horizontal="center" vertical="center"/>
      <protection locked="0"/>
    </xf>
    <xf numFmtId="0" fontId="65" fillId="26" borderId="16" xfId="0" applyFont="1" applyFill="1" applyBorder="1" applyAlignment="1" applyProtection="1">
      <alignment horizontal="center" vertical="center"/>
      <protection locked="0"/>
    </xf>
    <xf numFmtId="0" fontId="65" fillId="26" borderId="33" xfId="0" applyFont="1" applyFill="1" applyBorder="1" applyAlignment="1" applyProtection="1">
      <alignment horizontal="center" vertical="center"/>
      <protection locked="0"/>
    </xf>
    <xf numFmtId="0" fontId="34" fillId="18" borderId="0" xfId="0" applyFont="1" applyFill="1" applyBorder="1" applyAlignment="1" applyProtection="1">
      <alignment horizontal="center" vertical="center" wrapText="1"/>
    </xf>
    <xf numFmtId="0" fontId="50" fillId="18" borderId="0" xfId="0" applyFont="1" applyFill="1" applyBorder="1" applyAlignment="1">
      <alignment horizontal="center" vertical="center" wrapText="1"/>
    </xf>
    <xf numFmtId="0" fontId="60" fillId="0" borderId="16" xfId="0" applyFont="1" applyFill="1" applyBorder="1" applyAlignment="1">
      <alignment horizontal="center" vertical="center"/>
    </xf>
    <xf numFmtId="0" fontId="60" fillId="0" borderId="0" xfId="0" applyFont="1" applyFill="1" applyBorder="1" applyAlignment="1">
      <alignment horizontal="center" vertical="center"/>
    </xf>
    <xf numFmtId="0" fontId="0" fillId="8" borderId="10" xfId="0" applyFill="1" applyBorder="1" applyAlignment="1" applyProtection="1">
      <alignment horizontal="center" vertical="center" wrapText="1"/>
    </xf>
    <xf numFmtId="0" fontId="0" fillId="0" borderId="4" xfId="0" applyBorder="1" applyAlignment="1">
      <alignment horizontal="center" vertical="center" wrapText="1"/>
    </xf>
    <xf numFmtId="0" fontId="0" fillId="5" borderId="12" xfId="0"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8" fillId="5" borderId="10"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4" xfId="0" applyFont="1" applyBorder="1" applyAlignment="1">
      <alignment horizontal="center" vertical="center" wrapText="1"/>
    </xf>
    <xf numFmtId="0" fontId="28" fillId="5" borderId="42" xfId="0" applyFont="1" applyFill="1" applyBorder="1" applyAlignment="1">
      <alignment horizontal="center" vertical="center" wrapText="1"/>
    </xf>
    <xf numFmtId="0" fontId="0" fillId="8" borderId="8" xfId="0" applyFill="1" applyBorder="1" applyAlignment="1" applyProtection="1">
      <alignment horizontal="center" vertical="center" wrapText="1"/>
    </xf>
    <xf numFmtId="0" fontId="0" fillId="0" borderId="7" xfId="0" applyBorder="1" applyAlignment="1">
      <alignment horizontal="center" vertical="center" wrapText="1"/>
    </xf>
    <xf numFmtId="0" fontId="0" fillId="5" borderId="10" xfId="0" applyFill="1" applyBorder="1" applyAlignment="1" applyProtection="1">
      <alignment horizontal="center" vertical="center"/>
    </xf>
    <xf numFmtId="0" fontId="0" fillId="0" borderId="4" xfId="0" applyBorder="1" applyAlignment="1">
      <alignment horizontal="center" vertical="center"/>
    </xf>
    <xf numFmtId="0" fontId="78" fillId="26" borderId="0" xfId="0" applyFont="1" applyFill="1" applyBorder="1" applyAlignment="1" applyProtection="1">
      <alignment horizontal="center" vertical="center" wrapText="1"/>
    </xf>
    <xf numFmtId="0" fontId="78" fillId="26" borderId="73" xfId="0" applyFont="1" applyFill="1" applyBorder="1" applyAlignment="1">
      <alignment horizontal="center" vertical="center" wrapText="1"/>
    </xf>
    <xf numFmtId="0" fontId="78" fillId="26" borderId="0" xfId="0" applyFont="1" applyFill="1" applyBorder="1" applyAlignment="1">
      <alignment horizontal="center" vertical="center" wrapText="1"/>
    </xf>
    <xf numFmtId="0" fontId="0" fillId="5" borderId="29" xfId="0" applyFill="1" applyBorder="1" applyAlignment="1">
      <alignment horizontal="center" vertical="center" wrapText="1"/>
    </xf>
    <xf numFmtId="0" fontId="65" fillId="26" borderId="5" xfId="0" applyFont="1" applyFill="1" applyBorder="1" applyAlignment="1" applyProtection="1">
      <alignment horizontal="center"/>
    </xf>
    <xf numFmtId="0" fontId="65" fillId="26" borderId="5" xfId="0" applyFont="1" applyFill="1" applyBorder="1" applyAlignment="1">
      <alignment horizontal="center"/>
    </xf>
    <xf numFmtId="0" fontId="65" fillId="26" borderId="63" xfId="0" applyFont="1" applyFill="1" applyBorder="1" applyAlignment="1">
      <alignment horizontal="center"/>
    </xf>
    <xf numFmtId="0" fontId="75" fillId="26" borderId="35" xfId="0" applyFont="1" applyFill="1" applyBorder="1" applyAlignment="1">
      <alignment horizontal="center" vertical="center" wrapText="1"/>
    </xf>
    <xf numFmtId="0" fontId="75" fillId="26" borderId="84" xfId="0" applyFont="1" applyFill="1" applyBorder="1" applyAlignment="1">
      <alignment horizontal="center" vertical="center" wrapText="1"/>
    </xf>
    <xf numFmtId="0" fontId="50" fillId="20" borderId="64" xfId="0" applyFont="1" applyFill="1" applyBorder="1" applyAlignment="1" applyProtection="1">
      <alignment horizontal="center" vertical="center"/>
      <protection locked="0"/>
    </xf>
    <xf numFmtId="0" fontId="50" fillId="20" borderId="95" xfId="0" applyFont="1" applyFill="1" applyBorder="1" applyAlignment="1" applyProtection="1">
      <alignment horizontal="center" vertical="center"/>
      <protection locked="0"/>
    </xf>
    <xf numFmtId="0" fontId="2" fillId="20" borderId="95" xfId="0" applyFont="1" applyFill="1" applyBorder="1" applyAlignment="1" applyProtection="1">
      <alignment horizontal="center" vertical="center"/>
      <protection locked="0"/>
    </xf>
    <xf numFmtId="0" fontId="50" fillId="20" borderId="96" xfId="0" applyFont="1" applyFill="1" applyBorder="1" applyAlignment="1" applyProtection="1">
      <alignment horizontal="center" vertical="center"/>
      <protection locked="0"/>
    </xf>
    <xf numFmtId="0" fontId="53" fillId="17" borderId="64" xfId="0" applyFont="1" applyFill="1" applyBorder="1" applyAlignment="1" applyProtection="1">
      <alignment horizontal="center" vertical="center"/>
    </xf>
    <xf numFmtId="0" fontId="53" fillId="17" borderId="90" xfId="0" applyFont="1" applyFill="1" applyBorder="1" applyAlignment="1" applyProtection="1">
      <alignment horizontal="center" vertical="center"/>
    </xf>
    <xf numFmtId="0" fontId="44" fillId="17" borderId="90" xfId="0" applyFont="1" applyFill="1" applyBorder="1" applyAlignment="1" applyProtection="1">
      <alignment horizontal="center"/>
    </xf>
    <xf numFmtId="0" fontId="53" fillId="17" borderId="78" xfId="0" applyFont="1" applyFill="1" applyBorder="1" applyAlignment="1" applyProtection="1">
      <alignment horizontal="center" vertical="center"/>
    </xf>
    <xf numFmtId="0" fontId="15" fillId="18" borderId="0" xfId="0" applyFont="1" applyFill="1" applyBorder="1" applyAlignment="1">
      <alignment horizontal="center" vertical="center" wrapText="1"/>
    </xf>
    <xf numFmtId="0" fontId="53" fillId="26" borderId="79" xfId="0" applyFont="1" applyFill="1" applyBorder="1" applyAlignment="1" applyProtection="1">
      <alignment horizontal="center" vertical="center"/>
    </xf>
    <xf numFmtId="0" fontId="53" fillId="26" borderId="65" xfId="0" applyFont="1" applyFill="1" applyBorder="1" applyAlignment="1" applyProtection="1">
      <alignment horizontal="center" vertical="center"/>
    </xf>
    <xf numFmtId="0" fontId="53" fillId="26" borderId="78" xfId="0" applyFont="1" applyFill="1" applyBorder="1" applyAlignment="1" applyProtection="1">
      <alignment horizontal="center" vertical="center"/>
    </xf>
    <xf numFmtId="0" fontId="50" fillId="20" borderId="65" xfId="0" applyFont="1" applyFill="1" applyBorder="1" applyAlignment="1" applyProtection="1">
      <alignment horizontal="center" vertical="center"/>
      <protection locked="0"/>
    </xf>
    <xf numFmtId="0" fontId="75" fillId="26" borderId="16" xfId="0" applyFont="1" applyFill="1" applyBorder="1" applyAlignment="1">
      <alignment horizontal="center" vertical="center" wrapText="1"/>
    </xf>
    <xf numFmtId="0" fontId="75" fillId="26" borderId="81" xfId="0" applyFont="1" applyFill="1" applyBorder="1" applyAlignment="1">
      <alignment horizontal="center" vertical="center" wrapText="1"/>
    </xf>
    <xf numFmtId="0" fontId="67" fillId="19" borderId="43" xfId="0" applyFont="1" applyFill="1" applyBorder="1" applyAlignment="1" applyProtection="1">
      <alignment horizontal="center" vertical="center"/>
    </xf>
    <xf numFmtId="0" fontId="52" fillId="17" borderId="16" xfId="0" applyFont="1" applyFill="1" applyBorder="1" applyAlignment="1" applyProtection="1">
      <alignment horizontal="center" vertical="top" wrapText="1"/>
    </xf>
    <xf numFmtId="0" fontId="52" fillId="17" borderId="81" xfId="0" applyFont="1" applyFill="1" applyBorder="1" applyAlignment="1">
      <alignment horizontal="center" vertical="top" wrapText="1"/>
    </xf>
    <xf numFmtId="0" fontId="65" fillId="26" borderId="5" xfId="0" applyFont="1" applyFill="1" applyBorder="1" applyAlignment="1">
      <alignment horizontal="center" vertical="center"/>
    </xf>
    <xf numFmtId="0" fontId="65" fillId="26" borderId="63" xfId="0" applyFont="1" applyFill="1" applyBorder="1" applyAlignment="1">
      <alignment horizontal="center" vertical="center"/>
    </xf>
    <xf numFmtId="0" fontId="65" fillId="26" borderId="94" xfId="0" applyFont="1" applyFill="1" applyBorder="1" applyAlignment="1" applyProtection="1">
      <alignment horizontal="center" vertical="center" wrapText="1"/>
    </xf>
    <xf numFmtId="0" fontId="65" fillId="26" borderId="83" xfId="0" applyFont="1" applyFill="1" applyBorder="1" applyAlignment="1">
      <alignment horizontal="center" vertical="center"/>
    </xf>
    <xf numFmtId="0" fontId="65" fillId="26" borderId="35" xfId="0" applyFont="1" applyFill="1" applyBorder="1" applyAlignment="1">
      <alignment horizontal="center" vertical="center"/>
    </xf>
    <xf numFmtId="0" fontId="65" fillId="26" borderId="84" xfId="0" applyFont="1" applyFill="1" applyBorder="1" applyAlignment="1">
      <alignment horizontal="center" vertical="center"/>
    </xf>
    <xf numFmtId="0" fontId="75" fillId="26" borderId="0" xfId="0" applyNumberFormat="1" applyFont="1" applyFill="1" applyBorder="1" applyAlignment="1" applyProtection="1">
      <alignment horizontal="center" vertical="center" wrapText="1"/>
    </xf>
    <xf numFmtId="0" fontId="75" fillId="26" borderId="35" xfId="0" applyNumberFormat="1" applyFont="1" applyFill="1" applyBorder="1" applyAlignment="1" applyProtection="1">
      <alignment horizontal="center" vertical="center" wrapText="1"/>
    </xf>
    <xf numFmtId="0" fontId="75" fillId="26" borderId="82" xfId="0" applyNumberFormat="1" applyFont="1" applyFill="1" applyBorder="1" applyAlignment="1" applyProtection="1">
      <alignment horizontal="center" vertical="center" wrapText="1"/>
    </xf>
    <xf numFmtId="0" fontId="75" fillId="26" borderId="84" xfId="0" applyNumberFormat="1" applyFont="1" applyFill="1" applyBorder="1" applyAlignment="1" applyProtection="1">
      <alignment horizontal="center" vertical="center" wrapText="1"/>
    </xf>
    <xf numFmtId="0" fontId="65" fillId="26" borderId="107" xfId="0" applyFont="1" applyFill="1" applyBorder="1" applyAlignment="1" applyProtection="1">
      <alignment horizontal="center" vertical="center" wrapText="1"/>
    </xf>
    <xf numFmtId="0" fontId="0" fillId="0" borderId="0" xfId="0" applyAlignment="1" applyProtection="1">
      <alignment wrapText="1"/>
    </xf>
    <xf numFmtId="0" fontId="0" fillId="0" borderId="0" xfId="0" applyAlignment="1"/>
    <xf numFmtId="0" fontId="0" fillId="0" borderId="0" xfId="0" applyAlignment="1" applyProtection="1"/>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65" fillId="26" borderId="5" xfId="0" applyNumberFormat="1" applyFont="1" applyFill="1" applyBorder="1" applyAlignment="1" applyProtection="1">
      <alignment horizontal="center" vertical="center" wrapText="1"/>
    </xf>
    <xf numFmtId="0" fontId="65" fillId="26" borderId="0" xfId="0" applyNumberFormat="1" applyFont="1" applyFill="1" applyBorder="1" applyAlignment="1" applyProtection="1">
      <alignment horizontal="center" vertical="center" wrapText="1"/>
    </xf>
    <xf numFmtId="0" fontId="65" fillId="26" borderId="82" xfId="0" applyNumberFormat="1" applyFont="1" applyFill="1" applyBorder="1" applyAlignment="1" applyProtection="1">
      <alignment horizontal="center" vertical="center" wrapText="1"/>
    </xf>
    <xf numFmtId="0" fontId="65" fillId="26" borderId="83" xfId="0" applyFont="1" applyFill="1" applyBorder="1" applyAlignment="1" applyProtection="1">
      <alignment horizontal="center" vertical="center" wrapText="1"/>
    </xf>
    <xf numFmtId="0" fontId="65" fillId="26" borderId="2" xfId="0" applyFont="1" applyFill="1" applyBorder="1" applyAlignment="1" applyProtection="1">
      <alignment horizontal="center" vertical="center" wrapText="1"/>
    </xf>
    <xf numFmtId="0" fontId="65" fillId="26" borderId="84"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79" fillId="26" borderId="62" xfId="0" applyFont="1" applyFill="1" applyBorder="1" applyAlignment="1" applyProtection="1">
      <alignment horizontal="center" vertical="center"/>
      <protection locked="0"/>
    </xf>
    <xf numFmtId="0" fontId="79" fillId="26" borderId="16" xfId="0" applyFont="1" applyFill="1" applyBorder="1" applyAlignment="1" applyProtection="1">
      <alignment horizontal="center" vertical="center"/>
      <protection locked="0"/>
    </xf>
    <xf numFmtId="0" fontId="79" fillId="26" borderId="81" xfId="0" applyFont="1" applyFill="1" applyBorder="1" applyAlignment="1" applyProtection="1">
      <alignment horizontal="center" vertical="center"/>
      <protection locked="0"/>
    </xf>
    <xf numFmtId="0" fontId="0" fillId="5" borderId="28" xfId="0" applyFill="1" applyBorder="1" applyAlignment="1" applyProtection="1">
      <alignment horizontal="center" vertical="center" wrapText="1"/>
    </xf>
    <xf numFmtId="0" fontId="0" fillId="5" borderId="22" xfId="0" applyFill="1" applyBorder="1" applyAlignment="1" applyProtection="1">
      <alignment horizontal="center" vertical="center" wrapText="1"/>
    </xf>
    <xf numFmtId="177" fontId="0" fillId="5" borderId="28" xfId="0" applyNumberFormat="1" applyFill="1" applyBorder="1" applyAlignment="1" applyProtection="1">
      <alignment horizontal="center" vertical="center"/>
    </xf>
    <xf numFmtId="177" fontId="0" fillId="5" borderId="22" xfId="0" applyNumberFormat="1" applyFill="1" applyBorder="1" applyAlignment="1" applyProtection="1">
      <alignment horizontal="center" vertical="center"/>
    </xf>
    <xf numFmtId="177" fontId="0" fillId="0" borderId="22" xfId="0" applyNumberFormat="1" applyBorder="1" applyAlignment="1">
      <alignment horizontal="center" vertical="center"/>
    </xf>
    <xf numFmtId="0" fontId="0" fillId="0" borderId="29" xfId="0" applyBorder="1" applyAlignment="1">
      <alignment horizontal="center" vertical="center"/>
    </xf>
    <xf numFmtId="0" fontId="0" fillId="5" borderId="28" xfId="0" applyFill="1" applyBorder="1" applyAlignment="1" applyProtection="1">
      <alignment horizontal="center" vertical="center"/>
    </xf>
    <xf numFmtId="0" fontId="0" fillId="0" borderId="22" xfId="0" applyBorder="1" applyAlignment="1">
      <alignment horizontal="center" vertical="center"/>
    </xf>
    <xf numFmtId="0" fontId="3" fillId="5" borderId="10" xfId="0" applyFont="1" applyFill="1" applyBorder="1" applyAlignment="1">
      <alignment horizontal="center" vertical="center" wrapText="1"/>
    </xf>
    <xf numFmtId="2" fontId="0" fillId="7" borderId="85" xfId="0" applyNumberFormat="1" applyFill="1" applyBorder="1" applyAlignment="1" applyProtection="1">
      <alignment horizontal="center" vertical="center" wrapText="1"/>
    </xf>
    <xf numFmtId="2" fontId="0" fillId="7" borderId="20" xfId="0" applyNumberFormat="1" applyFill="1" applyBorder="1" applyAlignment="1" applyProtection="1">
      <alignment horizontal="center" vertical="center" wrapText="1"/>
    </xf>
    <xf numFmtId="2" fontId="0" fillId="12" borderId="86" xfId="0" applyNumberFormat="1" applyFill="1" applyBorder="1" applyAlignment="1" applyProtection="1">
      <alignment horizontal="center" vertical="center" wrapText="1"/>
    </xf>
    <xf numFmtId="2" fontId="0" fillId="12" borderId="21" xfId="0" applyNumberForma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0" fillId="0" borderId="32" xfId="0" applyBorder="1" applyAlignment="1">
      <alignment wrapText="1"/>
    </xf>
    <xf numFmtId="0" fontId="2" fillId="5" borderId="12" xfId="0" applyFont="1" applyFill="1" applyBorder="1" applyAlignment="1" applyProtection="1">
      <alignment horizontal="center" vertical="center" wrapText="1"/>
    </xf>
    <xf numFmtId="0" fontId="0" fillId="0" borderId="33" xfId="0" applyBorder="1" applyAlignment="1">
      <alignment wrapText="1"/>
    </xf>
    <xf numFmtId="0" fontId="0" fillId="5" borderId="3" xfId="0" applyFill="1" applyBorder="1" applyAlignment="1" applyProtection="1">
      <alignment horizontal="center" vertical="center" wrapText="1"/>
    </xf>
    <xf numFmtId="0" fontId="0" fillId="5" borderId="92" xfId="0" applyFill="1" applyBorder="1" applyAlignment="1" applyProtection="1">
      <alignment horizontal="center" vertical="center" wrapText="1"/>
    </xf>
    <xf numFmtId="0" fontId="75" fillId="26" borderId="2" xfId="0" applyFont="1" applyFill="1" applyBorder="1" applyAlignment="1" applyProtection="1">
      <alignment horizontal="center" vertical="center" wrapText="1"/>
    </xf>
    <xf numFmtId="0" fontId="75" fillId="26" borderId="80" xfId="0" applyFont="1" applyFill="1" applyBorder="1" applyAlignment="1" applyProtection="1">
      <alignment horizontal="center" vertical="center" wrapText="1"/>
    </xf>
    <xf numFmtId="0" fontId="75" fillId="26" borderId="0" xfId="0" applyFont="1" applyFill="1" applyBorder="1" applyAlignment="1">
      <alignment horizontal="center" vertical="center" wrapText="1"/>
    </xf>
    <xf numFmtId="0" fontId="75" fillId="26" borderId="82" xfId="0" applyFont="1" applyFill="1" applyBorder="1" applyAlignment="1">
      <alignment horizontal="center" vertical="center" wrapText="1"/>
    </xf>
    <xf numFmtId="0" fontId="75" fillId="26" borderId="0" xfId="0" applyFont="1" applyFill="1" applyBorder="1" applyAlignment="1" applyProtection="1">
      <alignment horizontal="center" vertical="center" wrapText="1"/>
    </xf>
    <xf numFmtId="0" fontId="75" fillId="26" borderId="73" xfId="0" applyFont="1" applyFill="1" applyBorder="1" applyAlignment="1">
      <alignment horizontal="center" vertical="center" wrapText="1"/>
    </xf>
    <xf numFmtId="0" fontId="90" fillId="28" borderId="0" xfId="0" applyFont="1" applyFill="1" applyAlignment="1">
      <alignment horizontal="center" vertical="center"/>
    </xf>
    <xf numFmtId="0" fontId="65" fillId="26" borderId="64" xfId="0" applyFont="1" applyFill="1" applyBorder="1" applyAlignment="1">
      <alignment horizontal="center" vertical="center"/>
    </xf>
    <xf numFmtId="0" fontId="83" fillId="26" borderId="95" xfId="0" applyFont="1" applyFill="1" applyBorder="1" applyAlignment="1">
      <alignment horizontal="center" vertical="center"/>
    </xf>
    <xf numFmtId="0" fontId="83" fillId="26" borderId="96" xfId="0" applyFont="1" applyFill="1" applyBorder="1" applyAlignment="1">
      <alignment horizontal="center" vertical="center"/>
    </xf>
    <xf numFmtId="0" fontId="68" fillId="4" borderId="82" xfId="0" applyFont="1" applyFill="1" applyBorder="1" applyAlignment="1">
      <alignment horizontal="center" vertical="center"/>
    </xf>
    <xf numFmtId="0" fontId="74" fillId="26" borderId="16" xfId="0" applyFont="1" applyFill="1" applyBorder="1" applyAlignment="1">
      <alignment horizontal="center" vertical="center"/>
    </xf>
    <xf numFmtId="0" fontId="74" fillId="26" borderId="101" xfId="0" applyFont="1" applyFill="1" applyBorder="1" applyAlignment="1">
      <alignment horizontal="center" vertical="center"/>
    </xf>
    <xf numFmtId="0" fontId="74" fillId="26" borderId="105" xfId="0" applyFont="1" applyFill="1" applyBorder="1" applyAlignment="1">
      <alignment horizontal="center" vertical="center" wrapText="1"/>
    </xf>
    <xf numFmtId="0" fontId="74" fillId="26" borderId="105" xfId="0" applyFont="1" applyFill="1" applyBorder="1" applyAlignment="1">
      <alignment wrapText="1"/>
    </xf>
    <xf numFmtId="0" fontId="74" fillId="26" borderId="104" xfId="0" applyFont="1" applyFill="1" applyBorder="1" applyAlignment="1">
      <alignment horizontal="center" vertical="center" wrapText="1"/>
    </xf>
    <xf numFmtId="0" fontId="74" fillId="26" borderId="104" xfId="0" applyFont="1" applyFill="1" applyBorder="1" applyAlignment="1">
      <alignment wrapText="1"/>
    </xf>
    <xf numFmtId="0" fontId="74" fillId="26" borderId="106" xfId="0" applyFont="1" applyFill="1" applyBorder="1" applyAlignment="1">
      <alignment horizontal="center" vertical="center" wrapText="1"/>
    </xf>
    <xf numFmtId="0" fontId="74" fillId="26" borderId="106" xfId="0" applyFont="1" applyFill="1" applyBorder="1" applyAlignment="1">
      <alignment wrapText="1"/>
    </xf>
    <xf numFmtId="0" fontId="68" fillId="4" borderId="98" xfId="0" applyFont="1" applyFill="1" applyBorder="1" applyAlignment="1">
      <alignment horizontal="center" vertical="center"/>
    </xf>
    <xf numFmtId="0" fontId="68" fillId="4" borderId="65" xfId="0" applyFont="1" applyFill="1" applyBorder="1" applyAlignment="1">
      <alignment horizontal="center" vertical="center"/>
    </xf>
    <xf numFmtId="0" fontId="65" fillId="26" borderId="102" xfId="0" applyFont="1" applyFill="1" applyBorder="1" applyAlignment="1">
      <alignment horizontal="center" vertical="center"/>
    </xf>
    <xf numFmtId="0" fontId="65" fillId="26" borderId="16" xfId="0" applyFont="1" applyFill="1" applyBorder="1" applyAlignment="1">
      <alignment horizontal="center" vertical="center"/>
    </xf>
    <xf numFmtId="0" fontId="65" fillId="26" borderId="103" xfId="0" applyFont="1" applyFill="1" applyBorder="1" applyAlignment="1">
      <alignment horizontal="center" vertical="center"/>
    </xf>
    <xf numFmtId="0" fontId="65" fillId="26" borderId="105" xfId="0" applyFont="1" applyFill="1" applyBorder="1" applyAlignment="1">
      <alignment horizontal="center" vertical="center" wrapText="1"/>
    </xf>
    <xf numFmtId="0" fontId="65" fillId="26" borderId="104" xfId="0" applyFont="1" applyFill="1" applyBorder="1" applyAlignment="1">
      <alignment horizontal="center" vertical="center" wrapText="1"/>
    </xf>
    <xf numFmtId="0" fontId="65" fillId="26" borderId="106" xfId="0" applyFont="1" applyFill="1" applyBorder="1" applyAlignment="1">
      <alignment horizontal="center" vertical="center" wrapText="1"/>
    </xf>
    <xf numFmtId="0" fontId="65" fillId="26" borderId="102" xfId="0" applyFont="1" applyFill="1" applyBorder="1" applyAlignment="1">
      <alignment horizontal="center" vertical="center" wrapText="1"/>
    </xf>
    <xf numFmtId="0" fontId="65" fillId="26" borderId="94" xfId="0" applyFont="1" applyFill="1" applyBorder="1" applyAlignment="1">
      <alignment horizontal="center" vertical="center" wrapText="1"/>
    </xf>
    <xf numFmtId="0" fontId="65" fillId="26" borderId="94" xfId="0" applyFont="1" applyFill="1" applyBorder="1" applyAlignment="1">
      <alignment wrapText="1"/>
    </xf>
    <xf numFmtId="0" fontId="65" fillId="26" borderId="16" xfId="0" applyFont="1" applyFill="1" applyBorder="1" applyAlignment="1">
      <alignment horizontal="center" vertical="center" wrapText="1"/>
    </xf>
    <xf numFmtId="0" fontId="65" fillId="26" borderId="103" xfId="0" applyFont="1" applyFill="1" applyBorder="1" applyAlignment="1">
      <alignment horizontal="center" vertical="center" wrapText="1"/>
    </xf>
    <xf numFmtId="0" fontId="65" fillId="26" borderId="100" xfId="0" applyFont="1" applyFill="1" applyBorder="1" applyAlignment="1">
      <alignment horizontal="center" vertical="center" wrapText="1"/>
    </xf>
    <xf numFmtId="0" fontId="65" fillId="26" borderId="100" xfId="0" applyFont="1" applyFill="1" applyBorder="1" applyAlignment="1">
      <alignment wrapText="1"/>
    </xf>
    <xf numFmtId="0" fontId="68" fillId="4" borderId="0" xfId="0" applyFont="1" applyFill="1" applyBorder="1" applyAlignment="1">
      <alignment vertical="top" wrapText="1"/>
    </xf>
    <xf numFmtId="0" fontId="68" fillId="4" borderId="2" xfId="0" applyFont="1" applyFill="1" applyBorder="1" applyAlignment="1">
      <alignment vertical="top" wrapText="1"/>
    </xf>
    <xf numFmtId="0" fontId="68" fillId="4" borderId="65" xfId="0" applyFont="1" applyFill="1" applyBorder="1" applyAlignment="1">
      <alignment horizontal="center" vertical="center" wrapText="1"/>
    </xf>
    <xf numFmtId="0" fontId="65" fillId="27" borderId="105" xfId="0" applyFont="1" applyFill="1" applyBorder="1" applyAlignment="1">
      <alignment horizontal="center" vertical="center"/>
    </xf>
    <xf numFmtId="0" fontId="65" fillId="27" borderId="104" xfId="0" applyFont="1" applyFill="1" applyBorder="1" applyAlignment="1">
      <alignment horizontal="center" vertical="center"/>
    </xf>
    <xf numFmtId="0" fontId="65" fillId="27" borderId="92" xfId="0" applyFont="1" applyFill="1" applyBorder="1" applyAlignment="1">
      <alignment horizontal="center" vertical="center"/>
    </xf>
    <xf numFmtId="0" fontId="75" fillId="27" borderId="79" xfId="0" applyFont="1" applyFill="1" applyBorder="1" applyAlignment="1">
      <alignment horizontal="center" vertical="center" wrapText="1"/>
    </xf>
    <xf numFmtId="0" fontId="58" fillId="18" borderId="0" xfId="0" applyFont="1" applyFill="1" applyAlignment="1">
      <alignment horizontal="center" vertical="center"/>
    </xf>
    <xf numFmtId="0" fontId="68" fillId="0" borderId="65" xfId="0" applyFont="1" applyBorder="1" applyAlignment="1">
      <alignment horizontal="center" vertical="center" wrapText="1"/>
    </xf>
    <xf numFmtId="0" fontId="68" fillId="4" borderId="78" xfId="0" applyFont="1" applyFill="1" applyBorder="1" applyAlignment="1">
      <alignment horizontal="center" vertical="center"/>
    </xf>
    <xf numFmtId="0" fontId="68" fillId="0" borderId="78" xfId="0" applyFont="1" applyBorder="1" applyAlignment="1">
      <alignment horizontal="center" vertical="center" wrapText="1"/>
    </xf>
    <xf numFmtId="0" fontId="68" fillId="0" borderId="64" xfId="0" applyFont="1" applyBorder="1" applyAlignment="1">
      <alignment horizontal="center" vertical="center"/>
    </xf>
    <xf numFmtId="0" fontId="68" fillId="0" borderId="78" xfId="0" applyFont="1" applyBorder="1" applyAlignment="1">
      <alignment horizontal="center" vertical="center"/>
    </xf>
    <xf numFmtId="0" fontId="85" fillId="26" borderId="64" xfId="0" applyFont="1" applyFill="1" applyBorder="1" applyAlignment="1">
      <alignment horizontal="center" vertical="center"/>
    </xf>
    <xf numFmtId="0" fontId="85" fillId="26" borderId="95" xfId="0" applyFont="1" applyFill="1" applyBorder="1" applyAlignment="1">
      <alignment horizontal="center" vertical="center"/>
    </xf>
    <xf numFmtId="0" fontId="85" fillId="26" borderId="96" xfId="0" applyFont="1" applyFill="1" applyBorder="1" applyAlignment="1">
      <alignment horizontal="center" vertical="center"/>
    </xf>
    <xf numFmtId="0" fontId="68" fillId="4" borderId="82" xfId="0" applyFont="1" applyFill="1" applyBorder="1" applyAlignment="1">
      <alignment vertical="top" wrapText="1"/>
    </xf>
    <xf numFmtId="0" fontId="68" fillId="4" borderId="80" xfId="0" applyFont="1" applyFill="1" applyBorder="1" applyAlignment="1">
      <alignment vertical="top" wrapText="1"/>
    </xf>
    <xf numFmtId="0" fontId="75" fillId="27" borderId="43" xfId="0" applyFont="1" applyFill="1" applyBorder="1" applyAlignment="1">
      <alignment horizontal="center" vertical="center" wrapText="1"/>
    </xf>
    <xf numFmtId="0" fontId="75" fillId="27" borderId="97" xfId="0" applyFont="1" applyFill="1" applyBorder="1" applyAlignment="1">
      <alignment horizontal="center" vertical="center" wrapText="1"/>
    </xf>
    <xf numFmtId="0" fontId="75" fillId="27" borderId="64" xfId="0" applyFont="1" applyFill="1" applyBorder="1" applyAlignment="1">
      <alignment horizontal="center" vertical="center" wrapText="1"/>
    </xf>
    <xf numFmtId="0" fontId="51" fillId="18" borderId="0" xfId="0" applyFont="1" applyFill="1" applyBorder="1" applyAlignment="1">
      <alignment horizontal="center"/>
    </xf>
    <xf numFmtId="0" fontId="50" fillId="18" borderId="0" xfId="0" applyFont="1" applyFill="1" applyAlignment="1"/>
    <xf numFmtId="0" fontId="50" fillId="0" borderId="0" xfId="0" applyFont="1" applyFill="1" applyBorder="1" applyAlignment="1">
      <alignment horizontal="center" vertical="center"/>
    </xf>
    <xf numFmtId="0" fontId="50" fillId="0" borderId="0" xfId="0" applyFont="1" applyFill="1" applyBorder="1" applyAlignment="1"/>
    <xf numFmtId="0" fontId="50" fillId="18" borderId="0" xfId="0" applyFont="1" applyFill="1" applyBorder="1" applyAlignment="1">
      <alignment horizontal="center" vertical="center"/>
    </xf>
    <xf numFmtId="0" fontId="50" fillId="18" borderId="0" xfId="0" applyFont="1" applyFill="1" applyBorder="1" applyAlignment="1"/>
    <xf numFmtId="164" fontId="50" fillId="18" borderId="0" xfId="0" applyNumberFormat="1" applyFont="1" applyFill="1" applyBorder="1" applyAlignment="1">
      <alignment horizontal="center" vertical="center"/>
    </xf>
    <xf numFmtId="0" fontId="68" fillId="4" borderId="0" xfId="0" applyFont="1" applyFill="1" applyBorder="1" applyAlignment="1">
      <alignment vertical="center" wrapText="1"/>
    </xf>
    <xf numFmtId="0" fontId="68" fillId="0" borderId="0" xfId="0" applyFont="1" applyBorder="1" applyAlignment="1">
      <alignment vertical="center" wrapText="1"/>
    </xf>
    <xf numFmtId="171" fontId="67" fillId="10" borderId="58" xfId="0" applyNumberFormat="1" applyFont="1" applyFill="1" applyBorder="1" applyAlignment="1" applyProtection="1">
      <alignment horizontal="center" vertical="center"/>
    </xf>
    <xf numFmtId="171" fontId="67" fillId="10" borderId="69" xfId="0" applyNumberFormat="1" applyFont="1" applyFill="1" applyBorder="1" applyAlignment="1" applyProtection="1">
      <alignment horizontal="center" vertical="center"/>
    </xf>
    <xf numFmtId="0" fontId="75" fillId="27" borderId="79" xfId="0" applyFont="1" applyFill="1" applyBorder="1" applyAlignment="1">
      <alignment horizontal="center" vertical="center"/>
    </xf>
    <xf numFmtId="0" fontId="75" fillId="27" borderId="65" xfId="0" applyFont="1" applyFill="1" applyBorder="1" applyAlignment="1">
      <alignment horizontal="center" vertical="center"/>
    </xf>
    <xf numFmtId="0" fontId="75" fillId="27" borderId="78" xfId="0" applyFont="1" applyFill="1" applyBorder="1" applyAlignment="1">
      <alignment horizontal="center" vertical="center"/>
    </xf>
    <xf numFmtId="0" fontId="52" fillId="27" borderId="65" xfId="0" applyFont="1" applyFill="1" applyBorder="1" applyAlignment="1">
      <alignment horizontal="center" vertical="center" wrapText="1"/>
    </xf>
    <xf numFmtId="0" fontId="52" fillId="27" borderId="78" xfId="0" applyFont="1" applyFill="1" applyBorder="1" applyAlignment="1">
      <alignment horizontal="center" vertical="center" wrapText="1"/>
    </xf>
    <xf numFmtId="0" fontId="52" fillId="27" borderId="65" xfId="0" applyFont="1" applyFill="1" applyBorder="1" applyAlignment="1">
      <alignment horizontal="center" vertical="center"/>
    </xf>
    <xf numFmtId="0" fontId="52" fillId="27" borderId="78" xfId="0" applyFont="1" applyFill="1" applyBorder="1" applyAlignment="1">
      <alignment horizontal="center" vertical="center"/>
    </xf>
    <xf numFmtId="9" fontId="75" fillId="17" borderId="62" xfId="0" applyNumberFormat="1" applyFont="1" applyFill="1" applyBorder="1" applyAlignment="1">
      <alignment horizontal="center" vertical="top" wrapText="1"/>
    </xf>
    <xf numFmtId="9" fontId="59" fillId="17" borderId="5" xfId="0" applyNumberFormat="1" applyFont="1" applyFill="1" applyBorder="1" applyAlignment="1">
      <alignment horizontal="center" vertical="top" wrapText="1"/>
    </xf>
    <xf numFmtId="9" fontId="59" fillId="17" borderId="83" xfId="0" applyNumberFormat="1" applyFont="1" applyFill="1" applyBorder="1" applyAlignment="1">
      <alignment horizontal="center" vertical="top" wrapText="1"/>
    </xf>
    <xf numFmtId="9" fontId="59" fillId="17" borderId="81" xfId="0" applyNumberFormat="1" applyFont="1" applyFill="1" applyBorder="1" applyAlignment="1">
      <alignment horizontal="center" vertical="top" wrapText="1"/>
    </xf>
    <xf numFmtId="9" fontId="59" fillId="17" borderId="82" xfId="0" applyNumberFormat="1" applyFont="1" applyFill="1" applyBorder="1" applyAlignment="1">
      <alignment horizontal="center" vertical="top" wrapText="1"/>
    </xf>
    <xf numFmtId="9" fontId="59" fillId="17" borderId="80" xfId="0" applyNumberFormat="1" applyFont="1" applyFill="1" applyBorder="1" applyAlignment="1">
      <alignment horizontal="center" vertical="top" wrapText="1"/>
    </xf>
    <xf numFmtId="0" fontId="0" fillId="18" borderId="0" xfId="0" applyFill="1" applyBorder="1" applyAlignment="1">
      <alignment horizontal="center" vertical="center"/>
    </xf>
    <xf numFmtId="0" fontId="0" fillId="18" borderId="0" xfId="0" applyFill="1" applyBorder="1" applyAlignment="1"/>
  </cellXfs>
  <cellStyles count="19">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2" builtinId="8" hidden="1"/>
    <cellStyle name="Hyperlink" xfId="4" builtinId="8" hidden="1"/>
    <cellStyle name="Hyperlink" xfId="6" builtinId="8" hidden="1"/>
    <cellStyle name="Hyperlink" xfId="8" builtinId="8" hidden="1"/>
    <cellStyle name="Hyperlink" xfId="11" builtinId="8" hidden="1"/>
    <cellStyle name="Hyperlink" xfId="13" builtinId="8" hidden="1"/>
    <cellStyle name="Hyperlink" xfId="15" builtinId="8" hidden="1"/>
    <cellStyle name="Hyperlink" xfId="17" builtinId="8" hidden="1"/>
    <cellStyle name="Normal" xfId="0" builtinId="0"/>
    <cellStyle name="Percent" xfId="10" builtinId="5"/>
  </cellStyles>
  <dxfs count="116">
    <dxf>
      <fill>
        <patternFill>
          <bgColor rgb="FFDBD5C2"/>
        </patternFill>
      </fill>
    </dxf>
    <dxf>
      <font>
        <color theme="0"/>
      </font>
      <fill>
        <patternFill>
          <bgColor rgb="FF004680"/>
        </patternFill>
      </fill>
      <border>
        <left/>
        <right/>
        <top/>
        <bottom style="thin">
          <color indexed="64"/>
        </bottom>
      </border>
    </dxf>
    <dxf>
      <fill>
        <patternFill>
          <bgColor theme="0"/>
        </patternFill>
      </fill>
      <border>
        <left/>
        <right/>
        <top/>
        <bottom style="thin">
          <color indexed="64"/>
        </bottom>
      </border>
    </dxf>
    <dxf>
      <font>
        <color auto="1"/>
      </font>
      <fill>
        <patternFill>
          <bgColor rgb="FFD8BABB"/>
        </patternFill>
      </fill>
    </dxf>
    <dxf>
      <font>
        <color auto="1"/>
      </font>
      <fill>
        <patternFill>
          <bgColor rgb="FFB8CDCB"/>
        </patternFill>
      </fill>
    </dxf>
    <dxf>
      <font>
        <color theme="0"/>
      </font>
      <fill>
        <patternFill>
          <bgColor rgb="FF004680"/>
        </patternFill>
      </fill>
      <border>
        <left/>
        <right/>
        <top/>
        <bottom style="thin">
          <color indexed="64"/>
        </bottom>
      </border>
    </dxf>
    <dxf>
      <fill>
        <patternFill>
          <bgColor theme="0"/>
        </patternFill>
      </fill>
      <border>
        <left/>
        <right/>
        <top/>
        <bottom style="thin">
          <color indexed="64"/>
        </bottom>
      </border>
    </dxf>
    <dxf>
      <font>
        <color theme="0"/>
      </font>
      <fill>
        <patternFill>
          <bgColor rgb="FF004680"/>
        </patternFill>
      </fill>
      <border>
        <left/>
        <right/>
        <top/>
        <bottom style="thin">
          <color indexed="64"/>
        </bottom>
      </border>
    </dxf>
    <dxf>
      <fill>
        <patternFill>
          <bgColor theme="0"/>
        </patternFill>
      </fill>
      <border>
        <left/>
        <right/>
        <top/>
        <bottom style="thin">
          <color indexed="64"/>
        </bottom>
      </border>
    </dxf>
    <dxf>
      <font>
        <color theme="0"/>
      </font>
      <fill>
        <patternFill>
          <bgColor rgb="FF004680"/>
        </patternFill>
      </fill>
      <border>
        <left/>
        <right/>
        <top/>
        <bottom style="thin">
          <color indexed="64"/>
        </bottom>
      </border>
    </dxf>
    <dxf>
      <fill>
        <patternFill>
          <bgColor theme="0"/>
        </patternFill>
      </fill>
      <border>
        <left/>
        <right/>
        <top/>
        <bottom style="thin">
          <color indexed="64"/>
        </bottom>
      </border>
    </dxf>
    <dxf>
      <font>
        <b/>
        <i/>
        <condense val="0"/>
        <extend val="0"/>
        <color indexed="10"/>
      </font>
      <fill>
        <patternFill>
          <bgColor rgb="FFC7CBCE"/>
        </patternFill>
      </fill>
    </dxf>
    <dxf>
      <font>
        <b val="0"/>
        <i/>
        <color auto="1"/>
      </font>
      <fill>
        <patternFill patternType="solid">
          <bgColor rgb="FFC7CBCE"/>
        </patternFill>
      </fill>
    </dxf>
    <dxf>
      <font>
        <b/>
        <i/>
        <strike val="0"/>
        <condense val="0"/>
        <extend val="0"/>
        <color indexed="10"/>
      </font>
      <fill>
        <patternFill>
          <bgColor rgb="FFC7CBCE"/>
        </patternFill>
      </fill>
    </dxf>
    <dxf>
      <font>
        <color theme="0"/>
      </font>
      <fill>
        <patternFill>
          <bgColor theme="0"/>
        </patternFill>
      </fill>
    </dxf>
    <dxf>
      <font>
        <b/>
        <i/>
        <color rgb="FFFF0000"/>
      </font>
      <fill>
        <patternFill>
          <bgColor theme="0"/>
        </patternFill>
      </fill>
    </dxf>
    <dxf>
      <font>
        <b/>
        <i val="0"/>
        <color indexed="17"/>
      </font>
    </dxf>
    <dxf>
      <font>
        <b val="0"/>
        <i/>
        <color auto="1"/>
      </font>
      <fill>
        <patternFill>
          <bgColor rgb="FFD8BABB"/>
        </patternFill>
      </fill>
    </dxf>
    <dxf>
      <font>
        <color auto="1"/>
      </font>
      <fill>
        <patternFill>
          <bgColor rgb="FFB8CDCB"/>
        </patternFill>
      </fill>
    </dxf>
    <dxf>
      <font>
        <color theme="0"/>
      </font>
      <fill>
        <patternFill>
          <bgColor theme="0"/>
        </patternFill>
      </fill>
    </dxf>
    <dxf>
      <font>
        <b/>
        <i/>
        <color auto="1"/>
      </font>
      <fill>
        <patternFill>
          <bgColor rgb="FFD8BABB"/>
        </patternFill>
      </fill>
      <border>
        <left style="thin">
          <color theme="0"/>
        </left>
      </border>
    </dxf>
    <dxf>
      <font>
        <b/>
        <i val="0"/>
        <color auto="1"/>
      </font>
      <fill>
        <patternFill>
          <bgColor rgb="FFB8CDCB"/>
        </patternFill>
      </fill>
      <border>
        <left/>
      </border>
    </dxf>
    <dxf>
      <font>
        <b/>
        <i/>
        <color rgb="FFFF0000"/>
      </font>
      <fill>
        <patternFill>
          <bgColor rgb="FFDBD2C2"/>
        </patternFill>
      </fill>
    </dxf>
    <dxf>
      <fill>
        <patternFill patternType="solid">
          <bgColor rgb="FFDBD2C2"/>
        </patternFill>
      </fill>
    </dxf>
    <dxf>
      <font>
        <b/>
        <i/>
        <color rgb="FFFF0000"/>
      </font>
      <fill>
        <patternFill>
          <bgColor rgb="FFDBD2C2"/>
        </patternFill>
      </fill>
    </dxf>
    <dxf>
      <fill>
        <patternFill patternType="solid">
          <bgColor rgb="FFDBD2C2"/>
        </patternFill>
      </fill>
    </dxf>
    <dxf>
      <font>
        <b val="0"/>
        <i val="0"/>
        <color theme="1"/>
      </font>
      <fill>
        <patternFill patternType="solid">
          <bgColor rgb="FFDBD2C2"/>
        </patternFill>
      </fill>
    </dxf>
    <dxf>
      <font>
        <b/>
        <i/>
        <color rgb="FFFF0000"/>
      </font>
      <fill>
        <patternFill>
          <bgColor rgb="FFDBD2C2"/>
        </patternFill>
      </fill>
    </dxf>
    <dxf>
      <font>
        <b val="0"/>
        <i val="0"/>
        <color theme="1"/>
      </font>
      <fill>
        <patternFill patternType="solid">
          <bgColor rgb="FFDBD2C2"/>
        </patternFill>
      </fill>
    </dxf>
    <dxf>
      <font>
        <b/>
        <i/>
        <color rgb="FFFF0000"/>
      </font>
      <fill>
        <patternFill>
          <bgColor rgb="FFDBD2C2"/>
        </patternFill>
      </fill>
    </dxf>
    <dxf>
      <fill>
        <patternFill patternType="solid">
          <bgColor rgb="FFB8CDCB"/>
        </patternFill>
      </fill>
    </dxf>
    <dxf>
      <fill>
        <patternFill patternType="solid">
          <bgColor rgb="FFFFFFCD"/>
        </patternFill>
      </fill>
    </dxf>
    <dxf>
      <fill>
        <patternFill patternType="solid">
          <bgColor rgb="FFFFE2CD"/>
        </patternFill>
      </fill>
    </dxf>
    <dxf>
      <fill>
        <patternFill patternType="solid">
          <bgColor rgb="FFD8BABB"/>
        </patternFill>
      </fill>
    </dxf>
    <dxf>
      <fill>
        <patternFill>
          <bgColor rgb="FFD8BABB"/>
        </patternFill>
      </fill>
      <border>
        <left style="thin">
          <color auto="1"/>
        </left>
        <right style="thin">
          <color auto="1"/>
        </right>
        <top style="thin">
          <color auto="1"/>
        </top>
        <bottom style="thin">
          <color auto="1"/>
        </bottom>
      </border>
    </dxf>
    <dxf>
      <fill>
        <patternFill>
          <bgColor indexed="9"/>
        </patternFill>
      </fill>
    </dxf>
    <dxf>
      <font>
        <strike val="0"/>
        <color auto="1"/>
      </font>
      <fill>
        <patternFill>
          <bgColor rgb="FFD8BABB"/>
        </patternFill>
      </fill>
      <border>
        <left style="thin">
          <color rgb="FFD8BABB"/>
        </left>
        <right style="thin">
          <color rgb="FFD8BABB"/>
        </right>
        <top style="thin">
          <color rgb="FFD8BABB"/>
        </top>
        <bottom style="thin">
          <color rgb="FFD8BABB"/>
        </bottom>
      </border>
    </dxf>
    <dxf>
      <font>
        <strike val="0"/>
        <color auto="1"/>
      </font>
      <fill>
        <patternFill>
          <bgColor rgb="FFB8CDCB"/>
        </patternFill>
      </fill>
      <border>
        <left style="thin">
          <color rgb="FFC6E0B4"/>
        </left>
        <right style="thin">
          <color rgb="FFC6E0B4"/>
        </right>
        <top style="thin">
          <color rgb="FFC6E0B4"/>
        </top>
        <bottom style="thin">
          <color rgb="FFC6E0B4"/>
        </bottom>
      </border>
    </dxf>
    <dxf>
      <font>
        <b/>
        <i/>
        <color rgb="FFFF0000"/>
      </font>
    </dxf>
    <dxf>
      <font>
        <color theme="0" tint="-0.34998626667073579"/>
      </font>
    </dxf>
    <dxf>
      <font>
        <color theme="1"/>
      </font>
      <fill>
        <patternFill>
          <bgColor rgb="FFDBD2C2"/>
        </patternFill>
      </fill>
    </dxf>
    <dxf>
      <font>
        <color theme="1"/>
      </font>
      <fill>
        <patternFill>
          <bgColor rgb="FFDBD2C2"/>
        </patternFill>
      </fill>
    </dxf>
    <dxf>
      <font>
        <color theme="1"/>
      </font>
      <fill>
        <patternFill>
          <bgColor rgb="FFDBD2C2"/>
        </patternFill>
      </fill>
    </dxf>
    <dxf>
      <font>
        <b/>
        <i val="0"/>
        <color rgb="FFFF0000"/>
      </font>
    </dxf>
    <dxf>
      <font>
        <color auto="1"/>
      </font>
      <fill>
        <patternFill>
          <bgColor rgb="FFD8BABB"/>
        </patternFill>
      </fill>
    </dxf>
    <dxf>
      <font>
        <color auto="1"/>
      </font>
      <fill>
        <patternFill>
          <bgColor rgb="FFB8CDCB"/>
        </patternFill>
      </fill>
    </dxf>
    <dxf>
      <font>
        <color theme="1"/>
      </font>
      <fill>
        <patternFill>
          <bgColor theme="0"/>
        </patternFill>
      </fill>
    </dxf>
    <dxf>
      <font>
        <color auto="1"/>
      </font>
      <fill>
        <patternFill>
          <bgColor rgb="FFD8BABB"/>
        </patternFill>
      </fill>
    </dxf>
    <dxf>
      <font>
        <condense val="0"/>
        <extend val="0"/>
        <color indexed="9"/>
      </font>
    </dxf>
    <dxf>
      <font>
        <color theme="1"/>
      </font>
      <fill>
        <patternFill>
          <bgColor rgb="FFDBD2C2"/>
        </patternFill>
      </fill>
    </dxf>
    <dxf>
      <font>
        <color theme="1"/>
      </font>
      <fill>
        <patternFill>
          <bgColor theme="0"/>
        </patternFill>
      </fill>
    </dxf>
    <dxf>
      <fill>
        <patternFill>
          <bgColor rgb="FFDBD2C2"/>
        </patternFill>
      </fill>
    </dxf>
    <dxf>
      <font>
        <color theme="1"/>
      </font>
      <fill>
        <patternFill>
          <bgColor rgb="FFDBD2C2"/>
        </patternFill>
      </fill>
    </dxf>
    <dxf>
      <font>
        <b/>
        <i/>
        <color rgb="FFFF0000"/>
      </font>
      <fill>
        <patternFill>
          <bgColor rgb="FFDBD2C2"/>
        </patternFill>
      </fill>
    </dxf>
    <dxf>
      <fill>
        <patternFill>
          <bgColor rgb="FFD8BABB"/>
        </patternFill>
      </fill>
      <border>
        <left style="thin">
          <color auto="1"/>
        </left>
        <right style="thin">
          <color auto="1"/>
        </right>
        <top style="thin">
          <color auto="1"/>
        </top>
        <bottom style="thin">
          <color auto="1"/>
        </bottom>
        <vertical/>
        <horizontal/>
      </border>
    </dxf>
    <dxf>
      <fill>
        <patternFill>
          <bgColor rgb="FFA8B5D4"/>
        </patternFill>
      </fill>
      <border>
        <left style="thin">
          <color auto="1"/>
        </left>
        <right style="thin">
          <color auto="1"/>
        </right>
        <top style="thin">
          <color auto="1"/>
        </top>
        <bottom style="thin">
          <color auto="1"/>
        </bottom>
        <vertical/>
        <horizontal/>
      </border>
    </dxf>
    <dxf>
      <font>
        <b/>
        <i/>
        <color rgb="FFFF0000"/>
      </font>
      <fill>
        <patternFill>
          <bgColor rgb="FFDBD2C2"/>
        </patternFill>
      </fill>
    </dxf>
    <dxf>
      <font>
        <b/>
        <i/>
        <color rgb="FFFF0000"/>
      </font>
      <fill>
        <patternFill>
          <bgColor rgb="FFDBD2C2"/>
        </patternFill>
      </fill>
    </dxf>
    <dxf>
      <font>
        <b/>
        <i/>
        <color rgb="FFFF0000"/>
      </font>
      <fill>
        <patternFill>
          <bgColor rgb="FFDBD2C2"/>
        </patternFill>
      </fill>
    </dxf>
    <dxf>
      <font>
        <b/>
        <i/>
        <color rgb="FFFF0000"/>
      </font>
      <fill>
        <patternFill>
          <bgColor rgb="FFDBD2C2"/>
        </patternFill>
      </fill>
    </dxf>
    <dxf>
      <font>
        <b/>
        <i/>
        <color rgb="FFFF0000"/>
      </font>
      <fill>
        <patternFill>
          <bgColor rgb="FFDBD2C2"/>
        </patternFill>
      </fill>
    </dxf>
    <dxf>
      <font>
        <b/>
        <i/>
        <color rgb="FFFF0000"/>
      </font>
      <fill>
        <patternFill patternType="solid">
          <bgColor rgb="FFDBD2C2"/>
        </patternFill>
      </fill>
    </dxf>
    <dxf>
      <fill>
        <patternFill patternType="solid">
          <bgColor rgb="FFDBD2C2"/>
        </patternFill>
      </fill>
    </dxf>
    <dxf>
      <font>
        <b/>
        <i/>
        <color rgb="FFFF0000"/>
      </font>
      <fill>
        <patternFill>
          <bgColor rgb="FFDBD2C2"/>
        </patternFill>
      </fill>
    </dxf>
    <dxf>
      <font>
        <b val="0"/>
        <i val="0"/>
        <color auto="1"/>
      </font>
      <fill>
        <patternFill patternType="none">
          <bgColor auto="1"/>
        </patternFill>
      </fill>
    </dxf>
    <dxf>
      <font>
        <b/>
        <i/>
        <color rgb="FFFF0000"/>
      </font>
      <fill>
        <patternFill>
          <bgColor rgb="FFDBD2C2"/>
        </patternFill>
      </fill>
    </dxf>
    <dxf>
      <font>
        <b val="0"/>
        <i val="0"/>
        <color auto="1"/>
      </font>
      <fill>
        <patternFill patternType="solid">
          <bgColor rgb="FFDBD2C2"/>
        </patternFill>
      </fill>
    </dxf>
    <dxf>
      <font>
        <b/>
        <i/>
        <color rgb="FFFF0000"/>
      </font>
      <fill>
        <patternFill patternType="solid">
          <bgColor rgb="FFDBD2C2"/>
        </patternFill>
      </fill>
    </dxf>
    <dxf>
      <fill>
        <patternFill patternType="solid">
          <bgColor rgb="FFDBD2C2"/>
        </patternFill>
      </fill>
    </dxf>
    <dxf>
      <font>
        <b/>
        <i val="0"/>
        <color rgb="FFFF0000"/>
      </font>
      <fill>
        <patternFill>
          <bgColor rgb="FFDBD2C2"/>
        </patternFill>
      </fill>
    </dxf>
    <dxf>
      <font>
        <b val="0"/>
        <i val="0"/>
        <color auto="1"/>
      </font>
      <fill>
        <patternFill patternType="solid">
          <bgColor rgb="FFDBD2C2"/>
        </patternFill>
      </fill>
    </dxf>
    <dxf>
      <font>
        <b/>
        <i/>
        <color rgb="FFFF0000"/>
      </font>
    </dxf>
    <dxf>
      <font>
        <color theme="0" tint="-0.34998626667073579"/>
      </font>
    </dxf>
    <dxf>
      <font>
        <color auto="1"/>
      </font>
      <fill>
        <patternFill>
          <bgColor rgb="FFD8BABB"/>
        </patternFill>
      </fill>
    </dxf>
    <dxf>
      <font>
        <color theme="1"/>
      </font>
      <fill>
        <patternFill>
          <bgColor rgb="FFDBD2C2"/>
        </patternFill>
      </fill>
    </dxf>
    <dxf>
      <font>
        <color theme="1"/>
      </font>
      <fill>
        <patternFill>
          <bgColor rgb="FFDBD2C2"/>
        </patternFill>
      </fill>
    </dxf>
    <dxf>
      <font>
        <color theme="1"/>
      </font>
      <fill>
        <patternFill>
          <bgColor theme="0"/>
        </patternFill>
      </fill>
      <border>
        <left/>
        <right/>
        <top/>
        <bottom/>
        <vertical/>
        <horizontal/>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theme="0"/>
      </font>
      <fill>
        <patternFill>
          <bgColor indexed="9"/>
        </patternFill>
      </fill>
    </dxf>
    <dxf>
      <font>
        <strike val="0"/>
        <color auto="1"/>
      </font>
      <fill>
        <patternFill>
          <bgColor rgb="FFB8CDCB"/>
        </patternFill>
      </fill>
      <border>
        <left style="thin">
          <color rgb="FFB8CDCB"/>
        </left>
        <right style="thin">
          <color rgb="FFB8CDCB"/>
        </right>
        <top style="thin">
          <color rgb="FFB8CDCB"/>
        </top>
        <bottom style="thin">
          <color rgb="FFB8CDCB"/>
        </bottom>
      </border>
    </dxf>
    <dxf>
      <font>
        <strike val="0"/>
        <color auto="1"/>
      </font>
      <fill>
        <patternFill>
          <bgColor rgb="FFD8BABB"/>
        </patternFill>
      </fill>
      <border>
        <left style="thin">
          <color rgb="FFD8BABB"/>
        </left>
        <right style="thin">
          <color rgb="FFD8BABB"/>
        </right>
        <top style="thin">
          <color rgb="FFD8BABB"/>
        </top>
        <bottom style="thin">
          <color rgb="FFD8BABB"/>
        </bottom>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auto="1"/>
      </font>
      <fill>
        <patternFill>
          <bgColor rgb="FFD8BABB"/>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ont>
        <color auto="1"/>
      </font>
      <fill>
        <patternFill>
          <bgColor rgb="FFD8BABB"/>
        </patternFill>
      </fill>
    </dxf>
    <dxf>
      <font>
        <color auto="1"/>
      </font>
      <fill>
        <patternFill>
          <bgColor rgb="FFB8CDCB"/>
        </patternFill>
      </fill>
    </dxf>
    <dxf>
      <font>
        <color theme="0"/>
      </font>
      <fill>
        <patternFill>
          <bgColor rgb="FF234396"/>
        </patternFill>
      </fill>
      <border>
        <left/>
        <right/>
        <top/>
        <bottom style="thin">
          <color indexed="64"/>
        </bottom>
      </border>
    </dxf>
    <dxf>
      <fill>
        <patternFill>
          <bgColor theme="0"/>
        </patternFill>
      </fill>
      <border>
        <left/>
        <right/>
        <top/>
        <bottom style="thin">
          <color indexed="64"/>
        </bottom>
      </border>
    </dxf>
    <dxf>
      <font>
        <color theme="0"/>
      </font>
      <fill>
        <patternFill>
          <bgColor rgb="FF234396"/>
        </patternFill>
      </fill>
      <border>
        <left/>
        <right/>
        <top/>
        <bottom style="thin">
          <color indexed="64"/>
        </bottom>
      </border>
    </dxf>
    <dxf>
      <fill>
        <patternFill>
          <bgColor theme="0"/>
        </patternFill>
      </fill>
      <border>
        <left/>
        <right/>
        <top/>
        <bottom style="thin">
          <color indexed="64"/>
        </bottom>
      </border>
    </dxf>
    <dxf>
      <font>
        <color theme="0"/>
      </font>
      <fill>
        <patternFill>
          <bgColor rgb="FF234396"/>
        </patternFill>
      </fill>
      <border>
        <left/>
        <right/>
        <top/>
        <bottom style="thin">
          <color indexed="64"/>
        </bottom>
      </border>
    </dxf>
    <dxf>
      <fill>
        <patternFill>
          <bgColor theme="0"/>
        </patternFill>
      </fill>
      <border>
        <left/>
        <right/>
        <top/>
        <bottom style="thin">
          <color indexed="64"/>
        </bottom>
      </border>
    </dxf>
    <dxf>
      <font>
        <color theme="0"/>
      </font>
      <fill>
        <patternFill>
          <bgColor rgb="FF234396"/>
        </patternFill>
      </fill>
      <border>
        <left/>
        <right/>
        <top/>
        <bottom style="thin">
          <color indexed="64"/>
        </bottom>
      </border>
    </dxf>
    <dxf>
      <fill>
        <patternFill>
          <bgColor theme="0"/>
        </patternFill>
      </fill>
      <border>
        <left/>
        <right/>
        <top/>
        <bottom style="thin">
          <color indexed="64"/>
        </bottom>
      </border>
    </dxf>
    <dxf>
      <font>
        <b/>
        <i/>
        <condense val="0"/>
        <extend val="0"/>
        <color indexed="10"/>
      </font>
      <fill>
        <patternFill>
          <bgColor rgb="FFC7CBCE"/>
        </patternFill>
      </fill>
    </dxf>
    <dxf>
      <font>
        <b val="0"/>
        <i/>
        <color auto="1"/>
      </font>
      <fill>
        <patternFill patternType="solid">
          <bgColor rgb="FFC7CBCE"/>
        </patternFill>
      </fill>
    </dxf>
    <dxf>
      <font>
        <b/>
        <i/>
        <strike val="0"/>
        <condense val="0"/>
        <extend val="0"/>
        <color indexed="10"/>
      </font>
      <fill>
        <patternFill>
          <bgColor rgb="FFC7CBCE"/>
        </patternFill>
      </fill>
    </dxf>
    <dxf>
      <font>
        <condense val="0"/>
        <extend val="0"/>
        <color indexed="9"/>
      </font>
    </dxf>
    <dxf>
      <font>
        <b/>
        <i/>
        <color rgb="FFFF0000"/>
      </font>
      <fill>
        <patternFill>
          <bgColor rgb="FFDBD2C2"/>
        </patternFill>
      </fill>
    </dxf>
    <dxf>
      <font>
        <b val="0"/>
        <i/>
        <color auto="1"/>
      </font>
      <fill>
        <patternFill>
          <bgColor rgb="FFD8BABB"/>
        </patternFill>
      </fill>
    </dxf>
    <dxf>
      <font>
        <color auto="1"/>
      </font>
      <fill>
        <patternFill>
          <bgColor rgb="FFB8CDCB"/>
        </patternFill>
      </fill>
    </dxf>
    <dxf>
      <font>
        <color rgb="FFDBD2C2"/>
      </font>
      <fill>
        <patternFill>
          <bgColor rgb="FFDBD2C2"/>
        </patternFill>
      </fill>
      <border>
        <right/>
      </border>
    </dxf>
    <dxf>
      <font>
        <b/>
        <i/>
        <color rgb="FFFF0000"/>
      </font>
    </dxf>
    <dxf>
      <font>
        <b/>
        <i val="0"/>
        <color rgb="FF008000"/>
      </font>
      <fill>
        <patternFill>
          <bgColor theme="0"/>
        </patternFill>
      </fill>
    </dxf>
    <dxf>
      <font>
        <b val="0"/>
        <i/>
        <color auto="1"/>
      </font>
      <fill>
        <patternFill>
          <bgColor rgb="FFD8BABB"/>
        </patternFill>
      </fill>
    </dxf>
    <dxf>
      <font>
        <color auto="1"/>
      </font>
      <fill>
        <patternFill>
          <bgColor rgb="FFB8CDCB"/>
        </patternFill>
      </fill>
    </dxf>
    <dxf>
      <font>
        <color rgb="FFDBD2C2"/>
      </font>
      <fill>
        <patternFill>
          <bgColor rgb="FFDBD2C2"/>
        </patternFill>
      </fill>
      <border>
        <left/>
        <right/>
      </border>
    </dxf>
    <dxf>
      <font>
        <b/>
        <i/>
        <color auto="1"/>
      </font>
      <fill>
        <patternFill>
          <bgColor rgb="FFD8BABB"/>
        </patternFill>
      </fill>
    </dxf>
    <dxf>
      <font>
        <b/>
        <i val="0"/>
        <color auto="1"/>
      </font>
      <fill>
        <patternFill>
          <bgColor rgb="FFB8CDCB"/>
        </patternFill>
      </fill>
    </dxf>
    <dxf>
      <font>
        <color rgb="FFDBD2C2"/>
      </font>
      <fill>
        <patternFill>
          <bgColor rgb="FFDBD2C2"/>
        </patternFill>
      </fill>
      <border>
        <left/>
      </border>
    </dxf>
    <dxf>
      <fill>
        <patternFill>
          <bgColor indexed="13"/>
        </patternFill>
      </fill>
    </dxf>
  </dxfs>
  <tableStyles count="0" defaultTableStyle="TableStyleMedium9" defaultPivotStyle="PivotStyleLight16"/>
  <colors>
    <mruColors>
      <color rgb="FF004680"/>
      <color rgb="FF4C245C"/>
      <color rgb="FFA78E64"/>
      <color rgb="FF485CC7"/>
      <color rgb="FF234396"/>
      <color rgb="FFDBD2C2"/>
      <color rgb="FF999FA7"/>
      <color rgb="FFDBD5C2"/>
      <color rgb="FFD8BABB"/>
      <color rgb="FFB8CD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Class 2 and 4'!A1"/><Relationship Id="rId7" Type="http://schemas.openxmlformats.org/officeDocument/2006/relationships/hyperlink" Target="#Worksheet!A1"/><Relationship Id="rId2" Type="http://schemas.openxmlformats.org/officeDocument/2006/relationships/hyperlink" Target="#'Class 3, 5-9'!A1"/><Relationship Id="rId1" Type="http://schemas.openxmlformats.org/officeDocument/2006/relationships/image" Target="../media/image1.jpg"/><Relationship Id="rId6" Type="http://schemas.openxmlformats.org/officeDocument/2006/relationships/hyperlink" Target="#Help!A1"/><Relationship Id="rId5" Type="http://schemas.openxmlformats.org/officeDocument/2006/relationships/hyperlink" Target="#'Multiple Lighting Systems'!A1"/><Relationship Id="rId10" Type="http://schemas.openxmlformats.org/officeDocument/2006/relationships/image" Target="../media/image4.png"/><Relationship Id="rId4" Type="http://schemas.openxmlformats.org/officeDocument/2006/relationships/hyperlink" Target="#'Adjustment factors'!A1"/><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Screenshot2"/><Relationship Id="rId7" Type="http://schemas.openxmlformats.org/officeDocument/2006/relationships/image" Target="../media/image2.png"/><Relationship Id="rId2" Type="http://schemas.openxmlformats.org/officeDocument/2006/relationships/hyperlink" Target="#Screenshot1"/><Relationship Id="rId1" Type="http://schemas.openxmlformats.org/officeDocument/2006/relationships/image" Target="../media/image1.jpg"/><Relationship Id="rId6" Type="http://schemas.openxmlformats.org/officeDocument/2006/relationships/hyperlink" Target="#'Main Menu'!A1"/><Relationship Id="rId5" Type="http://schemas.openxmlformats.org/officeDocument/2006/relationships/hyperlink" Target="#Screenshot4"/><Relationship Id="rId4" Type="http://schemas.openxmlformats.org/officeDocument/2006/relationships/hyperlink" Target="#Screenshot3"/><Relationship Id="rId9"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Help!A1"/><Relationship Id="rId7" Type="http://schemas.openxmlformats.org/officeDocument/2006/relationships/image" Target="../media/image4.png"/><Relationship Id="rId2" Type="http://schemas.openxmlformats.org/officeDocument/2006/relationships/hyperlink" Target="#'Main Menu'!A1"/><Relationship Id="rId1" Type="http://schemas.openxmlformats.org/officeDocument/2006/relationships/image" Target="../media/image1.jpg"/><Relationship Id="rId6"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hyperlink" Target="#'Adjustment factors'!A1"/></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Adjustment factors'!A1"/><Relationship Id="rId7" Type="http://schemas.openxmlformats.org/officeDocument/2006/relationships/image" Target="../media/image2.png"/><Relationship Id="rId2" Type="http://schemas.openxmlformats.org/officeDocument/2006/relationships/hyperlink" Target="#'Multiple Lighting Systems'!A1"/><Relationship Id="rId1" Type="http://schemas.openxmlformats.org/officeDocument/2006/relationships/image" Target="../media/image1.jpg"/><Relationship Id="rId6" Type="http://schemas.openxmlformats.org/officeDocument/2006/relationships/hyperlink" Target="#Help!A1"/><Relationship Id="rId5" Type="http://schemas.openxmlformats.org/officeDocument/2006/relationships/hyperlink" Target="#'Main Menu'!A1"/><Relationship Id="rId4" Type="http://schemas.openxmlformats.org/officeDocument/2006/relationships/image" Target="../media/image6.png"/><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Class 3, 5-9'!A1"/><Relationship Id="rId7" Type="http://schemas.openxmlformats.org/officeDocument/2006/relationships/image" Target="../media/image3.png"/><Relationship Id="rId2" Type="http://schemas.openxmlformats.org/officeDocument/2006/relationships/hyperlink" Target="#'Main Menu'!A1"/><Relationship Id="rId1" Type="http://schemas.openxmlformats.org/officeDocument/2006/relationships/image" Target="../media/image1.jpg"/><Relationship Id="rId6" Type="http://schemas.openxmlformats.org/officeDocument/2006/relationships/image" Target="../media/image4.png"/><Relationship Id="rId5" Type="http://schemas.openxmlformats.org/officeDocument/2006/relationships/image" Target="../media/image2.png"/><Relationship Id="rId4" Type="http://schemas.openxmlformats.org/officeDocument/2006/relationships/hyperlink" Target="#'Class 2 and 4'!A1"/></Relationships>
</file>

<file path=xl/drawings/_rels/drawing6.xml.rels><?xml version="1.0" encoding="UTF-8" standalone="yes"?>
<Relationships xmlns="http://schemas.openxmlformats.org/package/2006/relationships"><Relationship Id="rId3" Type="http://schemas.openxmlformats.org/officeDocument/2006/relationships/hyperlink" Target="#'Main Menu'!A1"/><Relationship Id="rId2" Type="http://schemas.openxmlformats.org/officeDocument/2006/relationships/hyperlink" Target="#'Class 3, 5-9'!A1"/><Relationship Id="rId1" Type="http://schemas.openxmlformats.org/officeDocument/2006/relationships/image" Target="../media/image1.jpg"/><Relationship Id="rId6" Type="http://schemas.openxmlformats.org/officeDocument/2006/relationships/image" Target="../media/image3.png"/><Relationship Id="rId5" Type="http://schemas.openxmlformats.org/officeDocument/2006/relationships/image" Target="../media/image4.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hyperlink" Target="#'Main Menu'!A1"/></Relationships>
</file>

<file path=xl/drawings/_rels/drawing8.xml.rels><?xml version="1.0" encoding="UTF-8" standalone="yes"?>
<Relationships xmlns="http://schemas.openxmlformats.org/package/2006/relationships"><Relationship Id="rId8" Type="http://schemas.openxmlformats.org/officeDocument/2006/relationships/hyperlink" Target="#Help!A1"/><Relationship Id="rId3" Type="http://schemas.openxmlformats.org/officeDocument/2006/relationships/image" Target="../media/image8.png"/><Relationship Id="rId7" Type="http://schemas.openxmlformats.org/officeDocument/2006/relationships/hyperlink" Target="#'Main Menu'!A1"/><Relationship Id="rId2" Type="http://schemas.openxmlformats.org/officeDocument/2006/relationships/image" Target="../media/image7.png"/><Relationship Id="rId1" Type="http://schemas.openxmlformats.org/officeDocument/2006/relationships/image" Target="../media/image1.jpg"/><Relationship Id="rId6" Type="http://schemas.openxmlformats.org/officeDocument/2006/relationships/image" Target="../media/image11.png"/><Relationship Id="rId11" Type="http://schemas.openxmlformats.org/officeDocument/2006/relationships/image" Target="../media/image3.png"/><Relationship Id="rId5" Type="http://schemas.openxmlformats.org/officeDocument/2006/relationships/image" Target="../media/image10.png"/><Relationship Id="rId10" Type="http://schemas.openxmlformats.org/officeDocument/2006/relationships/image" Target="../media/image4.png"/><Relationship Id="rId4" Type="http://schemas.openxmlformats.org/officeDocument/2006/relationships/image" Target="../media/image9.png"/><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1</xdr:row>
      <xdr:rowOff>0</xdr:rowOff>
    </xdr:to>
    <xdr:pic>
      <xdr:nvPicPr>
        <xdr:cNvPr id="22" name="Picture 2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98325" cy="2120900"/>
        </a:xfrm>
        <a:prstGeom prst="rect">
          <a:avLst/>
        </a:prstGeom>
      </xdr:spPr>
    </xdr:pic>
    <xdr:clientData/>
  </xdr:twoCellAnchor>
  <xdr:twoCellAnchor>
    <xdr:from>
      <xdr:col>1</xdr:col>
      <xdr:colOff>62752</xdr:colOff>
      <xdr:row>3</xdr:row>
      <xdr:rowOff>149600</xdr:rowOff>
    </xdr:from>
    <xdr:to>
      <xdr:col>7</xdr:col>
      <xdr:colOff>569818</xdr:colOff>
      <xdr:row>26</xdr:row>
      <xdr:rowOff>139700</xdr:rowOff>
    </xdr:to>
    <xdr:sp macro="" textlink="">
      <xdr:nvSpPr>
        <xdr:cNvPr id="1062" name="Rectangle 38"/>
        <xdr:cNvSpPr>
          <a:spLocks noChangeArrowheads="1"/>
        </xdr:cNvSpPr>
      </xdr:nvSpPr>
      <xdr:spPr bwMode="auto">
        <a:xfrm>
          <a:off x="678702" y="2937250"/>
          <a:ext cx="4386916" cy="3698500"/>
        </a:xfrm>
        <a:prstGeom prst="rect">
          <a:avLst/>
        </a:prstGeom>
        <a:solidFill>
          <a:srgbClr val="C7CBCE">
            <a:alpha val="80000"/>
          </a:srgbClr>
        </a:solidFill>
        <a:ln w="9525" algn="ctr">
          <a:solidFill>
            <a:srgbClr val="333F4F"/>
          </a:solidFill>
          <a:miter lim="800000"/>
          <a:headEnd/>
          <a:tailEnd/>
        </a:ln>
        <a:effectLst/>
      </xdr:spPr>
      <xdr:txBody>
        <a:bodyPr/>
        <a:lstStyle/>
        <a:p>
          <a:endParaRPr lang="en-AU"/>
        </a:p>
      </xdr:txBody>
    </xdr:sp>
    <xdr:clientData/>
  </xdr:twoCellAnchor>
  <xdr:twoCellAnchor>
    <xdr:from>
      <xdr:col>1</xdr:col>
      <xdr:colOff>384305</xdr:colOff>
      <xdr:row>15</xdr:row>
      <xdr:rowOff>149158</xdr:rowOff>
    </xdr:from>
    <xdr:to>
      <xdr:col>7</xdr:col>
      <xdr:colOff>319826</xdr:colOff>
      <xdr:row>19</xdr:row>
      <xdr:rowOff>120650</xdr:rowOff>
    </xdr:to>
    <xdr:sp macro="" textlink="">
      <xdr:nvSpPr>
        <xdr:cNvPr id="1055" name="AutoShape 31" descr="help">
          <a:hlinkClick xmlns:r="http://schemas.openxmlformats.org/officeDocument/2006/relationships" r:id="rId2"/>
        </xdr:cNvPr>
        <xdr:cNvSpPr>
          <a:spLocks noChangeArrowheads="1"/>
        </xdr:cNvSpPr>
      </xdr:nvSpPr>
      <xdr:spPr bwMode="auto">
        <a:xfrm>
          <a:off x="1000255" y="4905308"/>
          <a:ext cx="3815371" cy="60014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600" b="0" i="0" u="none" strike="noStrike" baseline="0">
              <a:solidFill>
                <a:schemeClr val="bg1"/>
              </a:solidFill>
              <a:latin typeface="Inter" panose="020B0502030000000004" pitchFamily="34" charset="0"/>
              <a:ea typeface="Inter" panose="020B0502030000000004" pitchFamily="34" charset="0"/>
              <a:cs typeface="Arial"/>
            </a:rPr>
            <a:t>Non-residential Lighting </a:t>
          </a:r>
        </a:p>
        <a:p>
          <a:pPr algn="ctr" rtl="0">
            <a:defRPr sz="1000"/>
          </a:pPr>
          <a:r>
            <a:rPr lang="en-AU" sz="1200" b="0" i="0" u="none" strike="noStrike" baseline="0">
              <a:solidFill>
                <a:schemeClr val="bg1"/>
              </a:solidFill>
              <a:latin typeface="Inter" panose="020B0502030000000004" pitchFamily="34" charset="0"/>
              <a:ea typeface="Inter" panose="020B0502030000000004" pitchFamily="34" charset="0"/>
              <a:cs typeface="Arial"/>
            </a:rPr>
            <a:t>Class 3 and 5-9 buildings</a:t>
          </a:r>
        </a:p>
      </xdr:txBody>
    </xdr:sp>
    <xdr:clientData/>
  </xdr:twoCellAnchor>
  <xdr:twoCellAnchor>
    <xdr:from>
      <xdr:col>2</xdr:col>
      <xdr:colOff>279002</xdr:colOff>
      <xdr:row>4</xdr:row>
      <xdr:rowOff>12875</xdr:rowOff>
    </xdr:from>
    <xdr:to>
      <xdr:col>6</xdr:col>
      <xdr:colOff>17648</xdr:colOff>
      <xdr:row>5</xdr:row>
      <xdr:rowOff>49565</xdr:rowOff>
    </xdr:to>
    <xdr:sp macro="" textlink="">
      <xdr:nvSpPr>
        <xdr:cNvPr id="1067" name="Text Box 43"/>
        <xdr:cNvSpPr txBox="1">
          <a:spLocks noChangeArrowheads="1"/>
        </xdr:cNvSpPr>
      </xdr:nvSpPr>
      <xdr:spPr bwMode="auto">
        <a:xfrm>
          <a:off x="1695052" y="2959275"/>
          <a:ext cx="2202446" cy="258940"/>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800" b="1" i="0" u="none" strike="noStrike" baseline="0">
              <a:solidFill>
                <a:sysClr val="windowText" lastClr="000000"/>
              </a:solidFill>
              <a:latin typeface="Inter" panose="020B0502030000000004" pitchFamily="34" charset="0"/>
              <a:ea typeface="Inter" panose="020B0502030000000004" pitchFamily="34" charset="0"/>
              <a:cs typeface="Arial"/>
            </a:rPr>
            <a:t>Calculators</a:t>
          </a:r>
        </a:p>
      </xdr:txBody>
    </xdr:sp>
    <xdr:clientData/>
  </xdr:twoCellAnchor>
  <xdr:twoCellAnchor>
    <xdr:from>
      <xdr:col>1</xdr:col>
      <xdr:colOff>383553</xdr:colOff>
      <xdr:row>10</xdr:row>
      <xdr:rowOff>25399</xdr:rowOff>
    </xdr:from>
    <xdr:to>
      <xdr:col>7</xdr:col>
      <xdr:colOff>320580</xdr:colOff>
      <xdr:row>14</xdr:row>
      <xdr:rowOff>50800</xdr:rowOff>
    </xdr:to>
    <xdr:sp macro="" textlink="">
      <xdr:nvSpPr>
        <xdr:cNvPr id="1074" name="AutoShape 50" descr="help">
          <a:hlinkClick xmlns:r="http://schemas.openxmlformats.org/officeDocument/2006/relationships" r:id="rId3"/>
        </xdr:cNvPr>
        <xdr:cNvSpPr>
          <a:spLocks noChangeArrowheads="1"/>
        </xdr:cNvSpPr>
      </xdr:nvSpPr>
      <xdr:spPr bwMode="auto">
        <a:xfrm>
          <a:off x="999503" y="3987799"/>
          <a:ext cx="3816877" cy="660401"/>
        </a:xfrm>
        <a:prstGeom prst="roundRect">
          <a:avLst>
            <a:gd name="adj" fmla="val 21741"/>
          </a:avLst>
        </a:prstGeom>
        <a:solidFill>
          <a:srgbClr val="004680"/>
        </a:solidFill>
        <a:ln w="38100" algn="ctr">
          <a:noFill/>
          <a:round/>
          <a:headEnd/>
          <a:tailEnd/>
        </a:ln>
        <a:effectLst/>
      </xdr:spPr>
      <xdr:txBody>
        <a:bodyPr vertOverflow="clip" wrap="square" lIns="36576" tIns="22860" rIns="36576" bIns="0" anchor="ctr" anchorCtr="0" upright="1"/>
        <a:lstStyle/>
        <a:p>
          <a:pPr algn="ctr" rtl="0">
            <a:defRPr sz="1000"/>
          </a:pPr>
          <a:r>
            <a:rPr lang="en-AU" sz="1600" b="0" i="0" u="none" strike="noStrike" baseline="0">
              <a:solidFill>
                <a:schemeClr val="bg1"/>
              </a:solidFill>
              <a:latin typeface="Inter" panose="020B0502030000000004" pitchFamily="34" charset="0"/>
              <a:ea typeface="Inter" panose="020B0502030000000004" pitchFamily="34" charset="0"/>
              <a:cs typeface="Arial"/>
            </a:rPr>
            <a:t>Residential Lighting</a:t>
          </a:r>
        </a:p>
        <a:p>
          <a:pPr algn="ctr" rtl="0">
            <a:defRPr sz="1000"/>
          </a:pPr>
          <a:r>
            <a:rPr lang="en-AU" sz="1200" b="0" i="0" u="none" strike="noStrike" baseline="0">
              <a:solidFill>
                <a:schemeClr val="bg1"/>
              </a:solidFill>
              <a:latin typeface="Inter" panose="020B0502030000000004" pitchFamily="34" charset="0"/>
              <a:ea typeface="Inter" panose="020B0502030000000004" pitchFamily="34" charset="0"/>
              <a:cs typeface="Arial"/>
            </a:rPr>
            <a:t>Class 2 SOUs and Class 4 parts of a building</a:t>
          </a:r>
        </a:p>
      </xdr:txBody>
    </xdr:sp>
    <xdr:clientData/>
  </xdr:twoCellAnchor>
  <xdr:twoCellAnchor>
    <xdr:from>
      <xdr:col>9</xdr:col>
      <xdr:colOff>458318</xdr:colOff>
      <xdr:row>4</xdr:row>
      <xdr:rowOff>16530</xdr:rowOff>
    </xdr:from>
    <xdr:to>
      <xdr:col>16</xdr:col>
      <xdr:colOff>302813</xdr:colOff>
      <xdr:row>26</xdr:row>
      <xdr:rowOff>126683</xdr:rowOff>
    </xdr:to>
    <xdr:grpSp>
      <xdr:nvGrpSpPr>
        <xdr:cNvPr id="6" name="Group 5"/>
        <xdr:cNvGrpSpPr/>
      </xdr:nvGrpSpPr>
      <xdr:grpSpPr>
        <a:xfrm>
          <a:off x="6629024" y="2959942"/>
          <a:ext cx="4386613" cy="3621329"/>
          <a:chOff x="6649568" y="2962930"/>
          <a:chExt cx="4410145" cy="3659803"/>
        </a:xfrm>
      </xdr:grpSpPr>
      <xdr:sp macro="" textlink="">
        <xdr:nvSpPr>
          <xdr:cNvPr id="1064" name="Rectangle 40"/>
          <xdr:cNvSpPr>
            <a:spLocks noChangeArrowheads="1"/>
          </xdr:cNvSpPr>
        </xdr:nvSpPr>
        <xdr:spPr bwMode="auto">
          <a:xfrm>
            <a:off x="6649568" y="2962930"/>
            <a:ext cx="4410145" cy="3659803"/>
          </a:xfrm>
          <a:prstGeom prst="rect">
            <a:avLst/>
          </a:prstGeom>
          <a:solidFill>
            <a:srgbClr val="C7CBCE">
              <a:alpha val="80000"/>
            </a:srgbClr>
          </a:solidFill>
          <a:ln w="9525" algn="ctr">
            <a:solidFill>
              <a:srgbClr val="333F4F"/>
            </a:solidFill>
            <a:miter lim="800000"/>
            <a:headEnd/>
            <a:tailEnd/>
          </a:ln>
          <a:effectLst/>
        </xdr:spPr>
        <xdr:txBody>
          <a:bodyPr/>
          <a:lstStyle/>
          <a:p>
            <a:endParaRPr lang="en-AU"/>
          </a:p>
        </xdr:txBody>
      </xdr:sp>
      <xdr:sp macro="" textlink="">
        <xdr:nvSpPr>
          <xdr:cNvPr id="1058" name="AutoShape 34" descr="help">
            <a:hlinkClick xmlns:r="http://schemas.openxmlformats.org/officeDocument/2006/relationships" r:id="rId4"/>
          </xdr:cNvPr>
          <xdr:cNvSpPr>
            <a:spLocks noChangeArrowheads="1"/>
          </xdr:cNvSpPr>
        </xdr:nvSpPr>
        <xdr:spPr bwMode="auto">
          <a:xfrm>
            <a:off x="6975584" y="3565545"/>
            <a:ext cx="3851357" cy="56312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Inter" panose="020B0502030000000004" pitchFamily="34" charset="0"/>
                <a:ea typeface="Inter" panose="020B0502030000000004" pitchFamily="34" charset="0"/>
                <a:cs typeface="Arial"/>
              </a:rPr>
              <a:t>Illumination Power Density Adjustment Factors</a:t>
            </a:r>
          </a:p>
        </xdr:txBody>
      </xdr:sp>
      <xdr:sp macro="" textlink="">
        <xdr:nvSpPr>
          <xdr:cNvPr id="1061" name="AutoShape 37" descr="help">
            <a:hlinkClick xmlns:r="http://schemas.openxmlformats.org/officeDocument/2006/relationships" r:id="rId5"/>
          </xdr:cNvPr>
          <xdr:cNvSpPr>
            <a:spLocks noChangeArrowheads="1"/>
          </xdr:cNvSpPr>
        </xdr:nvSpPr>
        <xdr:spPr bwMode="auto">
          <a:xfrm>
            <a:off x="6975584" y="4285017"/>
            <a:ext cx="3851357" cy="56312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Inter" panose="020B0502030000000004" pitchFamily="34" charset="0"/>
                <a:ea typeface="Inter" panose="020B0502030000000004" pitchFamily="34" charset="0"/>
                <a:cs typeface="Arial"/>
              </a:rPr>
              <a:t>Multiple Lighting Systems Calculator</a:t>
            </a:r>
          </a:p>
          <a:p>
            <a:pPr algn="ctr" rtl="0">
              <a:defRPr sz="1000"/>
            </a:pPr>
            <a:r>
              <a:rPr lang="en-AU" sz="1400" b="0" i="0" u="none" strike="noStrike" baseline="0">
                <a:solidFill>
                  <a:schemeClr val="bg1"/>
                </a:solidFill>
                <a:latin typeface="Inter" panose="020B0502030000000004" pitchFamily="34" charset="0"/>
                <a:ea typeface="Inter" panose="020B0502030000000004" pitchFamily="34" charset="0"/>
                <a:cs typeface="Arial"/>
              </a:rPr>
              <a:t>NCC Volume One</a:t>
            </a:r>
          </a:p>
        </xdr:txBody>
      </xdr:sp>
      <xdr:sp macro="" textlink="">
        <xdr:nvSpPr>
          <xdr:cNvPr id="1068" name="Text Box 44"/>
          <xdr:cNvSpPr txBox="1">
            <a:spLocks noChangeArrowheads="1"/>
          </xdr:cNvSpPr>
        </xdr:nvSpPr>
        <xdr:spPr bwMode="auto">
          <a:xfrm>
            <a:off x="7691796" y="3020080"/>
            <a:ext cx="2271353" cy="340261"/>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800" b="1" i="0" u="none" strike="noStrike" baseline="0">
                <a:solidFill>
                  <a:sysClr val="windowText" lastClr="000000"/>
                </a:solidFill>
                <a:latin typeface="Inter" panose="020B0502030000000004" pitchFamily="34" charset="0"/>
                <a:ea typeface="Inter" panose="020B0502030000000004" pitchFamily="34" charset="0"/>
                <a:cs typeface="Arial"/>
              </a:rPr>
              <a:t>Guidance Material</a:t>
            </a:r>
          </a:p>
        </xdr:txBody>
      </xdr:sp>
      <xdr:sp macro="" textlink="">
        <xdr:nvSpPr>
          <xdr:cNvPr id="1075" name="AutoShape 51" descr="help">
            <a:hlinkClick xmlns:r="http://schemas.openxmlformats.org/officeDocument/2006/relationships" r:id="rId6"/>
          </xdr:cNvPr>
          <xdr:cNvSpPr>
            <a:spLocks noChangeArrowheads="1"/>
          </xdr:cNvSpPr>
        </xdr:nvSpPr>
        <xdr:spPr bwMode="auto">
          <a:xfrm>
            <a:off x="6975584" y="5035424"/>
            <a:ext cx="3851357" cy="56312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Arial"/>
                <a:cs typeface="Arial"/>
              </a:rPr>
              <a:t>Help screen</a:t>
            </a:r>
          </a:p>
        </xdr:txBody>
      </xdr:sp>
      <xdr:sp macro="" textlink="">
        <xdr:nvSpPr>
          <xdr:cNvPr id="1076" name="AutoShape 52" descr="help">
            <a:hlinkClick xmlns:r="http://schemas.openxmlformats.org/officeDocument/2006/relationships" r:id="rId7"/>
          </xdr:cNvPr>
          <xdr:cNvSpPr>
            <a:spLocks noChangeArrowheads="1"/>
          </xdr:cNvSpPr>
        </xdr:nvSpPr>
        <xdr:spPr bwMode="auto">
          <a:xfrm>
            <a:off x="6975584" y="5750316"/>
            <a:ext cx="3851357" cy="56312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Inter" panose="020B0502030000000004" pitchFamily="34" charset="0"/>
                <a:ea typeface="Inter" panose="020B0502030000000004" pitchFamily="34" charset="0"/>
                <a:cs typeface="Arial"/>
              </a:rPr>
              <a:t>Worksheet</a:t>
            </a:r>
          </a:p>
        </xdr:txBody>
      </xdr:sp>
    </xdr:grpSp>
    <xdr:clientData/>
  </xdr:twoCellAnchor>
  <xdr:twoCellAnchor>
    <xdr:from>
      <xdr:col>2</xdr:col>
      <xdr:colOff>539290</xdr:colOff>
      <xdr:row>0</xdr:row>
      <xdr:rowOff>651616</xdr:rowOff>
    </xdr:from>
    <xdr:to>
      <xdr:col>14</xdr:col>
      <xdr:colOff>422896</xdr:colOff>
      <xdr:row>0</xdr:row>
      <xdr:rowOff>1590675</xdr:rowOff>
    </xdr:to>
    <xdr:sp macro="" textlink="">
      <xdr:nvSpPr>
        <xdr:cNvPr id="16" name="TextBox 15">
          <a:extLst>
            <a:ext uri="{FF2B5EF4-FFF2-40B4-BE49-F238E27FC236}">
              <a16:creationId xmlns="" xmlns:a16="http://schemas.microsoft.com/office/drawing/2014/main" id="{00000000-0008-0000-0100-000002000000}"/>
            </a:ext>
          </a:extLst>
        </xdr:cNvPr>
        <xdr:cNvSpPr txBox="1"/>
      </xdr:nvSpPr>
      <xdr:spPr>
        <a:xfrm>
          <a:off x="1891840" y="651616"/>
          <a:ext cx="7408356" cy="939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Inter" panose="020B0502030000000004" pitchFamily="34" charset="0"/>
              <a:ea typeface="Inter" panose="020B0502030000000004" pitchFamily="34" charset="0"/>
              <a:cs typeface="Arial" panose="020B0604020202020204" pitchFamily="34" charset="0"/>
            </a:rPr>
            <a:t>Lighting</a:t>
          </a:r>
          <a:endParaRPr lang="en-US" sz="3600" baseline="0">
            <a:solidFill>
              <a:schemeClr val="bg1"/>
            </a:solidFill>
            <a:latin typeface="Inter" panose="020B0502030000000004" pitchFamily="34" charset="0"/>
            <a:ea typeface="Inter" panose="020B0502030000000004" pitchFamily="34" charset="0"/>
            <a:cs typeface="Arial" panose="020B0604020202020204" pitchFamily="34" charset="0"/>
          </a:endParaRPr>
        </a:p>
        <a:p>
          <a:pPr algn="ctr">
            <a:lnSpc>
              <a:spcPct val="75000"/>
            </a:lnSpc>
          </a:pPr>
          <a:r>
            <a:rPr lang="en-US" sz="1400" baseline="0">
              <a:solidFill>
                <a:schemeClr val="bg1"/>
              </a:solidFill>
              <a:latin typeface="Inter" panose="020B0502030000000004" pitchFamily="34" charset="0"/>
              <a:ea typeface="Inter" panose="020B0502030000000004" pitchFamily="34" charset="0"/>
              <a:cs typeface="Arial" panose="020B0604020202020204" pitchFamily="34" charset="0"/>
            </a:rPr>
            <a:t/>
          </a:r>
          <a:br>
            <a:rPr lang="en-US" sz="1400" baseline="0">
              <a:solidFill>
                <a:schemeClr val="bg1"/>
              </a:solidFill>
              <a:latin typeface="Inter" panose="020B0502030000000004" pitchFamily="34" charset="0"/>
              <a:ea typeface="Inter" panose="020B0502030000000004" pitchFamily="34" charset="0"/>
              <a:cs typeface="Arial" panose="020B0604020202020204" pitchFamily="34" charset="0"/>
            </a:rPr>
          </a:br>
          <a:r>
            <a:rPr lang="en-US" sz="1800" baseline="0">
              <a:solidFill>
                <a:schemeClr val="bg1"/>
              </a:solidFill>
              <a:latin typeface="Inter" panose="020B0502030000000004" pitchFamily="34" charset="0"/>
              <a:ea typeface="Inter" panose="020B0502030000000004" pitchFamily="34" charset="0"/>
              <a:cs typeface="Arial" panose="020B0604020202020204" pitchFamily="34" charset="0"/>
            </a:rPr>
            <a:t>Main Menu</a:t>
          </a:r>
          <a:endParaRPr lang="en-US" sz="1800">
            <a:solidFill>
              <a:schemeClr val="bg1"/>
            </a:solidFill>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editAs="oneCell">
    <xdr:from>
      <xdr:col>0</xdr:col>
      <xdr:colOff>222250</xdr:colOff>
      <xdr:row>0</xdr:row>
      <xdr:rowOff>0</xdr:rowOff>
    </xdr:from>
    <xdr:to>
      <xdr:col>2</xdr:col>
      <xdr:colOff>143845</xdr:colOff>
      <xdr:row>0</xdr:row>
      <xdr:rowOff>1870982</xdr:rowOff>
    </xdr:to>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2250" y="0"/>
          <a:ext cx="1337645" cy="1870982"/>
        </a:xfrm>
        <a:prstGeom prst="rect">
          <a:avLst/>
        </a:prstGeom>
      </xdr:spPr>
    </xdr:pic>
    <xdr:clientData/>
  </xdr:twoCellAnchor>
  <xdr:twoCellAnchor>
    <xdr:from>
      <xdr:col>1</xdr:col>
      <xdr:colOff>81802</xdr:colOff>
      <xdr:row>3</xdr:row>
      <xdr:rowOff>149600</xdr:rowOff>
    </xdr:from>
    <xdr:to>
      <xdr:col>7</xdr:col>
      <xdr:colOff>588868</xdr:colOff>
      <xdr:row>26</xdr:row>
      <xdr:rowOff>139700</xdr:rowOff>
    </xdr:to>
    <xdr:grpSp>
      <xdr:nvGrpSpPr>
        <xdr:cNvPr id="7" name="Group 6"/>
        <xdr:cNvGrpSpPr/>
      </xdr:nvGrpSpPr>
      <xdr:grpSpPr>
        <a:xfrm>
          <a:off x="694390" y="2936129"/>
          <a:ext cx="4369360" cy="3658159"/>
          <a:chOff x="697752" y="2937250"/>
          <a:chExt cx="4386916" cy="3698500"/>
        </a:xfrm>
      </xdr:grpSpPr>
      <xdr:sp macro="" textlink="">
        <xdr:nvSpPr>
          <xdr:cNvPr id="33" name="Rectangle 38"/>
          <xdr:cNvSpPr>
            <a:spLocks noChangeArrowheads="1"/>
          </xdr:cNvSpPr>
        </xdr:nvSpPr>
        <xdr:spPr bwMode="auto">
          <a:xfrm>
            <a:off x="697752" y="2937250"/>
            <a:ext cx="4386916" cy="3698500"/>
          </a:xfrm>
          <a:prstGeom prst="rect">
            <a:avLst/>
          </a:prstGeom>
          <a:solidFill>
            <a:srgbClr val="C7CBCE">
              <a:alpha val="80000"/>
            </a:srgbClr>
          </a:solidFill>
          <a:ln w="9525" algn="ctr">
            <a:solidFill>
              <a:srgbClr val="333F4F"/>
            </a:solidFill>
            <a:miter lim="800000"/>
            <a:headEnd/>
            <a:tailEnd/>
          </a:ln>
          <a:effectLst/>
        </xdr:spPr>
        <xdr:txBody>
          <a:bodyPr/>
          <a:lstStyle/>
          <a:p>
            <a:endParaRPr lang="en-AU"/>
          </a:p>
        </xdr:txBody>
      </xdr:sp>
      <xdr:sp macro="" textlink="">
        <xdr:nvSpPr>
          <xdr:cNvPr id="34" name="AutoShape 31" descr="help">
            <a:hlinkClick xmlns:r="http://schemas.openxmlformats.org/officeDocument/2006/relationships" r:id="rId2"/>
          </xdr:cNvPr>
          <xdr:cNvSpPr>
            <a:spLocks noChangeArrowheads="1"/>
          </xdr:cNvSpPr>
        </xdr:nvSpPr>
        <xdr:spPr bwMode="auto">
          <a:xfrm>
            <a:off x="1019305" y="4905308"/>
            <a:ext cx="3815371" cy="644592"/>
          </a:xfrm>
          <a:prstGeom prst="roundRect">
            <a:avLst>
              <a:gd name="adj" fmla="val 21741"/>
            </a:avLst>
          </a:prstGeom>
          <a:solidFill>
            <a:srgbClr val="004680"/>
          </a:solidFill>
          <a:ln w="38100" algn="ctr">
            <a:noFill/>
            <a:round/>
            <a:headEnd/>
            <a:tailEnd/>
          </a:ln>
          <a:effectLst/>
        </xdr:spPr>
        <xdr:txBody>
          <a:bodyPr vertOverflow="clip" wrap="square" lIns="36576" tIns="22860" rIns="36576" bIns="22860" anchor="ctr" upright="1"/>
          <a:lstStyle/>
          <a:p>
            <a:pPr algn="ctr" rtl="0">
              <a:defRPr sz="1000"/>
            </a:pPr>
            <a:r>
              <a:rPr lang="en-AU" sz="1600" b="0" i="0" u="none" strike="noStrike" baseline="0">
                <a:solidFill>
                  <a:schemeClr val="bg1"/>
                </a:solidFill>
                <a:latin typeface="Inter" panose="020B0502030000000004" pitchFamily="34" charset="0"/>
                <a:ea typeface="Inter" panose="020B0502030000000004" pitchFamily="34" charset="0"/>
                <a:cs typeface="Arial"/>
              </a:rPr>
              <a:t>Non-residential Lighting </a:t>
            </a:r>
          </a:p>
          <a:p>
            <a:pPr algn="ctr" rtl="0">
              <a:defRPr sz="1000"/>
            </a:pPr>
            <a:r>
              <a:rPr lang="en-AU" sz="1200" b="0" i="0" u="none" strike="noStrike" baseline="0">
                <a:solidFill>
                  <a:schemeClr val="bg1"/>
                </a:solidFill>
                <a:latin typeface="Inter" panose="020B0502030000000004" pitchFamily="34" charset="0"/>
                <a:ea typeface="Inter" panose="020B0502030000000004" pitchFamily="34" charset="0"/>
                <a:cs typeface="Arial"/>
              </a:rPr>
              <a:t>Class 3 and 5-9 buildings</a:t>
            </a:r>
          </a:p>
        </xdr:txBody>
      </xdr:sp>
      <xdr:sp macro="" textlink="">
        <xdr:nvSpPr>
          <xdr:cNvPr id="35" name="Text Box 43"/>
          <xdr:cNvSpPr txBox="1">
            <a:spLocks noChangeArrowheads="1"/>
          </xdr:cNvSpPr>
        </xdr:nvSpPr>
        <xdr:spPr bwMode="auto">
          <a:xfrm>
            <a:off x="1714102" y="2959275"/>
            <a:ext cx="2202446" cy="258940"/>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800" b="1" i="0" u="none" strike="noStrike" baseline="0">
                <a:solidFill>
                  <a:sysClr val="windowText" lastClr="000000"/>
                </a:solidFill>
                <a:latin typeface="Inter" panose="020B0502030000000004" pitchFamily="34" charset="0"/>
                <a:ea typeface="Inter" panose="020B0502030000000004" pitchFamily="34" charset="0"/>
                <a:cs typeface="Arial"/>
              </a:rPr>
              <a:t>Calculators</a:t>
            </a:r>
          </a:p>
        </xdr:txBody>
      </xdr:sp>
      <xdr:sp macro="" textlink="">
        <xdr:nvSpPr>
          <xdr:cNvPr id="36" name="AutoShape 50" descr="help">
            <a:hlinkClick xmlns:r="http://schemas.openxmlformats.org/officeDocument/2006/relationships" r:id="rId3"/>
          </xdr:cNvPr>
          <xdr:cNvSpPr>
            <a:spLocks noChangeArrowheads="1"/>
          </xdr:cNvSpPr>
        </xdr:nvSpPr>
        <xdr:spPr bwMode="auto">
          <a:xfrm>
            <a:off x="1018553" y="3987799"/>
            <a:ext cx="3816877" cy="660401"/>
          </a:xfrm>
          <a:prstGeom prst="roundRect">
            <a:avLst>
              <a:gd name="adj" fmla="val 21741"/>
            </a:avLst>
          </a:prstGeom>
          <a:solidFill>
            <a:srgbClr val="004680"/>
          </a:solidFill>
          <a:ln w="38100" algn="ctr">
            <a:noFill/>
            <a:round/>
            <a:headEnd/>
            <a:tailEnd/>
          </a:ln>
          <a:effectLst/>
        </xdr:spPr>
        <xdr:txBody>
          <a:bodyPr vertOverflow="clip" wrap="square" lIns="36576" tIns="22860" rIns="36576" bIns="0" anchor="ctr" anchorCtr="0" upright="1"/>
          <a:lstStyle/>
          <a:p>
            <a:pPr algn="ctr" rtl="0">
              <a:defRPr sz="1000"/>
            </a:pPr>
            <a:r>
              <a:rPr lang="en-AU" sz="1600" b="0" i="0" u="none" strike="noStrike" baseline="0">
                <a:solidFill>
                  <a:schemeClr val="bg1"/>
                </a:solidFill>
                <a:latin typeface="Inter" panose="020B0502030000000004" pitchFamily="34" charset="0"/>
                <a:ea typeface="Inter" panose="020B0502030000000004" pitchFamily="34" charset="0"/>
                <a:cs typeface="Arial"/>
              </a:rPr>
              <a:t>Residential Lighting</a:t>
            </a:r>
          </a:p>
          <a:p>
            <a:pPr algn="ctr" rtl="0">
              <a:defRPr sz="1000"/>
            </a:pPr>
            <a:r>
              <a:rPr lang="en-AU" sz="1200" b="0" i="0" u="none" strike="noStrike" baseline="0">
                <a:solidFill>
                  <a:schemeClr val="bg1"/>
                </a:solidFill>
                <a:latin typeface="Inter" panose="020B0502030000000004" pitchFamily="34" charset="0"/>
                <a:ea typeface="Inter" panose="020B0502030000000004" pitchFamily="34" charset="0"/>
                <a:cs typeface="Arial"/>
              </a:rPr>
              <a:t>Class 2 SOUs and Class 4 parts of a building</a:t>
            </a:r>
          </a:p>
        </xdr:txBody>
      </xdr:sp>
    </xdr:grpSp>
    <xdr:clientData/>
  </xdr:twoCellAnchor>
  <xdr:oneCellAnchor>
    <xdr:from>
      <xdr:col>15</xdr:col>
      <xdr:colOff>469900</xdr:colOff>
      <xdr:row>0</xdr:row>
      <xdr:rowOff>1187450</xdr:rowOff>
    </xdr:from>
    <xdr:ext cx="597535" cy="593120"/>
    <xdr:pic>
      <xdr:nvPicPr>
        <xdr:cNvPr id="23" name="Picture 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610850" y="1187450"/>
          <a:ext cx="597535" cy="593120"/>
        </a:xfrm>
        <a:prstGeom prst="rect">
          <a:avLst/>
        </a:prstGeom>
      </xdr:spPr>
    </xdr:pic>
    <xdr:clientData/>
  </xdr:oneCellAnchor>
  <xdr:oneCellAnchor>
    <xdr:from>
      <xdr:col>14</xdr:col>
      <xdr:colOff>330200</xdr:colOff>
      <xdr:row>0</xdr:row>
      <xdr:rowOff>254000</xdr:rowOff>
    </xdr:from>
    <xdr:ext cx="1714500" cy="624086"/>
    <xdr:pic>
      <xdr:nvPicPr>
        <xdr:cNvPr id="24" name="Picture 23"/>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601200" y="254000"/>
          <a:ext cx="1714500" cy="624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0</xdr:rowOff>
    </xdr:from>
    <xdr:to>
      <xdr:col>4</xdr:col>
      <xdr:colOff>15876</xdr:colOff>
      <xdr:row>1</xdr:row>
      <xdr:rowOff>5443</xdr:rowOff>
    </xdr:to>
    <xdr:pic>
      <xdr:nvPicPr>
        <xdr:cNvPr id="15" name="Picture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125" y="0"/>
          <a:ext cx="11961814" cy="2124756"/>
        </a:xfrm>
        <a:prstGeom prst="rect">
          <a:avLst/>
        </a:prstGeom>
      </xdr:spPr>
    </xdr:pic>
    <xdr:clientData/>
  </xdr:twoCellAnchor>
  <xdr:twoCellAnchor>
    <xdr:from>
      <xdr:col>3</xdr:col>
      <xdr:colOff>8708444</xdr:colOff>
      <xdr:row>27</xdr:row>
      <xdr:rowOff>119062</xdr:rowOff>
    </xdr:from>
    <xdr:to>
      <xdr:col>3</xdr:col>
      <xdr:colOff>10749644</xdr:colOff>
      <xdr:row>29</xdr:row>
      <xdr:rowOff>24016</xdr:rowOff>
    </xdr:to>
    <xdr:sp macro="" textlink="">
      <xdr:nvSpPr>
        <xdr:cNvPr id="22528" name="AutoShape 1024" descr="help">
          <a:hlinkClick xmlns:r="http://schemas.openxmlformats.org/officeDocument/2006/relationships" r:id="rId2"/>
        </xdr:cNvPr>
        <xdr:cNvSpPr>
          <a:spLocks noChangeArrowheads="1"/>
        </xdr:cNvSpPr>
      </xdr:nvSpPr>
      <xdr:spPr bwMode="auto">
        <a:xfrm>
          <a:off x="9399007" y="14501812"/>
          <a:ext cx="2041200" cy="381204"/>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Screenshot 1</a:t>
          </a:r>
        </a:p>
      </xdr:txBody>
    </xdr:sp>
    <xdr:clientData/>
  </xdr:twoCellAnchor>
  <xdr:twoCellAnchor>
    <xdr:from>
      <xdr:col>3</xdr:col>
      <xdr:colOff>8678363</xdr:colOff>
      <xdr:row>32</xdr:row>
      <xdr:rowOff>47624</xdr:rowOff>
    </xdr:from>
    <xdr:to>
      <xdr:col>3</xdr:col>
      <xdr:colOff>10719563</xdr:colOff>
      <xdr:row>33</xdr:row>
      <xdr:rowOff>183899</xdr:rowOff>
    </xdr:to>
    <xdr:sp macro="" textlink="">
      <xdr:nvSpPr>
        <xdr:cNvPr id="22529" name="AutoShape 1025" descr="help">
          <a:hlinkClick xmlns:r="http://schemas.openxmlformats.org/officeDocument/2006/relationships" r:id="rId3"/>
        </xdr:cNvPr>
        <xdr:cNvSpPr>
          <a:spLocks noChangeArrowheads="1"/>
        </xdr:cNvSpPr>
      </xdr:nvSpPr>
      <xdr:spPr bwMode="auto">
        <a:xfrm>
          <a:off x="9368926" y="16978312"/>
          <a:ext cx="2041200" cy="374400"/>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Screenshot 2</a:t>
          </a:r>
        </a:p>
      </xdr:txBody>
    </xdr:sp>
    <xdr:clientData/>
  </xdr:twoCellAnchor>
  <xdr:twoCellAnchor>
    <xdr:from>
      <xdr:col>3</xdr:col>
      <xdr:colOff>8678363</xdr:colOff>
      <xdr:row>37</xdr:row>
      <xdr:rowOff>19049</xdr:rowOff>
    </xdr:from>
    <xdr:to>
      <xdr:col>3</xdr:col>
      <xdr:colOff>10719563</xdr:colOff>
      <xdr:row>38</xdr:row>
      <xdr:rowOff>155324</xdr:rowOff>
    </xdr:to>
    <xdr:sp macro="" textlink="">
      <xdr:nvSpPr>
        <xdr:cNvPr id="22530" name="AutoShape 1026" descr="help">
          <a:hlinkClick xmlns:r="http://schemas.openxmlformats.org/officeDocument/2006/relationships" r:id="rId4"/>
        </xdr:cNvPr>
        <xdr:cNvSpPr>
          <a:spLocks noChangeArrowheads="1"/>
        </xdr:cNvSpPr>
      </xdr:nvSpPr>
      <xdr:spPr bwMode="auto">
        <a:xfrm>
          <a:off x="9368926" y="19045237"/>
          <a:ext cx="2041200" cy="374400"/>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Screenshot 3</a:t>
          </a:r>
        </a:p>
      </xdr:txBody>
    </xdr:sp>
    <xdr:clientData/>
  </xdr:twoCellAnchor>
  <xdr:twoCellAnchor>
    <xdr:from>
      <xdr:col>3</xdr:col>
      <xdr:colOff>8678363</xdr:colOff>
      <xdr:row>45</xdr:row>
      <xdr:rowOff>38099</xdr:rowOff>
    </xdr:from>
    <xdr:to>
      <xdr:col>3</xdr:col>
      <xdr:colOff>10719563</xdr:colOff>
      <xdr:row>46</xdr:row>
      <xdr:rowOff>174374</xdr:rowOff>
    </xdr:to>
    <xdr:sp macro="" textlink="">
      <xdr:nvSpPr>
        <xdr:cNvPr id="6" name="AutoShape 1026" descr="help">
          <a:hlinkClick xmlns:r="http://schemas.openxmlformats.org/officeDocument/2006/relationships" r:id="rId5"/>
        </xdr:cNvPr>
        <xdr:cNvSpPr>
          <a:spLocks noChangeArrowheads="1"/>
        </xdr:cNvSpPr>
      </xdr:nvSpPr>
      <xdr:spPr bwMode="auto">
        <a:xfrm>
          <a:off x="9368926" y="22040849"/>
          <a:ext cx="2041200" cy="374400"/>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Screenshots 4 &amp; 5</a:t>
          </a:r>
        </a:p>
      </xdr:txBody>
    </xdr:sp>
    <xdr:clientData/>
  </xdr:twoCellAnchor>
  <xdr:twoCellAnchor>
    <xdr:from>
      <xdr:col>3</xdr:col>
      <xdr:colOff>3115235</xdr:colOff>
      <xdr:row>0</xdr:row>
      <xdr:rowOff>538756</xdr:rowOff>
    </xdr:from>
    <xdr:to>
      <xdr:col>3</xdr:col>
      <xdr:colOff>7407088</xdr:colOff>
      <xdr:row>0</xdr:row>
      <xdr:rowOff>1591235</xdr:rowOff>
    </xdr:to>
    <xdr:sp macro="" textlink="">
      <xdr:nvSpPr>
        <xdr:cNvPr id="9" name="TextBox 8">
          <a:extLst>
            <a:ext uri="{FF2B5EF4-FFF2-40B4-BE49-F238E27FC236}">
              <a16:creationId xmlns="" xmlns:a16="http://schemas.microsoft.com/office/drawing/2014/main" id="{00000000-0008-0000-0100-000002000000}"/>
            </a:ext>
          </a:extLst>
        </xdr:cNvPr>
        <xdr:cNvSpPr txBox="1"/>
      </xdr:nvSpPr>
      <xdr:spPr>
        <a:xfrm>
          <a:off x="3798794" y="538756"/>
          <a:ext cx="4291853" cy="105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cs typeface="Arial" panose="020B0604020202020204" pitchFamily="34" charset="0"/>
            </a:rPr>
            <a:t>Lighting</a:t>
          </a:r>
          <a:endParaRPr lang="en-US" sz="3600" baseline="0">
            <a:solidFill>
              <a:schemeClr val="bg1"/>
            </a:solidFill>
            <a:latin typeface="Arial" panose="020B0604020202020204" pitchFamily="34" charset="0"/>
            <a:cs typeface="Arial" panose="020B0604020202020204" pitchFamily="34" charset="0"/>
          </a:endParaRPr>
        </a:p>
        <a:p>
          <a:pPr algn="ctr">
            <a:lnSpc>
              <a:spcPct val="75000"/>
            </a:lnSpc>
          </a:pPr>
          <a:r>
            <a:rPr lang="en-US" sz="1400" baseline="0">
              <a:solidFill>
                <a:schemeClr val="bg1"/>
              </a:solidFill>
              <a:latin typeface="Arial" panose="020B0604020202020204" pitchFamily="34" charset="0"/>
              <a:cs typeface="Arial" panose="020B0604020202020204" pitchFamily="34" charset="0"/>
            </a:rPr>
            <a:t/>
          </a:r>
          <a:br>
            <a:rPr lang="en-US" sz="1400" baseline="0">
              <a:solidFill>
                <a:schemeClr val="bg1"/>
              </a:solidFill>
              <a:latin typeface="Arial" panose="020B0604020202020204" pitchFamily="34" charset="0"/>
              <a:cs typeface="Arial" panose="020B0604020202020204" pitchFamily="34" charset="0"/>
            </a:rPr>
          </a:br>
          <a:r>
            <a:rPr lang="en-US" sz="1800" baseline="0">
              <a:solidFill>
                <a:schemeClr val="bg1"/>
              </a:solidFill>
              <a:latin typeface="Arial" panose="020B0604020202020204" pitchFamily="34" charset="0"/>
              <a:cs typeface="Arial" panose="020B0604020202020204" pitchFamily="34" charset="0"/>
            </a:rPr>
            <a:t>Help guide</a:t>
          </a:r>
          <a:endParaRPr lang="en-US" sz="1800">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8375198</xdr:colOff>
      <xdr:row>2</xdr:row>
      <xdr:rowOff>116795</xdr:rowOff>
    </xdr:from>
    <xdr:to>
      <xdr:col>3</xdr:col>
      <xdr:colOff>10416270</xdr:colOff>
      <xdr:row>4</xdr:row>
      <xdr:rowOff>58738</xdr:rowOff>
    </xdr:to>
    <xdr:sp macro="" textlink="">
      <xdr:nvSpPr>
        <xdr:cNvPr id="12" name="AutoShape 594" descr="help">
          <a:hlinkClick xmlns:r="http://schemas.openxmlformats.org/officeDocument/2006/relationships" r:id="rId6"/>
        </xdr:cNvPr>
        <xdr:cNvSpPr>
          <a:spLocks noChangeArrowheads="1"/>
        </xdr:cNvSpPr>
      </xdr:nvSpPr>
      <xdr:spPr bwMode="auto">
        <a:xfrm>
          <a:off x="9097511" y="2744108"/>
          <a:ext cx="2041072" cy="362630"/>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400" b="1" i="0" u="none" strike="noStrike" baseline="0">
              <a:solidFill>
                <a:schemeClr val="tx1"/>
              </a:solidFill>
              <a:latin typeface="Inter" panose="020B0502030000000004" pitchFamily="34" charset="0"/>
              <a:ea typeface="Inter" panose="020B0502030000000004" pitchFamily="34" charset="0"/>
              <a:cs typeface="Arial"/>
            </a:rPr>
            <a:t>Main Menu</a:t>
          </a:r>
        </a:p>
      </xdr:txBody>
    </xdr:sp>
    <xdr:clientData/>
  </xdr:twoCellAnchor>
  <xdr:twoCellAnchor editAs="oneCell">
    <xdr:from>
      <xdr:col>1</xdr:col>
      <xdr:colOff>111120</xdr:colOff>
      <xdr:row>0</xdr:row>
      <xdr:rowOff>55562</xdr:rowOff>
    </xdr:from>
    <xdr:to>
      <xdr:col>3</xdr:col>
      <xdr:colOff>769932</xdr:colOff>
      <xdr:row>0</xdr:row>
      <xdr:rowOff>1820825</xdr:rowOff>
    </xdr:to>
    <xdr:pic>
      <xdr:nvPicPr>
        <xdr:cNvPr id="13" name="Picture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0183" y="55562"/>
          <a:ext cx="1262062" cy="1765263"/>
        </a:xfrm>
        <a:prstGeom prst="rect">
          <a:avLst/>
        </a:prstGeom>
      </xdr:spPr>
    </xdr:pic>
    <xdr:clientData/>
  </xdr:twoCellAnchor>
  <xdr:twoCellAnchor>
    <xdr:from>
      <xdr:col>3</xdr:col>
      <xdr:colOff>9572625</xdr:colOff>
      <xdr:row>1</xdr:row>
      <xdr:rowOff>55562</xdr:rowOff>
    </xdr:from>
    <xdr:to>
      <xdr:col>3</xdr:col>
      <xdr:colOff>11088687</xdr:colOff>
      <xdr:row>1</xdr:row>
      <xdr:rowOff>365124</xdr:rowOff>
    </xdr:to>
    <xdr:sp macro="" textlink="">
      <xdr:nvSpPr>
        <xdr:cNvPr id="2" name="TextBox 1"/>
        <xdr:cNvSpPr txBox="1"/>
      </xdr:nvSpPr>
      <xdr:spPr>
        <a:xfrm>
          <a:off x="10294938" y="2174875"/>
          <a:ext cx="1516062" cy="309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1800" b="1">
              <a:solidFill>
                <a:sysClr val="windowText" lastClr="000000"/>
              </a:solidFill>
              <a:latin typeface="Inter" panose="020B0502030000000004" pitchFamily="34" charset="0"/>
              <a:ea typeface="Inter" panose="020B0502030000000004" pitchFamily="34" charset="0"/>
            </a:rPr>
            <a:t>Calculator</a:t>
          </a:r>
        </a:p>
      </xdr:txBody>
    </xdr:sp>
    <xdr:clientData/>
  </xdr:twoCellAnchor>
  <xdr:oneCellAnchor>
    <xdr:from>
      <xdr:col>3</xdr:col>
      <xdr:colOff>8540750</xdr:colOff>
      <xdr:row>0</xdr:row>
      <xdr:rowOff>428625</xdr:rowOff>
    </xdr:from>
    <xdr:ext cx="1770531" cy="644482"/>
    <xdr:pic>
      <xdr:nvPicPr>
        <xdr:cNvPr id="17" name="Picture 1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263063" y="428625"/>
          <a:ext cx="1770531" cy="644482"/>
        </a:xfrm>
        <a:prstGeom prst="rect">
          <a:avLst/>
        </a:prstGeom>
      </xdr:spPr>
    </xdr:pic>
    <xdr:clientData/>
  </xdr:oneCellAnchor>
  <xdr:oneCellAnchor>
    <xdr:from>
      <xdr:col>3</xdr:col>
      <xdr:colOff>9604375</xdr:colOff>
      <xdr:row>0</xdr:row>
      <xdr:rowOff>1222375</xdr:rowOff>
    </xdr:from>
    <xdr:ext cx="697167" cy="692015"/>
    <xdr:pic>
      <xdr:nvPicPr>
        <xdr:cNvPr id="18" name="Picture 1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326688" y="1222375"/>
          <a:ext cx="697167" cy="69201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825</xdr:colOff>
      <xdr:row>1</xdr:row>
      <xdr:rowOff>3793</xdr:rowOff>
    </xdr:to>
    <xdr:pic>
      <xdr:nvPicPr>
        <xdr:cNvPr id="63" name="Picture 6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988643" cy="2128157"/>
        </a:xfrm>
        <a:prstGeom prst="rect">
          <a:avLst/>
        </a:prstGeom>
      </xdr:spPr>
    </xdr:pic>
    <xdr:clientData/>
  </xdr:twoCellAnchor>
  <xdr:twoCellAnchor>
    <xdr:from>
      <xdr:col>2</xdr:col>
      <xdr:colOff>59438</xdr:colOff>
      <xdr:row>1</xdr:row>
      <xdr:rowOff>106948</xdr:rowOff>
    </xdr:from>
    <xdr:to>
      <xdr:col>4</xdr:col>
      <xdr:colOff>374738</xdr:colOff>
      <xdr:row>1</xdr:row>
      <xdr:rowOff>399143</xdr:rowOff>
    </xdr:to>
    <xdr:sp macro="" textlink="">
      <xdr:nvSpPr>
        <xdr:cNvPr id="15364" name="AutoShape 4" descr="help">
          <a:hlinkClick xmlns:r="http://schemas.openxmlformats.org/officeDocument/2006/relationships" r:id="rId2"/>
        </xdr:cNvPr>
        <xdr:cNvSpPr>
          <a:spLocks noChangeArrowheads="1"/>
        </xdr:cNvSpPr>
      </xdr:nvSpPr>
      <xdr:spPr bwMode="auto">
        <a:xfrm>
          <a:off x="249938" y="2229662"/>
          <a:ext cx="1712300" cy="292195"/>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Main Menu</a:t>
          </a:r>
        </a:p>
      </xdr:txBody>
    </xdr:sp>
    <xdr:clientData/>
  </xdr:twoCellAnchor>
  <xdr:twoCellAnchor>
    <xdr:from>
      <xdr:col>86</xdr:col>
      <xdr:colOff>0</xdr:colOff>
      <xdr:row>9</xdr:row>
      <xdr:rowOff>114299</xdr:rowOff>
    </xdr:from>
    <xdr:to>
      <xdr:col>93</xdr:col>
      <xdr:colOff>38100</xdr:colOff>
      <xdr:row>16</xdr:row>
      <xdr:rowOff>27607</xdr:rowOff>
    </xdr:to>
    <xdr:sp macro="" textlink="">
      <xdr:nvSpPr>
        <xdr:cNvPr id="15372" name="Text Box 12"/>
        <xdr:cNvSpPr txBox="1">
          <a:spLocks noChangeArrowheads="1"/>
        </xdr:cNvSpPr>
      </xdr:nvSpPr>
      <xdr:spPr bwMode="auto">
        <a:xfrm>
          <a:off x="88982826" y="1936473"/>
          <a:ext cx="10405165" cy="424069"/>
        </a:xfrm>
        <a:prstGeom prst="rect">
          <a:avLst/>
        </a:prstGeom>
        <a:solidFill>
          <a:srgbClr val="004680"/>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0" u="none" strike="noStrike" baseline="0">
              <a:solidFill>
                <a:srgbClr val="FFFFFF"/>
              </a:solidFill>
              <a:latin typeface="Inter" panose="020B0502030000000004" pitchFamily="34" charset="0"/>
              <a:ea typeface="Inter" panose="020B0502030000000004" pitchFamily="34" charset="0"/>
              <a:cs typeface="Arial"/>
            </a:rPr>
            <a:t>Additional</a:t>
          </a:r>
          <a:r>
            <a:rPr lang="en-AU" sz="2000" b="0" i="1" u="none" strike="noStrike" baseline="0">
              <a:solidFill>
                <a:srgbClr val="FFFFFF"/>
              </a:solidFill>
              <a:latin typeface="Inter" panose="020B0502030000000004" pitchFamily="34" charset="0"/>
              <a:ea typeface="Inter" panose="020B0502030000000004" pitchFamily="34" charset="0"/>
              <a:cs typeface="Arial"/>
            </a:rPr>
            <a:t> </a:t>
          </a:r>
          <a:r>
            <a:rPr lang="en-AU" sz="2000" b="0" i="0" u="none" strike="noStrike" baseline="0">
              <a:solidFill>
                <a:srgbClr val="FFFFFF"/>
              </a:solidFill>
              <a:latin typeface="Inter" panose="020B0502030000000004" pitchFamily="34" charset="0"/>
              <a:ea typeface="Inter" panose="020B0502030000000004" pitchFamily="34" charset="0"/>
              <a:cs typeface="Arial"/>
            </a:rPr>
            <a:t>Information</a:t>
          </a:r>
        </a:p>
      </xdr:txBody>
    </xdr:sp>
    <xdr:clientData/>
  </xdr:twoCellAnchor>
  <xdr:twoCellAnchor>
    <xdr:from>
      <xdr:col>15</xdr:col>
      <xdr:colOff>0</xdr:colOff>
      <xdr:row>27</xdr:row>
      <xdr:rowOff>486103</xdr:rowOff>
    </xdr:from>
    <xdr:to>
      <xdr:col>18</xdr:col>
      <xdr:colOff>0</xdr:colOff>
      <xdr:row>28</xdr:row>
      <xdr:rowOff>650326</xdr:rowOff>
    </xdr:to>
    <xdr:sp macro="" textlink="$BE$29">
      <xdr:nvSpPr>
        <xdr:cNvPr id="15577" name="Text Box 218"/>
        <xdr:cNvSpPr txBox="1">
          <a:spLocks noChangeArrowheads="1" noTextEdit="1"/>
        </xdr:cNvSpPr>
      </xdr:nvSpPr>
      <xdr:spPr bwMode="auto">
        <a:xfrm>
          <a:off x="10884776" y="4085896"/>
          <a:ext cx="2410810" cy="650327"/>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C526459-17C9-41ED-8F93-AB38271A427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29</xdr:row>
      <xdr:rowOff>0</xdr:rowOff>
    </xdr:from>
    <xdr:to>
      <xdr:col>18</xdr:col>
      <xdr:colOff>0</xdr:colOff>
      <xdr:row>29</xdr:row>
      <xdr:rowOff>321879</xdr:rowOff>
    </xdr:to>
    <xdr:sp macro="" textlink="$BE$30">
      <xdr:nvSpPr>
        <xdr:cNvPr id="15579" name="Text Box 219"/>
        <xdr:cNvSpPr txBox="1">
          <a:spLocks noChangeArrowheads="1" noTextEdit="1"/>
        </xdr:cNvSpPr>
      </xdr:nvSpPr>
      <xdr:spPr bwMode="auto">
        <a:xfrm>
          <a:off x="10884776" y="4736224"/>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2D5720F-8042-48A2-8982-C284E0F2B92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29</xdr:row>
      <xdr:rowOff>321879</xdr:rowOff>
    </xdr:from>
    <xdr:to>
      <xdr:col>18</xdr:col>
      <xdr:colOff>0</xdr:colOff>
      <xdr:row>31</xdr:row>
      <xdr:rowOff>0</xdr:rowOff>
    </xdr:to>
    <xdr:sp macro="" textlink="$BE$31">
      <xdr:nvSpPr>
        <xdr:cNvPr id="15580" name="Text Box 221"/>
        <xdr:cNvSpPr txBox="1">
          <a:spLocks noChangeArrowheads="1" noTextEdit="1"/>
        </xdr:cNvSpPr>
      </xdr:nvSpPr>
      <xdr:spPr bwMode="auto">
        <a:xfrm>
          <a:off x="10884776" y="5058103"/>
          <a:ext cx="2410810" cy="321880"/>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7DF1BCC-D51C-4C94-AA18-C2F8D950A10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31</xdr:row>
      <xdr:rowOff>0</xdr:rowOff>
    </xdr:from>
    <xdr:to>
      <xdr:col>18</xdr:col>
      <xdr:colOff>0</xdr:colOff>
      <xdr:row>32</xdr:row>
      <xdr:rowOff>0</xdr:rowOff>
    </xdr:to>
    <xdr:sp macro="" textlink="$BE$32">
      <xdr:nvSpPr>
        <xdr:cNvPr id="15582" name="Text Box 222"/>
        <xdr:cNvSpPr txBox="1">
          <a:spLocks noChangeArrowheads="1" noTextEdit="1"/>
        </xdr:cNvSpPr>
      </xdr:nvSpPr>
      <xdr:spPr bwMode="auto">
        <a:xfrm>
          <a:off x="10884776" y="5379983"/>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4586C7-2379-4A18-9943-F314D80B56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32</xdr:row>
      <xdr:rowOff>0</xdr:rowOff>
    </xdr:from>
    <xdr:to>
      <xdr:col>17</xdr:col>
      <xdr:colOff>952500</xdr:colOff>
      <xdr:row>33</xdr:row>
      <xdr:rowOff>0</xdr:rowOff>
    </xdr:to>
    <xdr:sp macro="" textlink="$BE$33">
      <xdr:nvSpPr>
        <xdr:cNvPr id="15583" name="Text Box 223"/>
        <xdr:cNvSpPr txBox="1">
          <a:spLocks noChangeArrowheads="1" noTextEdit="1"/>
        </xdr:cNvSpPr>
      </xdr:nvSpPr>
      <xdr:spPr bwMode="auto">
        <a:xfrm>
          <a:off x="10894979" y="4401766"/>
          <a:ext cx="2407595" cy="162128"/>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A9F7047-6E97-4DE0-9D82-0000E24662B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33</xdr:row>
      <xdr:rowOff>0</xdr:rowOff>
    </xdr:from>
    <xdr:to>
      <xdr:col>18</xdr:col>
      <xdr:colOff>0</xdr:colOff>
      <xdr:row>34</xdr:row>
      <xdr:rowOff>0</xdr:rowOff>
    </xdr:to>
    <xdr:sp macro="" textlink="$BE$34">
      <xdr:nvSpPr>
        <xdr:cNvPr id="15584" name="Text Box 224"/>
        <xdr:cNvSpPr txBox="1">
          <a:spLocks noChangeArrowheads="1" noTextEdit="1"/>
        </xdr:cNvSpPr>
      </xdr:nvSpPr>
      <xdr:spPr bwMode="auto">
        <a:xfrm>
          <a:off x="10884776" y="58660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70B25386-0CBA-40EB-B5B9-7A4433B1F6F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34</xdr:row>
      <xdr:rowOff>0</xdr:rowOff>
    </xdr:from>
    <xdr:to>
      <xdr:col>18</xdr:col>
      <xdr:colOff>0</xdr:colOff>
      <xdr:row>34</xdr:row>
      <xdr:rowOff>164224</xdr:rowOff>
    </xdr:to>
    <xdr:sp macro="" textlink="$BE$35">
      <xdr:nvSpPr>
        <xdr:cNvPr id="15585" name="Text Box 225"/>
        <xdr:cNvSpPr txBox="1">
          <a:spLocks noChangeArrowheads="1" noTextEdit="1"/>
        </xdr:cNvSpPr>
      </xdr:nvSpPr>
      <xdr:spPr bwMode="auto">
        <a:xfrm>
          <a:off x="10884776" y="60303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34</xdr:row>
      <xdr:rowOff>464344</xdr:rowOff>
    </xdr:from>
    <xdr:to>
      <xdr:col>18</xdr:col>
      <xdr:colOff>0</xdr:colOff>
      <xdr:row>36</xdr:row>
      <xdr:rowOff>0</xdr:rowOff>
    </xdr:to>
    <xdr:sp macro="" textlink="$BE$36">
      <xdr:nvSpPr>
        <xdr:cNvPr id="15586" name="Text Box 226"/>
        <xdr:cNvSpPr txBox="1">
          <a:spLocks noChangeArrowheads="1" noTextEdit="1"/>
        </xdr:cNvSpPr>
      </xdr:nvSpPr>
      <xdr:spPr bwMode="auto">
        <a:xfrm>
          <a:off x="10751344" y="6143625"/>
          <a:ext cx="2405062" cy="345281"/>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36</xdr:row>
      <xdr:rowOff>0</xdr:rowOff>
    </xdr:from>
    <xdr:to>
      <xdr:col>18</xdr:col>
      <xdr:colOff>0</xdr:colOff>
      <xdr:row>37</xdr:row>
      <xdr:rowOff>0</xdr:rowOff>
    </xdr:to>
    <xdr:sp macro="" textlink="$BE$37">
      <xdr:nvSpPr>
        <xdr:cNvPr id="15587" name="Text Box 227"/>
        <xdr:cNvSpPr txBox="1">
          <a:spLocks noChangeArrowheads="1" noTextEdit="1"/>
        </xdr:cNvSpPr>
      </xdr:nvSpPr>
      <xdr:spPr bwMode="auto">
        <a:xfrm>
          <a:off x="10884776" y="635875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6486D7C-ABB4-48ED-BB0B-6478058B86B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37</xdr:row>
      <xdr:rowOff>0</xdr:rowOff>
    </xdr:from>
    <xdr:to>
      <xdr:col>18</xdr:col>
      <xdr:colOff>0</xdr:colOff>
      <xdr:row>38</xdr:row>
      <xdr:rowOff>0</xdr:rowOff>
    </xdr:to>
    <xdr:sp macro="" textlink="$BE$38">
      <xdr:nvSpPr>
        <xdr:cNvPr id="15588" name="Text Box 228"/>
        <xdr:cNvSpPr txBox="1">
          <a:spLocks noChangeArrowheads="1" noTextEdit="1"/>
        </xdr:cNvSpPr>
      </xdr:nvSpPr>
      <xdr:spPr bwMode="auto">
        <a:xfrm>
          <a:off x="10884776" y="652298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CB4049B-359F-4F27-895D-059ACF10033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38</xdr:row>
      <xdr:rowOff>0</xdr:rowOff>
    </xdr:from>
    <xdr:to>
      <xdr:col>18</xdr:col>
      <xdr:colOff>0</xdr:colOff>
      <xdr:row>39</xdr:row>
      <xdr:rowOff>0</xdr:rowOff>
    </xdr:to>
    <xdr:sp macro="" textlink="$BE$39">
      <xdr:nvSpPr>
        <xdr:cNvPr id="15589" name="Text Box 229"/>
        <xdr:cNvSpPr txBox="1">
          <a:spLocks noChangeArrowheads="1" noTextEdit="1"/>
        </xdr:cNvSpPr>
      </xdr:nvSpPr>
      <xdr:spPr bwMode="auto">
        <a:xfrm>
          <a:off x="10884776" y="668720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2420E13-2918-40DA-9286-ACD25EDACD4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39</xdr:row>
      <xdr:rowOff>0</xdr:rowOff>
    </xdr:from>
    <xdr:to>
      <xdr:col>18</xdr:col>
      <xdr:colOff>0</xdr:colOff>
      <xdr:row>40</xdr:row>
      <xdr:rowOff>0</xdr:rowOff>
    </xdr:to>
    <xdr:sp macro="" textlink="$BE$40">
      <xdr:nvSpPr>
        <xdr:cNvPr id="15590" name="Text Box 230"/>
        <xdr:cNvSpPr txBox="1">
          <a:spLocks noChangeArrowheads="1" noTextEdit="1"/>
        </xdr:cNvSpPr>
      </xdr:nvSpPr>
      <xdr:spPr bwMode="auto">
        <a:xfrm>
          <a:off x="10884776" y="685143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B9E370B-E0B4-4144-8FB0-4FEE96B6B8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40</xdr:row>
      <xdr:rowOff>0</xdr:rowOff>
    </xdr:from>
    <xdr:to>
      <xdr:col>18</xdr:col>
      <xdr:colOff>0</xdr:colOff>
      <xdr:row>41</xdr:row>
      <xdr:rowOff>0</xdr:rowOff>
    </xdr:to>
    <xdr:sp macro="" textlink="$BE$41">
      <xdr:nvSpPr>
        <xdr:cNvPr id="15591" name="Text Box 231"/>
        <xdr:cNvSpPr txBox="1">
          <a:spLocks noChangeArrowheads="1" noTextEdit="1"/>
        </xdr:cNvSpPr>
      </xdr:nvSpPr>
      <xdr:spPr bwMode="auto">
        <a:xfrm>
          <a:off x="10884776" y="701565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72314E8-9607-44ED-9156-9402EFE65AC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41</xdr:row>
      <xdr:rowOff>0</xdr:rowOff>
    </xdr:from>
    <xdr:to>
      <xdr:col>18</xdr:col>
      <xdr:colOff>0</xdr:colOff>
      <xdr:row>41</xdr:row>
      <xdr:rowOff>164224</xdr:rowOff>
    </xdr:to>
    <xdr:sp macro="" textlink="$BE$42">
      <xdr:nvSpPr>
        <xdr:cNvPr id="15592" name="Text Box 232"/>
        <xdr:cNvSpPr txBox="1">
          <a:spLocks noChangeArrowheads="1" noTextEdit="1"/>
        </xdr:cNvSpPr>
      </xdr:nvSpPr>
      <xdr:spPr bwMode="auto">
        <a:xfrm>
          <a:off x="10884776" y="717987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D56439C-EB55-4812-B6AC-C4A5950FBB7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41</xdr:row>
      <xdr:rowOff>164224</xdr:rowOff>
    </xdr:from>
    <xdr:to>
      <xdr:col>18</xdr:col>
      <xdr:colOff>0</xdr:colOff>
      <xdr:row>43</xdr:row>
      <xdr:rowOff>0</xdr:rowOff>
    </xdr:to>
    <xdr:sp macro="" textlink="$BE$43">
      <xdr:nvSpPr>
        <xdr:cNvPr id="15593" name="Text Box 233"/>
        <xdr:cNvSpPr txBox="1">
          <a:spLocks noChangeArrowheads="1" noTextEdit="1"/>
        </xdr:cNvSpPr>
      </xdr:nvSpPr>
      <xdr:spPr bwMode="auto">
        <a:xfrm>
          <a:off x="10884776" y="7344103"/>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569DEF8-CE14-4E64-BB54-7289489016D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43</xdr:row>
      <xdr:rowOff>0</xdr:rowOff>
    </xdr:from>
    <xdr:to>
      <xdr:col>18</xdr:col>
      <xdr:colOff>0</xdr:colOff>
      <xdr:row>44</xdr:row>
      <xdr:rowOff>0</xdr:rowOff>
    </xdr:to>
    <xdr:sp macro="" textlink="$BE$44">
      <xdr:nvSpPr>
        <xdr:cNvPr id="15594" name="Text Box 234"/>
        <xdr:cNvSpPr txBox="1">
          <a:spLocks noChangeArrowheads="1" noTextEdit="1"/>
        </xdr:cNvSpPr>
      </xdr:nvSpPr>
      <xdr:spPr bwMode="auto">
        <a:xfrm>
          <a:off x="10884776" y="750832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DBE0BDA-5231-4875-B1A4-5F7612379CB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44</xdr:row>
      <xdr:rowOff>0</xdr:rowOff>
    </xdr:from>
    <xdr:to>
      <xdr:col>18</xdr:col>
      <xdr:colOff>0</xdr:colOff>
      <xdr:row>45</xdr:row>
      <xdr:rowOff>0</xdr:rowOff>
    </xdr:to>
    <xdr:sp macro="" textlink="$BE$45">
      <xdr:nvSpPr>
        <xdr:cNvPr id="15595" name="Text Box 235"/>
        <xdr:cNvSpPr txBox="1">
          <a:spLocks noChangeArrowheads="1" noTextEdit="1"/>
        </xdr:cNvSpPr>
      </xdr:nvSpPr>
      <xdr:spPr bwMode="auto">
        <a:xfrm>
          <a:off x="10884776" y="767255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8362FCDF-D05B-4305-A8B3-E18B8487CEE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45</xdr:row>
      <xdr:rowOff>0</xdr:rowOff>
    </xdr:from>
    <xdr:to>
      <xdr:col>18</xdr:col>
      <xdr:colOff>0</xdr:colOff>
      <xdr:row>46</xdr:row>
      <xdr:rowOff>0</xdr:rowOff>
    </xdr:to>
    <xdr:sp macro="" textlink="$BE$46">
      <xdr:nvSpPr>
        <xdr:cNvPr id="15596" name="Text Box 236"/>
        <xdr:cNvSpPr txBox="1">
          <a:spLocks noChangeArrowheads="1" noTextEdit="1"/>
        </xdr:cNvSpPr>
      </xdr:nvSpPr>
      <xdr:spPr bwMode="auto">
        <a:xfrm>
          <a:off x="10884776" y="783677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9ED98561-886F-4904-9E39-F4D28915CF9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46</xdr:row>
      <xdr:rowOff>0</xdr:rowOff>
    </xdr:from>
    <xdr:to>
      <xdr:col>18</xdr:col>
      <xdr:colOff>0</xdr:colOff>
      <xdr:row>47</xdr:row>
      <xdr:rowOff>0</xdr:rowOff>
    </xdr:to>
    <xdr:sp macro="" textlink="$BE$47">
      <xdr:nvSpPr>
        <xdr:cNvPr id="15597" name="Text Box 237"/>
        <xdr:cNvSpPr txBox="1">
          <a:spLocks noChangeArrowheads="1" noTextEdit="1"/>
        </xdr:cNvSpPr>
      </xdr:nvSpPr>
      <xdr:spPr bwMode="auto">
        <a:xfrm>
          <a:off x="10884776" y="800100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A69D29C-F918-44F1-AC1A-E27DDF31AA5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47</xdr:row>
      <xdr:rowOff>0</xdr:rowOff>
    </xdr:from>
    <xdr:to>
      <xdr:col>18</xdr:col>
      <xdr:colOff>0</xdr:colOff>
      <xdr:row>48</xdr:row>
      <xdr:rowOff>0</xdr:rowOff>
    </xdr:to>
    <xdr:sp macro="" textlink="$BE$48">
      <xdr:nvSpPr>
        <xdr:cNvPr id="15598" name="Text Box 238"/>
        <xdr:cNvSpPr txBox="1">
          <a:spLocks noChangeArrowheads="1" noTextEdit="1"/>
        </xdr:cNvSpPr>
      </xdr:nvSpPr>
      <xdr:spPr bwMode="auto">
        <a:xfrm>
          <a:off x="10884776" y="816522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B0ACF13-1548-458A-B80F-D8549C04A94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48</xdr:row>
      <xdr:rowOff>1</xdr:rowOff>
    </xdr:from>
    <xdr:to>
      <xdr:col>18</xdr:col>
      <xdr:colOff>0</xdr:colOff>
      <xdr:row>48</xdr:row>
      <xdr:rowOff>164224</xdr:rowOff>
    </xdr:to>
    <xdr:sp macro="" textlink="$BE$49">
      <xdr:nvSpPr>
        <xdr:cNvPr id="15599" name="Text Box 239"/>
        <xdr:cNvSpPr txBox="1">
          <a:spLocks noChangeArrowheads="1" noTextEdit="1"/>
        </xdr:cNvSpPr>
      </xdr:nvSpPr>
      <xdr:spPr bwMode="auto">
        <a:xfrm>
          <a:off x="10884776" y="8329449"/>
          <a:ext cx="2410810" cy="164223"/>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5A9282-6DCD-41C9-873F-A5B09976E1D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48</xdr:row>
      <xdr:rowOff>164223</xdr:rowOff>
    </xdr:from>
    <xdr:to>
      <xdr:col>18</xdr:col>
      <xdr:colOff>0</xdr:colOff>
      <xdr:row>49</xdr:row>
      <xdr:rowOff>164224</xdr:rowOff>
    </xdr:to>
    <xdr:sp macro="" textlink="$BE$50">
      <xdr:nvSpPr>
        <xdr:cNvPr id="15600" name="Text Box 240"/>
        <xdr:cNvSpPr txBox="1">
          <a:spLocks noChangeArrowheads="1" noTextEdit="1"/>
        </xdr:cNvSpPr>
      </xdr:nvSpPr>
      <xdr:spPr bwMode="auto">
        <a:xfrm>
          <a:off x="10884776" y="849367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2798FC6-0BDB-441E-8926-48DCB517A8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50</xdr:row>
      <xdr:rowOff>0</xdr:rowOff>
    </xdr:from>
    <xdr:to>
      <xdr:col>18</xdr:col>
      <xdr:colOff>0</xdr:colOff>
      <xdr:row>51</xdr:row>
      <xdr:rowOff>0</xdr:rowOff>
    </xdr:to>
    <xdr:sp macro="" textlink="$BE$51">
      <xdr:nvSpPr>
        <xdr:cNvPr id="15601" name="Text Box 241"/>
        <xdr:cNvSpPr txBox="1">
          <a:spLocks noChangeArrowheads="1" noTextEdit="1"/>
        </xdr:cNvSpPr>
      </xdr:nvSpPr>
      <xdr:spPr bwMode="auto">
        <a:xfrm>
          <a:off x="10884776" y="865789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3D94FD0-7D2B-41E6-A736-D4FBBA77EDD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51</xdr:row>
      <xdr:rowOff>0</xdr:rowOff>
    </xdr:from>
    <xdr:to>
      <xdr:col>18</xdr:col>
      <xdr:colOff>0</xdr:colOff>
      <xdr:row>52</xdr:row>
      <xdr:rowOff>0</xdr:rowOff>
    </xdr:to>
    <xdr:sp macro="" textlink="$BE$52">
      <xdr:nvSpPr>
        <xdr:cNvPr id="15602" name="Text Box 242"/>
        <xdr:cNvSpPr txBox="1">
          <a:spLocks noChangeArrowheads="1" noTextEdit="1"/>
        </xdr:cNvSpPr>
      </xdr:nvSpPr>
      <xdr:spPr bwMode="auto">
        <a:xfrm>
          <a:off x="10884776" y="882212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F2554653-8428-44AF-B680-381F8C827F2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52</xdr:row>
      <xdr:rowOff>0</xdr:rowOff>
    </xdr:from>
    <xdr:to>
      <xdr:col>18</xdr:col>
      <xdr:colOff>0</xdr:colOff>
      <xdr:row>53</xdr:row>
      <xdr:rowOff>0</xdr:rowOff>
    </xdr:to>
    <xdr:sp macro="" textlink="$BE$53">
      <xdr:nvSpPr>
        <xdr:cNvPr id="15603" name="Text Box 243"/>
        <xdr:cNvSpPr txBox="1">
          <a:spLocks noChangeArrowheads="1" noTextEdit="1"/>
        </xdr:cNvSpPr>
      </xdr:nvSpPr>
      <xdr:spPr bwMode="auto">
        <a:xfrm>
          <a:off x="10884776" y="898634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74FA182-BFB8-4967-A2F0-9228891A0BA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53</xdr:row>
      <xdr:rowOff>0</xdr:rowOff>
    </xdr:from>
    <xdr:to>
      <xdr:col>18</xdr:col>
      <xdr:colOff>0</xdr:colOff>
      <xdr:row>54</xdr:row>
      <xdr:rowOff>0</xdr:rowOff>
    </xdr:to>
    <xdr:sp macro="" textlink="$BE$54">
      <xdr:nvSpPr>
        <xdr:cNvPr id="15604" name="Text Box 244"/>
        <xdr:cNvSpPr txBox="1">
          <a:spLocks noChangeArrowheads="1" noTextEdit="1"/>
        </xdr:cNvSpPr>
      </xdr:nvSpPr>
      <xdr:spPr bwMode="auto">
        <a:xfrm>
          <a:off x="10884776" y="915056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BF55D83-4F1B-44AD-9155-FF87B40C668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54</xdr:row>
      <xdr:rowOff>0</xdr:rowOff>
    </xdr:from>
    <xdr:to>
      <xdr:col>18</xdr:col>
      <xdr:colOff>0</xdr:colOff>
      <xdr:row>55</xdr:row>
      <xdr:rowOff>0</xdr:rowOff>
    </xdr:to>
    <xdr:sp macro="" textlink="$BE$55">
      <xdr:nvSpPr>
        <xdr:cNvPr id="15605" name="Text Box 245"/>
        <xdr:cNvSpPr txBox="1">
          <a:spLocks noChangeArrowheads="1" noTextEdit="1"/>
        </xdr:cNvSpPr>
      </xdr:nvSpPr>
      <xdr:spPr bwMode="auto">
        <a:xfrm>
          <a:off x="10884776" y="931479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947CC26-0E9F-470D-8894-889CCC7E730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55</xdr:row>
      <xdr:rowOff>0</xdr:rowOff>
    </xdr:from>
    <xdr:to>
      <xdr:col>18</xdr:col>
      <xdr:colOff>0</xdr:colOff>
      <xdr:row>55</xdr:row>
      <xdr:rowOff>164224</xdr:rowOff>
    </xdr:to>
    <xdr:sp macro="" textlink="$BE$56">
      <xdr:nvSpPr>
        <xdr:cNvPr id="15606" name="Text Box 246"/>
        <xdr:cNvSpPr txBox="1">
          <a:spLocks noChangeArrowheads="1" noTextEdit="1"/>
        </xdr:cNvSpPr>
      </xdr:nvSpPr>
      <xdr:spPr bwMode="auto">
        <a:xfrm>
          <a:off x="10884776" y="947901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36CAF01-C50A-42CD-9D8E-2CEC8B69371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55</xdr:row>
      <xdr:rowOff>164224</xdr:rowOff>
    </xdr:from>
    <xdr:to>
      <xdr:col>18</xdr:col>
      <xdr:colOff>0</xdr:colOff>
      <xdr:row>57</xdr:row>
      <xdr:rowOff>0</xdr:rowOff>
    </xdr:to>
    <xdr:sp macro="" textlink="$BE$57">
      <xdr:nvSpPr>
        <xdr:cNvPr id="15607" name="Text Box 247"/>
        <xdr:cNvSpPr txBox="1">
          <a:spLocks noChangeArrowheads="1" noTextEdit="1"/>
        </xdr:cNvSpPr>
      </xdr:nvSpPr>
      <xdr:spPr bwMode="auto">
        <a:xfrm>
          <a:off x="10884776" y="964324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EF60496-116F-4591-B533-DCD2BD1709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57</xdr:row>
      <xdr:rowOff>0</xdr:rowOff>
    </xdr:from>
    <xdr:to>
      <xdr:col>18</xdr:col>
      <xdr:colOff>0</xdr:colOff>
      <xdr:row>58</xdr:row>
      <xdr:rowOff>0</xdr:rowOff>
    </xdr:to>
    <xdr:sp macro="" textlink="$BE$58">
      <xdr:nvSpPr>
        <xdr:cNvPr id="15608" name="Text Box 248"/>
        <xdr:cNvSpPr txBox="1">
          <a:spLocks noChangeArrowheads="1" noTextEdit="1"/>
        </xdr:cNvSpPr>
      </xdr:nvSpPr>
      <xdr:spPr bwMode="auto">
        <a:xfrm>
          <a:off x="10884776" y="980746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D0284FD-DF7D-49F2-A338-7725CB16ED3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58</xdr:row>
      <xdr:rowOff>0</xdr:rowOff>
    </xdr:from>
    <xdr:to>
      <xdr:col>18</xdr:col>
      <xdr:colOff>0</xdr:colOff>
      <xdr:row>59</xdr:row>
      <xdr:rowOff>0</xdr:rowOff>
    </xdr:to>
    <xdr:sp macro="" textlink="$BE$59">
      <xdr:nvSpPr>
        <xdr:cNvPr id="15609" name="Text Box 249"/>
        <xdr:cNvSpPr txBox="1">
          <a:spLocks noChangeArrowheads="1" noTextEdit="1"/>
        </xdr:cNvSpPr>
      </xdr:nvSpPr>
      <xdr:spPr bwMode="auto">
        <a:xfrm>
          <a:off x="10884776" y="997169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1029B77-ADF9-4902-9128-277A6724EA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59</xdr:row>
      <xdr:rowOff>0</xdr:rowOff>
    </xdr:from>
    <xdr:to>
      <xdr:col>18</xdr:col>
      <xdr:colOff>0</xdr:colOff>
      <xdr:row>60</xdr:row>
      <xdr:rowOff>0</xdr:rowOff>
    </xdr:to>
    <xdr:sp macro="" textlink="$BE$60">
      <xdr:nvSpPr>
        <xdr:cNvPr id="15610" name="Text Box 250"/>
        <xdr:cNvSpPr txBox="1">
          <a:spLocks noChangeArrowheads="1" noTextEdit="1"/>
        </xdr:cNvSpPr>
      </xdr:nvSpPr>
      <xdr:spPr bwMode="auto">
        <a:xfrm>
          <a:off x="10884776" y="1013591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4A576F-4708-4C13-9EBB-36B15569952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60</xdr:row>
      <xdr:rowOff>0</xdr:rowOff>
    </xdr:from>
    <xdr:to>
      <xdr:col>18</xdr:col>
      <xdr:colOff>0</xdr:colOff>
      <xdr:row>61</xdr:row>
      <xdr:rowOff>0</xdr:rowOff>
    </xdr:to>
    <xdr:sp macro="" textlink="$BE$61">
      <xdr:nvSpPr>
        <xdr:cNvPr id="15611" name="Text Box 251"/>
        <xdr:cNvSpPr txBox="1">
          <a:spLocks noChangeArrowheads="1" noTextEdit="1"/>
        </xdr:cNvSpPr>
      </xdr:nvSpPr>
      <xdr:spPr bwMode="auto">
        <a:xfrm>
          <a:off x="10884776" y="1030013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8859547-0414-4498-BB3D-4A05796D16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61</xdr:row>
      <xdr:rowOff>0</xdr:rowOff>
    </xdr:from>
    <xdr:to>
      <xdr:col>18</xdr:col>
      <xdr:colOff>0</xdr:colOff>
      <xdr:row>62</xdr:row>
      <xdr:rowOff>0</xdr:rowOff>
    </xdr:to>
    <xdr:sp macro="" textlink="$BE$62">
      <xdr:nvSpPr>
        <xdr:cNvPr id="15612" name="Text Box 252"/>
        <xdr:cNvSpPr txBox="1">
          <a:spLocks noChangeArrowheads="1" noTextEdit="1"/>
        </xdr:cNvSpPr>
      </xdr:nvSpPr>
      <xdr:spPr bwMode="auto">
        <a:xfrm>
          <a:off x="10884776" y="1046436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A65F135-F530-45A9-94C2-945928D1BC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62</xdr:row>
      <xdr:rowOff>0</xdr:rowOff>
    </xdr:from>
    <xdr:to>
      <xdr:col>18</xdr:col>
      <xdr:colOff>0</xdr:colOff>
      <xdr:row>63</xdr:row>
      <xdr:rowOff>0</xdr:rowOff>
    </xdr:to>
    <xdr:sp macro="" textlink="$BE$63">
      <xdr:nvSpPr>
        <xdr:cNvPr id="15613" name="Text Box 253"/>
        <xdr:cNvSpPr txBox="1">
          <a:spLocks noChangeArrowheads="1" noTextEdit="1"/>
        </xdr:cNvSpPr>
      </xdr:nvSpPr>
      <xdr:spPr bwMode="auto">
        <a:xfrm>
          <a:off x="10884776" y="106285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D8FF763-3E8A-4F85-9690-300C347C4E2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63</xdr:row>
      <xdr:rowOff>0</xdr:rowOff>
    </xdr:from>
    <xdr:to>
      <xdr:col>18</xdr:col>
      <xdr:colOff>0</xdr:colOff>
      <xdr:row>63</xdr:row>
      <xdr:rowOff>164224</xdr:rowOff>
    </xdr:to>
    <xdr:sp macro="" textlink="$BE$64">
      <xdr:nvSpPr>
        <xdr:cNvPr id="15614" name="Text Box 254"/>
        <xdr:cNvSpPr txBox="1">
          <a:spLocks noChangeArrowheads="1" noTextEdit="1"/>
        </xdr:cNvSpPr>
      </xdr:nvSpPr>
      <xdr:spPr bwMode="auto">
        <a:xfrm>
          <a:off x="10884776" y="107928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F1F6424-B833-4869-8551-E5489F40186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63</xdr:row>
      <xdr:rowOff>164224</xdr:rowOff>
    </xdr:from>
    <xdr:to>
      <xdr:col>18</xdr:col>
      <xdr:colOff>0</xdr:colOff>
      <xdr:row>65</xdr:row>
      <xdr:rowOff>0</xdr:rowOff>
    </xdr:to>
    <xdr:sp macro="" textlink="$BE$65">
      <xdr:nvSpPr>
        <xdr:cNvPr id="15615" name="Text Box 255"/>
        <xdr:cNvSpPr txBox="1">
          <a:spLocks noChangeArrowheads="1" noTextEdit="1"/>
        </xdr:cNvSpPr>
      </xdr:nvSpPr>
      <xdr:spPr bwMode="auto">
        <a:xfrm>
          <a:off x="10884776" y="10957034"/>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E657AD8-0D6A-4618-BF1E-DD0B7E5BEC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14</xdr:col>
      <xdr:colOff>1018835</xdr:colOff>
      <xdr:row>25</xdr:row>
      <xdr:rowOff>24740</xdr:rowOff>
    </xdr:from>
    <xdr:to>
      <xdr:col>17</xdr:col>
      <xdr:colOff>1510393</xdr:colOff>
      <xdr:row>26</xdr:row>
      <xdr:rowOff>24740</xdr:rowOff>
    </xdr:to>
    <xdr:sp macro="" textlink="$BE$26">
      <xdr:nvSpPr>
        <xdr:cNvPr id="15629" name="Text Box 269"/>
        <xdr:cNvSpPr txBox="1">
          <a:spLocks noChangeArrowheads="1" noTextEdit="1"/>
        </xdr:cNvSpPr>
      </xdr:nvSpPr>
      <xdr:spPr bwMode="auto">
        <a:xfrm>
          <a:off x="12584906" y="6678633"/>
          <a:ext cx="4560094" cy="231321"/>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493F13A-7748-45FE-8933-C8AE51FA1D0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xdr:col>
      <xdr:colOff>104320</xdr:colOff>
      <xdr:row>23</xdr:row>
      <xdr:rowOff>399144</xdr:rowOff>
    </xdr:from>
    <xdr:to>
      <xdr:col>7</xdr:col>
      <xdr:colOff>126999</xdr:colOff>
      <xdr:row>24</xdr:row>
      <xdr:rowOff>580119</xdr:rowOff>
    </xdr:to>
    <xdr:sp macro="" textlink="$K$99">
      <xdr:nvSpPr>
        <xdr:cNvPr id="15641" name="Text Box 281"/>
        <xdr:cNvSpPr txBox="1">
          <a:spLocks noChangeArrowheads="1" noTextEdit="1"/>
        </xdr:cNvSpPr>
      </xdr:nvSpPr>
      <xdr:spPr bwMode="auto">
        <a:xfrm>
          <a:off x="294820" y="5987144"/>
          <a:ext cx="5519965" cy="698046"/>
        </a:xfrm>
        <a:prstGeom prst="rect">
          <a:avLst/>
        </a:prstGeom>
        <a:solidFill>
          <a:srgbClr val="004680"/>
        </a:solidFill>
        <a:ln w="9525" algn="ctr">
          <a:noFill/>
          <a:miter lim="800000"/>
          <a:headEnd/>
          <a:tailEnd/>
        </a:ln>
        <a:effectLst/>
      </xdr:spPr>
      <xdr:txBody>
        <a:bodyPr anchor="ctr"/>
        <a:lstStyle/>
        <a:p>
          <a:fld id="{6099968D-274E-4630-8FAA-1A41F0CD734D}" type="TxLink">
            <a:rPr lang="en-AU" sz="1000" b="1" i="1" u="none" strike="noStrike">
              <a:solidFill>
                <a:srgbClr val="009900"/>
              </a:solidFill>
              <a:latin typeface="Arial"/>
              <a:cs typeface="Arial"/>
            </a:rPr>
            <a:pPr/>
            <a:t> </a:t>
          </a:fld>
          <a:endParaRPr lang="en-AU" b="1" i="1">
            <a:solidFill>
              <a:srgbClr val="009900"/>
            </a:solidFill>
          </a:endParaRPr>
        </a:p>
      </xdr:txBody>
    </xdr:sp>
    <xdr:clientData/>
  </xdr:twoCellAnchor>
  <xdr:twoCellAnchor>
    <xdr:from>
      <xdr:col>16</xdr:col>
      <xdr:colOff>0</xdr:colOff>
      <xdr:row>71</xdr:row>
      <xdr:rowOff>0</xdr:rowOff>
    </xdr:from>
    <xdr:to>
      <xdr:col>18</xdr:col>
      <xdr:colOff>0</xdr:colOff>
      <xdr:row>72</xdr:row>
      <xdr:rowOff>0</xdr:rowOff>
    </xdr:to>
    <xdr:sp macro="" textlink="">
      <xdr:nvSpPr>
        <xdr:cNvPr id="15750" name="Rectangle 390"/>
        <xdr:cNvSpPr>
          <a:spLocks noChangeArrowheads="1"/>
        </xdr:cNvSpPr>
      </xdr:nvSpPr>
      <xdr:spPr bwMode="auto">
        <a:xfrm>
          <a:off x="13490864" y="10165773"/>
          <a:ext cx="2199409" cy="1073727"/>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p>
      </xdr:txBody>
    </xdr:sp>
    <xdr:clientData/>
  </xdr:twoCellAnchor>
  <xdr:twoCellAnchor>
    <xdr:from>
      <xdr:col>4</xdr:col>
      <xdr:colOff>441182</xdr:colOff>
      <xdr:row>1</xdr:row>
      <xdr:rowOff>106948</xdr:rowOff>
    </xdr:from>
    <xdr:to>
      <xdr:col>5</xdr:col>
      <xdr:colOff>1042232</xdr:colOff>
      <xdr:row>1</xdr:row>
      <xdr:rowOff>408215</xdr:rowOff>
    </xdr:to>
    <xdr:sp macro="" textlink="" fLocksText="0">
      <xdr:nvSpPr>
        <xdr:cNvPr id="15845" name="AutoShape 485" descr="help">
          <a:hlinkClick xmlns:r="http://schemas.openxmlformats.org/officeDocument/2006/relationships" r:id="rId3"/>
        </xdr:cNvPr>
        <xdr:cNvSpPr>
          <a:spLocks noChangeArrowheads="1"/>
        </xdr:cNvSpPr>
      </xdr:nvSpPr>
      <xdr:spPr bwMode="auto">
        <a:xfrm>
          <a:off x="2028682" y="2229662"/>
          <a:ext cx="1698693" cy="301267"/>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Help</a:t>
          </a:r>
        </a:p>
      </xdr:txBody>
    </xdr:sp>
    <xdr:clientData fLocksWithSheet="0"/>
  </xdr:twoCellAnchor>
  <xdr:twoCellAnchor>
    <xdr:from>
      <xdr:col>15</xdr:col>
      <xdr:colOff>40822</xdr:colOff>
      <xdr:row>26</xdr:row>
      <xdr:rowOff>4949</xdr:rowOff>
    </xdr:from>
    <xdr:to>
      <xdr:col>18</xdr:col>
      <xdr:colOff>40821</xdr:colOff>
      <xdr:row>27</xdr:row>
      <xdr:rowOff>4949</xdr:rowOff>
    </xdr:to>
    <xdr:sp macro="" textlink="$BE$27">
      <xdr:nvSpPr>
        <xdr:cNvPr id="15866" name="Text Box 506"/>
        <xdr:cNvSpPr txBox="1">
          <a:spLocks noChangeArrowheads="1" noTextEdit="1"/>
        </xdr:cNvSpPr>
      </xdr:nvSpPr>
      <xdr:spPr bwMode="auto">
        <a:xfrm>
          <a:off x="12627429" y="6890163"/>
          <a:ext cx="4571999" cy="231322"/>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40204B8-F1A6-4278-8A9A-1B4F36D2117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15</xdr:col>
      <xdr:colOff>0</xdr:colOff>
      <xdr:row>27</xdr:row>
      <xdr:rowOff>0</xdr:rowOff>
    </xdr:from>
    <xdr:to>
      <xdr:col>18</xdr:col>
      <xdr:colOff>0</xdr:colOff>
      <xdr:row>28</xdr:row>
      <xdr:rowOff>0</xdr:rowOff>
    </xdr:to>
    <xdr:sp macro="" textlink="$BE$28">
      <xdr:nvSpPr>
        <xdr:cNvPr id="15867" name="Text Box 509"/>
        <xdr:cNvSpPr txBox="1">
          <a:spLocks noChangeArrowheads="1" noTextEdit="1"/>
        </xdr:cNvSpPr>
      </xdr:nvSpPr>
      <xdr:spPr bwMode="auto">
        <a:xfrm>
          <a:off x="10884776" y="3599793"/>
          <a:ext cx="2410810" cy="48610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04EDC99-EF5F-430D-8C24-F35FADAC51F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63</xdr:col>
      <xdr:colOff>371474</xdr:colOff>
      <xdr:row>15</xdr:row>
      <xdr:rowOff>76201</xdr:rowOff>
    </xdr:from>
    <xdr:to>
      <xdr:col>65</xdr:col>
      <xdr:colOff>38099</xdr:colOff>
      <xdr:row>19</xdr:row>
      <xdr:rowOff>95248</xdr:rowOff>
    </xdr:to>
    <xdr:sp macro="" textlink="">
      <xdr:nvSpPr>
        <xdr:cNvPr id="54" name="Rounded Rectangular Callout 53"/>
        <xdr:cNvSpPr/>
      </xdr:nvSpPr>
      <xdr:spPr bwMode="auto">
        <a:xfrm>
          <a:off x="53606699" y="2019301"/>
          <a:ext cx="1495425"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Probably obsolete</a:t>
          </a:r>
          <a:r>
            <a:rPr lang="en-AU" sz="1100" baseline="0"/>
            <a:t> after change to  N21. Check if used in  conditional formats.</a:t>
          </a:r>
          <a:endParaRPr lang="en-AU" sz="1100"/>
        </a:p>
      </xdr:txBody>
    </xdr:sp>
    <xdr:clientData/>
  </xdr:twoCellAnchor>
  <xdr:twoCellAnchor>
    <xdr:from>
      <xdr:col>65</xdr:col>
      <xdr:colOff>247650</xdr:colOff>
      <xdr:row>9</xdr:row>
      <xdr:rowOff>47626</xdr:rowOff>
    </xdr:from>
    <xdr:to>
      <xdr:col>66</xdr:col>
      <xdr:colOff>447676</xdr:colOff>
      <xdr:row>18</xdr:row>
      <xdr:rowOff>66673</xdr:rowOff>
    </xdr:to>
    <xdr:sp macro="" textlink="">
      <xdr:nvSpPr>
        <xdr:cNvPr id="56" name="Rounded Rectangular Callout 55"/>
        <xdr:cNvSpPr/>
      </xdr:nvSpPr>
      <xdr:spPr bwMode="auto">
        <a:xfrm>
          <a:off x="55311675" y="1828801"/>
          <a:ext cx="1114426"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Obsolete.  </a:t>
          </a:r>
        </a:p>
        <a:p>
          <a:pPr algn="l"/>
          <a:r>
            <a:rPr lang="en-AU" sz="1100"/>
            <a:t>Use BS and BT.</a:t>
          </a:r>
          <a:r>
            <a:rPr lang="en-AU" sz="1100" baseline="0"/>
            <a:t> </a:t>
          </a:r>
          <a:endParaRPr lang="en-AU" sz="1100"/>
        </a:p>
      </xdr:txBody>
    </xdr:sp>
    <xdr:clientData/>
  </xdr:twoCellAnchor>
  <xdr:twoCellAnchor>
    <xdr:from>
      <xdr:col>0</xdr:col>
      <xdr:colOff>0</xdr:colOff>
      <xdr:row>21</xdr:row>
      <xdr:rowOff>18150</xdr:rowOff>
    </xdr:from>
    <xdr:to>
      <xdr:col>3</xdr:col>
      <xdr:colOff>6944</xdr:colOff>
      <xdr:row>24</xdr:row>
      <xdr:rowOff>415880</xdr:rowOff>
    </xdr:to>
    <xdr:sp macro="" textlink="B84">
      <xdr:nvSpPr>
        <xdr:cNvPr id="3" name="Rectangle 2"/>
        <xdr:cNvSpPr/>
      </xdr:nvSpPr>
      <xdr:spPr bwMode="auto">
        <a:xfrm>
          <a:off x="0" y="4646495"/>
          <a:ext cx="382578" cy="1806357"/>
        </a:xfrm>
        <a:prstGeom prst="rect">
          <a:avLst/>
        </a:prstGeom>
        <a:noFill/>
        <a:ln w="9525" cap="flat" cmpd="sng" algn="ctr">
          <a:noFill/>
          <a:prstDash val="solid"/>
          <a:round/>
          <a:headEnd type="none" w="med" len="med"/>
          <a:tailEnd type="none" w="med" len="med"/>
        </a:ln>
        <a:effectLst/>
      </xdr:spPr>
      <xdr:txBody>
        <a:bodyPr vertOverflow="clip" horzOverflow="clip" wrap="square" lIns="0" tIns="360000" rIns="0" bIns="0" rtlCol="0" anchor="t" upright="1"/>
        <a:lstStyle/>
        <a:p>
          <a:pPr algn="ctr"/>
          <a:fld id="{0F5249B1-240E-4004-93ED-8A3C66825702}" type="TxLink">
            <a:rPr lang="en-AU" sz="900" b="1" i="1">
              <a:solidFill>
                <a:sysClr val="windowText" lastClr="000000"/>
              </a:solidFill>
              <a:latin typeface="Arial" pitchFamily="34" charset="0"/>
              <a:cs typeface="Arial" pitchFamily="34" charset="0"/>
            </a:rPr>
            <a:pPr algn="ctr"/>
            <a:t> </a:t>
          </a:fld>
          <a:endParaRPr lang="en-AU" sz="900" b="1" i="1">
            <a:solidFill>
              <a:sysClr val="windowText" lastClr="000000"/>
            </a:solidFill>
            <a:latin typeface="Arial" pitchFamily="34" charset="0"/>
            <a:cs typeface="Arial" pitchFamily="34" charset="0"/>
          </a:endParaRPr>
        </a:p>
      </xdr:txBody>
    </xdr:sp>
    <xdr:clientData/>
  </xdr:twoCellAnchor>
  <xdr:twoCellAnchor>
    <xdr:from>
      <xdr:col>9</xdr:col>
      <xdr:colOff>187870</xdr:colOff>
      <xdr:row>23</xdr:row>
      <xdr:rowOff>70387</xdr:rowOff>
    </xdr:from>
    <xdr:to>
      <xdr:col>9</xdr:col>
      <xdr:colOff>1043214</xdr:colOff>
      <xdr:row>24</xdr:row>
      <xdr:rowOff>142416</xdr:rowOff>
    </xdr:to>
    <xdr:sp macro="" textlink="">
      <xdr:nvSpPr>
        <xdr:cNvPr id="57" name="AutoShape 5" descr="help">
          <a:hlinkClick xmlns:r="http://schemas.openxmlformats.org/officeDocument/2006/relationships" r:id="rId4"/>
        </xdr:cNvPr>
        <xdr:cNvSpPr>
          <a:spLocks noChangeArrowheads="1"/>
        </xdr:cNvSpPr>
      </xdr:nvSpPr>
      <xdr:spPr bwMode="auto">
        <a:xfrm>
          <a:off x="7218227" y="5658387"/>
          <a:ext cx="855344" cy="589100"/>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Adjustment Factors</a:t>
          </a:r>
        </a:p>
      </xdr:txBody>
    </xdr:sp>
    <xdr:clientData/>
  </xdr:twoCellAnchor>
  <xdr:twoCellAnchor>
    <xdr:from>
      <xdr:col>12</xdr:col>
      <xdr:colOff>179210</xdr:colOff>
      <xdr:row>23</xdr:row>
      <xdr:rowOff>70387</xdr:rowOff>
    </xdr:from>
    <xdr:to>
      <xdr:col>12</xdr:col>
      <xdr:colOff>1016000</xdr:colOff>
      <xdr:row>24</xdr:row>
      <xdr:rowOff>142416</xdr:rowOff>
    </xdr:to>
    <xdr:sp macro="" textlink="">
      <xdr:nvSpPr>
        <xdr:cNvPr id="58" name="AutoShape 5" descr="help">
          <a:hlinkClick xmlns:r="http://schemas.openxmlformats.org/officeDocument/2006/relationships" r:id="rId4"/>
        </xdr:cNvPr>
        <xdr:cNvSpPr>
          <a:spLocks noChangeArrowheads="1"/>
        </xdr:cNvSpPr>
      </xdr:nvSpPr>
      <xdr:spPr bwMode="auto">
        <a:xfrm>
          <a:off x="10266639" y="5658387"/>
          <a:ext cx="836790" cy="589100"/>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Inter" panose="020B0502030000000004" pitchFamily="34" charset="0"/>
              <a:ea typeface="Inter" panose="020B0502030000000004" pitchFamily="34" charset="0"/>
              <a:cs typeface="Arial"/>
            </a:rPr>
            <a:t>Adjustment Factors</a:t>
          </a:r>
        </a:p>
      </xdr:txBody>
    </xdr:sp>
    <xdr:clientData/>
  </xdr:twoCellAnchor>
  <xdr:twoCellAnchor>
    <xdr:from>
      <xdr:col>0</xdr:col>
      <xdr:colOff>0</xdr:colOff>
      <xdr:row>73</xdr:row>
      <xdr:rowOff>145792</xdr:rowOff>
    </xdr:from>
    <xdr:to>
      <xdr:col>17</xdr:col>
      <xdr:colOff>1467971</xdr:colOff>
      <xdr:row>79</xdr:row>
      <xdr:rowOff>103623</xdr:rowOff>
    </xdr:to>
    <xdr:grpSp>
      <xdr:nvGrpSpPr>
        <xdr:cNvPr id="2" name="Group 1"/>
        <xdr:cNvGrpSpPr/>
      </xdr:nvGrpSpPr>
      <xdr:grpSpPr>
        <a:xfrm>
          <a:off x="0" y="10641435"/>
          <a:ext cx="17860042" cy="973831"/>
          <a:chOff x="0" y="11586997"/>
          <a:chExt cx="16020047" cy="941692"/>
        </a:xfrm>
      </xdr:grpSpPr>
      <xdr:pic>
        <xdr:nvPicPr>
          <xdr:cNvPr id="59" name="Picture 58"/>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275" y="12129815"/>
            <a:ext cx="904979" cy="332205"/>
          </a:xfrm>
          <a:prstGeom prst="rect">
            <a:avLst/>
          </a:prstGeom>
        </xdr:spPr>
      </xdr:pic>
      <xdr:sp macro="" textlink="">
        <xdr:nvSpPr>
          <xdr:cNvPr id="60" name="TextBox 59"/>
          <xdr:cNvSpPr txBox="1"/>
        </xdr:nvSpPr>
        <xdr:spPr>
          <a:xfrm>
            <a:off x="0" y="11586997"/>
            <a:ext cx="16020047" cy="561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By accessing or using this calculator, you agree to the following: While care has been taken in the preparation of this calculator, it may not be complete or up-to-date. You can ensure that you are using a complete and up-to-date version by checking the Australian Building Codes Board website (</a:t>
            </a:r>
            <a:r>
              <a:rPr lang="en-AU" sz="800" u="none" strike="noStrike">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www.abcb.gov.au</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 The Australian Building Codes Board,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a:t>
            </a:r>
          </a:p>
        </xdr:txBody>
      </xdr:sp>
      <xdr:sp macro="" textlink="">
        <xdr:nvSpPr>
          <xdr:cNvPr id="61" name="TextBox 60"/>
          <xdr:cNvSpPr txBox="1"/>
        </xdr:nvSpPr>
        <xdr:spPr>
          <a:xfrm>
            <a:off x="1006923" y="12068934"/>
            <a:ext cx="15002654" cy="459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AU" sz="800" b="0">
                <a:latin typeface="Arial" panose="020B0604020202020204" pitchFamily="34" charset="0"/>
                <a:cs typeface="Arial" panose="020B0604020202020204" pitchFamily="34" charset="0"/>
              </a:rPr>
              <a:t>© </a:t>
            </a:r>
            <a:r>
              <a:rPr lang="en-AU" sz="800" b="0">
                <a:latin typeface="Inter" panose="020B0502030000000004" pitchFamily="34" charset="0"/>
                <a:ea typeface="Inter" panose="020B0502030000000004" pitchFamily="34" charset="0"/>
                <a:cs typeface="Arial" panose="020B0604020202020204" pitchFamily="34" charset="0"/>
              </a:rPr>
              <a:t>Commonwealth of Australia and the States and Territories of Australia 2022, published by the Australian Building Codes Board.</a:t>
            </a:r>
          </a:p>
          <a:p>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The material in this publication is licensed under a Creative Commons Attribution-No Derivatives—4.0 International licence, with the exception of third party materials and any trade marks.  It is provided for general information only and without warranties of any kind.  You may not make derivatives of this publication, but may only use a verbatim copy.  More information on this CC BY ND licence is set out at the </a:t>
            </a:r>
            <a:r>
              <a:rPr lang="en-AU" sz="800" u="sng">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Creative Commons Website</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  For information regarding this publication, see </a:t>
            </a:r>
            <a:r>
              <a:rPr lang="en-AU" sz="800" u="sng">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www.abcb.gov.au</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a:t>
            </a:r>
          </a:p>
        </xdr:txBody>
      </xdr:sp>
    </xdr:grpSp>
    <xdr:clientData/>
  </xdr:twoCellAnchor>
  <xdr:twoCellAnchor>
    <xdr:from>
      <xdr:col>4</xdr:col>
      <xdr:colOff>305954</xdr:colOff>
      <xdr:row>0</xdr:row>
      <xdr:rowOff>437904</xdr:rowOff>
    </xdr:from>
    <xdr:to>
      <xdr:col>16</xdr:col>
      <xdr:colOff>1118048</xdr:colOff>
      <xdr:row>0</xdr:row>
      <xdr:rowOff>1963438</xdr:rowOff>
    </xdr:to>
    <xdr:sp macro="" textlink="">
      <xdr:nvSpPr>
        <xdr:cNvPr id="65" name="TextBox 64">
          <a:extLst>
            <a:ext uri="{FF2B5EF4-FFF2-40B4-BE49-F238E27FC236}">
              <a16:creationId xmlns="" xmlns:a16="http://schemas.microsoft.com/office/drawing/2014/main" id="{00000000-0008-0000-0100-000002000000}"/>
            </a:ext>
          </a:extLst>
        </xdr:cNvPr>
        <xdr:cNvSpPr txBox="1"/>
      </xdr:nvSpPr>
      <xdr:spPr>
        <a:xfrm>
          <a:off x="1893454" y="437904"/>
          <a:ext cx="14020094" cy="1525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cs typeface="Arial" panose="020B0604020202020204" pitchFamily="34" charset="0"/>
            </a:rPr>
            <a:t>Residential Lighting</a:t>
          </a:r>
          <a:r>
            <a:rPr lang="en-US" sz="2400">
              <a:solidFill>
                <a:schemeClr val="bg1"/>
              </a:solidFill>
              <a:latin typeface="Arial" panose="020B0604020202020204" pitchFamily="34" charset="0"/>
              <a:cs typeface="Arial" panose="020B0604020202020204" pitchFamily="34" charset="0"/>
            </a:rPr>
            <a:t/>
          </a:r>
          <a:br>
            <a:rPr lang="en-US" sz="2400">
              <a:solidFill>
                <a:schemeClr val="bg1"/>
              </a:solidFill>
              <a:latin typeface="Arial" panose="020B0604020202020204" pitchFamily="34" charset="0"/>
              <a:cs typeface="Arial" panose="020B0604020202020204" pitchFamily="34" charset="0"/>
            </a:rPr>
          </a:b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r>
            <a:rPr lang="en-US" sz="1600" baseline="0">
              <a:solidFill>
                <a:schemeClr val="bg1"/>
              </a:solidFill>
              <a:latin typeface="Arial" panose="020B0604020202020204" pitchFamily="34" charset="0"/>
              <a:cs typeface="Arial" panose="020B0604020202020204" pitchFamily="34" charset="0"/>
            </a:rPr>
            <a:t>Class 2 SOUs and Class 4 parts of a building</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81642</xdr:colOff>
      <xdr:row>15</xdr:row>
      <xdr:rowOff>9071</xdr:rowOff>
    </xdr:from>
    <xdr:to>
      <xdr:col>85</xdr:col>
      <xdr:colOff>54428</xdr:colOff>
      <xdr:row>17</xdr:row>
      <xdr:rowOff>7710</xdr:rowOff>
    </xdr:to>
    <xdr:sp macro="" textlink="$H$116">
      <xdr:nvSpPr>
        <xdr:cNvPr id="62" name="TextBox 61"/>
        <xdr:cNvSpPr txBox="1"/>
      </xdr:nvSpPr>
      <xdr:spPr>
        <a:xfrm>
          <a:off x="13280571" y="3673928"/>
          <a:ext cx="4762500" cy="6336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lIns="108000" tIns="0" rIns="36000" bIns="0" rtlCol="0" anchor="ctr"/>
        <a:lstStyle/>
        <a:p>
          <a:fld id="{D1E3472E-3D44-45F4-9C54-C7C2B7D83120}" type="TxLink">
            <a:rPr lang="en-US" sz="1000" b="0" i="0" u="none" strike="noStrike">
              <a:solidFill>
                <a:srgbClr val="000000"/>
              </a:solidFill>
              <a:latin typeface="Arial"/>
              <a:cs typeface="Arial"/>
            </a:rPr>
            <a:pPr/>
            <a:t> </a:t>
          </a:fld>
          <a:endParaRPr lang="en-AU" sz="1100" b="1" i="1">
            <a:solidFill>
              <a:schemeClr val="bg1"/>
            </a:solidFill>
          </a:endParaRPr>
        </a:p>
      </xdr:txBody>
    </xdr:sp>
    <xdr:clientData/>
  </xdr:twoCellAnchor>
  <xdr:twoCellAnchor editAs="oneCell">
    <xdr:from>
      <xdr:col>1</xdr:col>
      <xdr:colOff>36285</xdr:colOff>
      <xdr:row>0</xdr:row>
      <xdr:rowOff>18143</xdr:rowOff>
    </xdr:from>
    <xdr:to>
      <xdr:col>3</xdr:col>
      <xdr:colOff>974787</xdr:colOff>
      <xdr:row>0</xdr:row>
      <xdr:rowOff>1889125</xdr:rowOff>
    </xdr:to>
    <xdr:pic>
      <xdr:nvPicPr>
        <xdr:cNvPr id="67" name="Picture 6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285" y="18143"/>
          <a:ext cx="1337645" cy="1870982"/>
        </a:xfrm>
        <a:prstGeom prst="rect">
          <a:avLst/>
        </a:prstGeom>
      </xdr:spPr>
    </xdr:pic>
    <xdr:clientData/>
  </xdr:twoCellAnchor>
  <xdr:oneCellAnchor>
    <xdr:from>
      <xdr:col>15</xdr:col>
      <xdr:colOff>1558636</xdr:colOff>
      <xdr:row>0</xdr:row>
      <xdr:rowOff>415636</xdr:rowOff>
    </xdr:from>
    <xdr:ext cx="1910209" cy="695325"/>
    <xdr:pic>
      <xdr:nvPicPr>
        <xdr:cNvPr id="68" name="Picture 6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766636" y="415636"/>
          <a:ext cx="1910209" cy="695325"/>
        </a:xfrm>
        <a:prstGeom prst="rect">
          <a:avLst/>
        </a:prstGeom>
      </xdr:spPr>
    </xdr:pic>
    <xdr:clientData/>
  </xdr:oneCellAnchor>
  <xdr:oneCellAnchor>
    <xdr:from>
      <xdr:col>16</xdr:col>
      <xdr:colOff>681182</xdr:colOff>
      <xdr:row>0</xdr:row>
      <xdr:rowOff>1166091</xdr:rowOff>
    </xdr:from>
    <xdr:ext cx="744383" cy="738883"/>
    <xdr:pic>
      <xdr:nvPicPr>
        <xdr:cNvPr id="69" name="Picture 6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482455" y="1166091"/>
          <a:ext cx="744383" cy="73888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9072</xdr:colOff>
      <xdr:row>0</xdr:row>
      <xdr:rowOff>0</xdr:rowOff>
    </xdr:from>
    <xdr:to>
      <xdr:col>23</xdr:col>
      <xdr:colOff>0</xdr:colOff>
      <xdr:row>1</xdr:row>
      <xdr:rowOff>9979</xdr:rowOff>
    </xdr:to>
    <xdr:pic>
      <xdr:nvPicPr>
        <xdr:cNvPr id="734" name="Picture 73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2" y="0"/>
          <a:ext cx="22508028" cy="2130879"/>
        </a:xfrm>
        <a:prstGeom prst="rect">
          <a:avLst/>
        </a:prstGeom>
      </xdr:spPr>
    </xdr:pic>
    <xdr:clientData/>
  </xdr:twoCellAnchor>
  <xdr:twoCellAnchor>
    <xdr:from>
      <xdr:col>21</xdr:col>
      <xdr:colOff>0</xdr:colOff>
      <xdr:row>26</xdr:row>
      <xdr:rowOff>0</xdr:rowOff>
    </xdr:from>
    <xdr:to>
      <xdr:col>23</xdr:col>
      <xdr:colOff>0</xdr:colOff>
      <xdr:row>27</xdr:row>
      <xdr:rowOff>0</xdr:rowOff>
    </xdr:to>
    <xdr:sp macro="" textlink="AZ27">
      <xdr:nvSpPr>
        <xdr:cNvPr id="14548" name="Text Box 1236"/>
        <xdr:cNvSpPr txBox="1">
          <a:spLocks noChangeArrowheads="1" noTextEdit="1"/>
        </xdr:cNvSpPr>
      </xdr:nvSpPr>
      <xdr:spPr bwMode="auto">
        <a:xfrm>
          <a:off x="12040466" y="4195330"/>
          <a:ext cx="2333625" cy="484909"/>
        </a:xfrm>
        <a:prstGeom prst="rect">
          <a:avLst/>
        </a:prstGeom>
        <a:noFill/>
        <a:ln w="9525" algn="ctr">
          <a:noFill/>
          <a:miter lim="800000"/>
          <a:headEnd/>
          <a:tailEnd/>
        </a:ln>
        <a:effectLst/>
      </xdr:spPr>
      <xdr:txBody>
        <a:bodyPr vertOverflow="clip" horzOverflow="clip" lIns="72000" tIns="36000" rIns="36000" bIns="36000" anchor="ctr"/>
        <a:lstStyle/>
        <a:p>
          <a:pPr algn="l"/>
          <a:fld id="{1CDFEA74-7FD6-4ABF-9B21-82772DA0F30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7</xdr:col>
      <xdr:colOff>239471</xdr:colOff>
      <xdr:row>1</xdr:row>
      <xdr:rowOff>72572</xdr:rowOff>
    </xdr:from>
    <xdr:to>
      <xdr:col>9</xdr:col>
      <xdr:colOff>205613</xdr:colOff>
      <xdr:row>1</xdr:row>
      <xdr:rowOff>358603</xdr:rowOff>
    </xdr:to>
    <xdr:sp macro="" textlink="">
      <xdr:nvSpPr>
        <xdr:cNvPr id="3125" name="AutoShape 53" descr="help">
          <a:hlinkClick xmlns:r="http://schemas.openxmlformats.org/officeDocument/2006/relationships" r:id="rId2"/>
        </xdr:cNvPr>
        <xdr:cNvSpPr>
          <a:spLocks noChangeArrowheads="1"/>
        </xdr:cNvSpPr>
      </xdr:nvSpPr>
      <xdr:spPr bwMode="auto">
        <a:xfrm>
          <a:off x="3995042" y="2195286"/>
          <a:ext cx="2034428" cy="286031"/>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0" tIns="0" rIns="0" bIns="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Multiple Lighting Systems Calculator</a:t>
          </a:r>
        </a:p>
      </xdr:txBody>
    </xdr:sp>
    <xdr:clientData/>
  </xdr:twoCellAnchor>
  <xdr:twoCellAnchor>
    <xdr:from>
      <xdr:col>84</xdr:col>
      <xdr:colOff>9525</xdr:colOff>
      <xdr:row>11</xdr:row>
      <xdr:rowOff>47624</xdr:rowOff>
    </xdr:from>
    <xdr:to>
      <xdr:col>95</xdr:col>
      <xdr:colOff>9526</xdr:colOff>
      <xdr:row>17</xdr:row>
      <xdr:rowOff>326570</xdr:rowOff>
    </xdr:to>
    <xdr:sp macro="" textlink="">
      <xdr:nvSpPr>
        <xdr:cNvPr id="14449" name="Text Box 1137"/>
        <xdr:cNvSpPr txBox="1">
          <a:spLocks noChangeArrowheads="1"/>
        </xdr:cNvSpPr>
      </xdr:nvSpPr>
      <xdr:spPr bwMode="auto">
        <a:xfrm>
          <a:off x="60893325" y="1095374"/>
          <a:ext cx="13849351" cy="326571"/>
        </a:xfrm>
        <a:prstGeom prst="rect">
          <a:avLst/>
        </a:prstGeom>
        <a:solidFill>
          <a:srgbClr val="004680"/>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1" u="none" strike="noStrike" baseline="0">
              <a:solidFill>
                <a:srgbClr val="FFFFFF"/>
              </a:solidFill>
              <a:latin typeface="Arial"/>
              <a:cs typeface="Arial"/>
            </a:rPr>
            <a:t>Additional Information</a:t>
          </a:r>
        </a:p>
      </xdr:txBody>
    </xdr:sp>
    <xdr:clientData/>
  </xdr:twoCellAnchor>
  <xdr:twoCellAnchor>
    <xdr:from>
      <xdr:col>21</xdr:col>
      <xdr:colOff>0</xdr:colOff>
      <xdr:row>23</xdr:row>
      <xdr:rowOff>0</xdr:rowOff>
    </xdr:from>
    <xdr:to>
      <xdr:col>23</xdr:col>
      <xdr:colOff>0</xdr:colOff>
      <xdr:row>24</xdr:row>
      <xdr:rowOff>0</xdr:rowOff>
    </xdr:to>
    <xdr:sp macro="" textlink="AZ24">
      <xdr:nvSpPr>
        <xdr:cNvPr id="14545" name="Text Box 1233"/>
        <xdr:cNvSpPr txBox="1">
          <a:spLocks noChangeArrowheads="1" noTextEdit="1"/>
        </xdr:cNvSpPr>
      </xdr:nvSpPr>
      <xdr:spPr bwMode="auto">
        <a:xfrm>
          <a:off x="19476357" y="6667500"/>
          <a:ext cx="3120572" cy="480786"/>
        </a:xfrm>
        <a:prstGeom prst="rect">
          <a:avLst/>
        </a:prstGeom>
        <a:noFill/>
        <a:ln w="9525" algn="ctr">
          <a:noFill/>
          <a:miter lim="800000"/>
          <a:headEnd/>
          <a:tailEnd/>
        </a:ln>
        <a:effectLst/>
      </xdr:spPr>
      <xdr:txBody>
        <a:bodyPr vertOverflow="clip" horzOverflow="clip" lIns="72000" tIns="36000" rIns="36000" bIns="36000" anchor="ctr"/>
        <a:lstStyle/>
        <a:p>
          <a:pPr algn="l"/>
          <a:fld id="{6981007D-BF0D-4946-A08C-B8B47FAB841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xdr:row>
      <xdr:rowOff>0</xdr:rowOff>
    </xdr:from>
    <xdr:to>
      <xdr:col>23</xdr:col>
      <xdr:colOff>0</xdr:colOff>
      <xdr:row>26</xdr:row>
      <xdr:rowOff>0</xdr:rowOff>
    </xdr:to>
    <xdr:sp macro="" textlink="AZ26">
      <xdr:nvSpPr>
        <xdr:cNvPr id="14547" name="Text Box 1235"/>
        <xdr:cNvSpPr txBox="1">
          <a:spLocks noChangeArrowheads="1" noTextEdit="1"/>
        </xdr:cNvSpPr>
      </xdr:nvSpPr>
      <xdr:spPr bwMode="auto">
        <a:xfrm>
          <a:off x="11965781" y="2940844"/>
          <a:ext cx="2297907" cy="166687"/>
        </a:xfrm>
        <a:prstGeom prst="rect">
          <a:avLst/>
        </a:prstGeom>
        <a:noFill/>
        <a:ln w="9525" algn="ctr">
          <a:noFill/>
          <a:miter lim="800000"/>
          <a:headEnd/>
          <a:tailEnd/>
        </a:ln>
        <a:effectLst/>
      </xdr:spPr>
      <xdr:txBody>
        <a:bodyPr vertOverflow="clip" horzOverflow="clip" lIns="72000" tIns="36000" rIns="36000" bIns="36000" anchor="ctr"/>
        <a:lstStyle/>
        <a:p>
          <a:pPr algn="l"/>
          <a:fld id="{54ADBE56-E639-4AF1-AA70-E3501944EC3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10583</xdr:colOff>
      <xdr:row>24</xdr:row>
      <xdr:rowOff>0</xdr:rowOff>
    </xdr:from>
    <xdr:to>
      <xdr:col>23</xdr:col>
      <xdr:colOff>10583</xdr:colOff>
      <xdr:row>25</xdr:row>
      <xdr:rowOff>0</xdr:rowOff>
    </xdr:to>
    <xdr:sp macro="" textlink="AZ25">
      <xdr:nvSpPr>
        <xdr:cNvPr id="14546" name="Text Box 1234"/>
        <xdr:cNvSpPr txBox="1">
          <a:spLocks noChangeArrowheads="1" noTextEdit="1"/>
        </xdr:cNvSpPr>
      </xdr:nvSpPr>
      <xdr:spPr bwMode="auto">
        <a:xfrm>
          <a:off x="15060083" y="2741083"/>
          <a:ext cx="1312333" cy="158750"/>
        </a:xfrm>
        <a:prstGeom prst="rect">
          <a:avLst/>
        </a:prstGeom>
        <a:noFill/>
        <a:ln w="9525" algn="ctr">
          <a:noFill/>
          <a:miter lim="800000"/>
          <a:headEnd/>
          <a:tailEnd/>
        </a:ln>
        <a:effectLst/>
      </xdr:spPr>
      <xdr:txBody>
        <a:bodyPr vertOverflow="clip" horzOverflow="clip" wrap="square" lIns="72000" tIns="36000" rIns="36000" bIns="36000" anchor="ctr"/>
        <a:lstStyle/>
        <a:p>
          <a:pPr algn="l"/>
          <a:fld id="{97402F9F-12FC-45F4-B677-3C76FBD579A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xdr:row>
      <xdr:rowOff>1</xdr:rowOff>
    </xdr:from>
    <xdr:to>
      <xdr:col>23</xdr:col>
      <xdr:colOff>0</xdr:colOff>
      <xdr:row>28</xdr:row>
      <xdr:rowOff>0</xdr:rowOff>
    </xdr:to>
    <xdr:sp macro="" textlink="AZ28">
      <xdr:nvSpPr>
        <xdr:cNvPr id="14549" name="Text Box 1237"/>
        <xdr:cNvSpPr txBox="1">
          <a:spLocks noChangeArrowheads="1" noTextEdit="1"/>
        </xdr:cNvSpPr>
      </xdr:nvSpPr>
      <xdr:spPr bwMode="auto">
        <a:xfrm>
          <a:off x="12040466" y="4680240"/>
          <a:ext cx="2333625" cy="324715"/>
        </a:xfrm>
        <a:prstGeom prst="rect">
          <a:avLst/>
        </a:prstGeom>
        <a:noFill/>
        <a:ln w="9525" algn="ctr">
          <a:noFill/>
          <a:miter lim="800000"/>
          <a:headEnd/>
          <a:tailEnd/>
        </a:ln>
        <a:effectLst/>
      </xdr:spPr>
      <xdr:txBody>
        <a:bodyPr vertOverflow="clip" horzOverflow="clip" lIns="72000" tIns="36000" rIns="36000" bIns="36000" anchor="ctr"/>
        <a:lstStyle/>
        <a:p>
          <a:pPr algn="l"/>
          <a:fld id="{D91215F1-88A0-4AFC-A006-58A813F63B2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xdr:row>
      <xdr:rowOff>0</xdr:rowOff>
    </xdr:from>
    <xdr:to>
      <xdr:col>23</xdr:col>
      <xdr:colOff>0</xdr:colOff>
      <xdr:row>28</xdr:row>
      <xdr:rowOff>324715</xdr:rowOff>
    </xdr:to>
    <xdr:sp macro="" textlink="AZ29">
      <xdr:nvSpPr>
        <xdr:cNvPr id="14550" name="Text Box 1238"/>
        <xdr:cNvSpPr txBox="1">
          <a:spLocks noChangeArrowheads="1" noTextEdit="1"/>
        </xdr:cNvSpPr>
      </xdr:nvSpPr>
      <xdr:spPr bwMode="auto">
        <a:xfrm>
          <a:off x="12040466" y="5004955"/>
          <a:ext cx="2333625" cy="324715"/>
        </a:xfrm>
        <a:prstGeom prst="rect">
          <a:avLst/>
        </a:prstGeom>
        <a:noFill/>
        <a:ln w="9525" algn="ctr">
          <a:noFill/>
          <a:miter lim="800000"/>
          <a:headEnd/>
          <a:tailEnd/>
        </a:ln>
        <a:effectLst/>
      </xdr:spPr>
      <xdr:txBody>
        <a:bodyPr vertOverflow="clip" horzOverflow="clip" lIns="72000" tIns="36000" rIns="36000" bIns="36000" anchor="ctr"/>
        <a:lstStyle/>
        <a:p>
          <a:pPr algn="l"/>
          <a:fld id="{334D5712-63C3-45A1-814F-AF6C5D82592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xdr:row>
      <xdr:rowOff>324715</xdr:rowOff>
    </xdr:from>
    <xdr:to>
      <xdr:col>23</xdr:col>
      <xdr:colOff>0</xdr:colOff>
      <xdr:row>30</xdr:row>
      <xdr:rowOff>0</xdr:rowOff>
    </xdr:to>
    <xdr:sp macro="" textlink="AZ30">
      <xdr:nvSpPr>
        <xdr:cNvPr id="14551" name="Text Box 1239"/>
        <xdr:cNvSpPr txBox="1">
          <a:spLocks noChangeArrowheads="1" noTextEdit="1"/>
        </xdr:cNvSpPr>
      </xdr:nvSpPr>
      <xdr:spPr bwMode="auto">
        <a:xfrm>
          <a:off x="12040466" y="53296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9D32A6B2-F130-4EAA-84BF-752E87500DD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xdr:row>
      <xdr:rowOff>0</xdr:rowOff>
    </xdr:from>
    <xdr:to>
      <xdr:col>23</xdr:col>
      <xdr:colOff>0</xdr:colOff>
      <xdr:row>31</xdr:row>
      <xdr:rowOff>0</xdr:rowOff>
    </xdr:to>
    <xdr:sp macro="" textlink="AZ31">
      <xdr:nvSpPr>
        <xdr:cNvPr id="14552" name="Text Box 1240"/>
        <xdr:cNvSpPr txBox="1">
          <a:spLocks noChangeArrowheads="1" noTextEdit="1"/>
        </xdr:cNvSpPr>
      </xdr:nvSpPr>
      <xdr:spPr bwMode="auto">
        <a:xfrm>
          <a:off x="12040466" y="54898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A1BC21D-35D9-4311-8C47-AA970862189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xdr:row>
      <xdr:rowOff>0</xdr:rowOff>
    </xdr:from>
    <xdr:to>
      <xdr:col>23</xdr:col>
      <xdr:colOff>0</xdr:colOff>
      <xdr:row>32</xdr:row>
      <xdr:rowOff>0</xdr:rowOff>
    </xdr:to>
    <xdr:sp macro="" textlink="AZ32">
      <xdr:nvSpPr>
        <xdr:cNvPr id="14553" name="Text Box 1241"/>
        <xdr:cNvSpPr txBox="1">
          <a:spLocks noChangeArrowheads="1" noTextEdit="1"/>
        </xdr:cNvSpPr>
      </xdr:nvSpPr>
      <xdr:spPr bwMode="auto">
        <a:xfrm>
          <a:off x="12040466" y="56500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AF15B62-5B45-4555-B944-27C6B327E72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xdr:row>
      <xdr:rowOff>0</xdr:rowOff>
    </xdr:from>
    <xdr:to>
      <xdr:col>23</xdr:col>
      <xdr:colOff>0</xdr:colOff>
      <xdr:row>33</xdr:row>
      <xdr:rowOff>0</xdr:rowOff>
    </xdr:to>
    <xdr:sp macro="" textlink="AZ33">
      <xdr:nvSpPr>
        <xdr:cNvPr id="14554" name="Text Box 1242"/>
        <xdr:cNvSpPr txBox="1">
          <a:spLocks noChangeArrowheads="1" noTextEdit="1"/>
        </xdr:cNvSpPr>
      </xdr:nvSpPr>
      <xdr:spPr bwMode="auto">
        <a:xfrm>
          <a:off x="12040466" y="581025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B5F0655-C398-4614-BC38-AF5578B8016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xdr:row>
      <xdr:rowOff>0</xdr:rowOff>
    </xdr:from>
    <xdr:to>
      <xdr:col>23</xdr:col>
      <xdr:colOff>0</xdr:colOff>
      <xdr:row>33</xdr:row>
      <xdr:rowOff>160193</xdr:rowOff>
    </xdr:to>
    <xdr:sp macro="" textlink="AZ34">
      <xdr:nvSpPr>
        <xdr:cNvPr id="14555" name="Text Box 1243"/>
        <xdr:cNvSpPr txBox="1">
          <a:spLocks noChangeArrowheads="1" noTextEdit="1"/>
        </xdr:cNvSpPr>
      </xdr:nvSpPr>
      <xdr:spPr bwMode="auto">
        <a:xfrm>
          <a:off x="12040466" y="59704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09989F8-B820-43EA-B85D-CEB7346467A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xdr:row>
      <xdr:rowOff>1</xdr:rowOff>
    </xdr:from>
    <xdr:to>
      <xdr:col>23</xdr:col>
      <xdr:colOff>0</xdr:colOff>
      <xdr:row>35</xdr:row>
      <xdr:rowOff>0</xdr:rowOff>
    </xdr:to>
    <xdr:sp macro="" textlink="AZ35">
      <xdr:nvSpPr>
        <xdr:cNvPr id="14556" name="Text Box 1245"/>
        <xdr:cNvSpPr txBox="1">
          <a:spLocks noChangeArrowheads="1" noTextEdit="1"/>
        </xdr:cNvSpPr>
      </xdr:nvSpPr>
      <xdr:spPr bwMode="auto">
        <a:xfrm>
          <a:off x="12040466" y="613063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B29C03F-D644-42C8-9B19-9E0D33C6EC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xdr:row>
      <xdr:rowOff>0</xdr:rowOff>
    </xdr:from>
    <xdr:to>
      <xdr:col>23</xdr:col>
      <xdr:colOff>0</xdr:colOff>
      <xdr:row>36</xdr:row>
      <xdr:rowOff>0</xdr:rowOff>
    </xdr:to>
    <xdr:sp macro="" textlink="AZ36">
      <xdr:nvSpPr>
        <xdr:cNvPr id="14558" name="Text Box 1246"/>
        <xdr:cNvSpPr txBox="1">
          <a:spLocks noChangeArrowheads="1" noTextEdit="1"/>
        </xdr:cNvSpPr>
      </xdr:nvSpPr>
      <xdr:spPr bwMode="auto">
        <a:xfrm>
          <a:off x="12040466" y="629083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D9987A9-79C2-4663-9232-48A53245EAA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xdr:row>
      <xdr:rowOff>0</xdr:rowOff>
    </xdr:from>
    <xdr:to>
      <xdr:col>23</xdr:col>
      <xdr:colOff>0</xdr:colOff>
      <xdr:row>37</xdr:row>
      <xdr:rowOff>0</xdr:rowOff>
    </xdr:to>
    <xdr:sp macro="" textlink="AZ37">
      <xdr:nvSpPr>
        <xdr:cNvPr id="14559" name="Text Box 1247"/>
        <xdr:cNvSpPr txBox="1">
          <a:spLocks noChangeArrowheads="1" noTextEdit="1"/>
        </xdr:cNvSpPr>
      </xdr:nvSpPr>
      <xdr:spPr bwMode="auto">
        <a:xfrm>
          <a:off x="12040466" y="645102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9E8412E-659D-49DD-BFFF-B41F0952A82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xdr:row>
      <xdr:rowOff>0</xdr:rowOff>
    </xdr:from>
    <xdr:to>
      <xdr:col>23</xdr:col>
      <xdr:colOff>0</xdr:colOff>
      <xdr:row>38</xdr:row>
      <xdr:rowOff>0</xdr:rowOff>
    </xdr:to>
    <xdr:sp macro="" textlink="AZ38">
      <xdr:nvSpPr>
        <xdr:cNvPr id="14560" name="Text Box 1248"/>
        <xdr:cNvSpPr txBox="1">
          <a:spLocks noChangeArrowheads="1" noTextEdit="1"/>
        </xdr:cNvSpPr>
      </xdr:nvSpPr>
      <xdr:spPr bwMode="auto">
        <a:xfrm>
          <a:off x="12040466" y="661121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545872E-021B-4695-8E29-2E007C4F63C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xdr:row>
      <xdr:rowOff>0</xdr:rowOff>
    </xdr:from>
    <xdr:to>
      <xdr:col>23</xdr:col>
      <xdr:colOff>0</xdr:colOff>
      <xdr:row>38</xdr:row>
      <xdr:rowOff>160193</xdr:rowOff>
    </xdr:to>
    <xdr:sp macro="" textlink="AZ39">
      <xdr:nvSpPr>
        <xdr:cNvPr id="14561" name="Text Box 1249"/>
        <xdr:cNvSpPr txBox="1">
          <a:spLocks noChangeArrowheads="1" noTextEdit="1"/>
        </xdr:cNvSpPr>
      </xdr:nvSpPr>
      <xdr:spPr bwMode="auto">
        <a:xfrm>
          <a:off x="12040466" y="677140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E175DD4-76F8-4CF3-9090-2AB6C6C89BB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xdr:row>
      <xdr:rowOff>160193</xdr:rowOff>
    </xdr:from>
    <xdr:to>
      <xdr:col>23</xdr:col>
      <xdr:colOff>0</xdr:colOff>
      <xdr:row>39</xdr:row>
      <xdr:rowOff>160193</xdr:rowOff>
    </xdr:to>
    <xdr:sp macro="" textlink="AZ40">
      <xdr:nvSpPr>
        <xdr:cNvPr id="14562" name="Text Box 1250"/>
        <xdr:cNvSpPr txBox="1">
          <a:spLocks noChangeArrowheads="1" noTextEdit="1"/>
        </xdr:cNvSpPr>
      </xdr:nvSpPr>
      <xdr:spPr bwMode="auto">
        <a:xfrm>
          <a:off x="12040466" y="693160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67434FB-3A9F-4122-AA95-5F937749D27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xdr:row>
      <xdr:rowOff>160193</xdr:rowOff>
    </xdr:from>
    <xdr:to>
      <xdr:col>23</xdr:col>
      <xdr:colOff>0</xdr:colOff>
      <xdr:row>41</xdr:row>
      <xdr:rowOff>0</xdr:rowOff>
    </xdr:to>
    <xdr:sp macro="" textlink="AZ41">
      <xdr:nvSpPr>
        <xdr:cNvPr id="14563" name="Text Box 1251"/>
        <xdr:cNvSpPr txBox="1">
          <a:spLocks noChangeArrowheads="1" noTextEdit="1"/>
        </xdr:cNvSpPr>
      </xdr:nvSpPr>
      <xdr:spPr bwMode="auto">
        <a:xfrm>
          <a:off x="12040466" y="709179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BF1E2A79-FB32-458E-BAF7-805409598DD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xdr:row>
      <xdr:rowOff>0</xdr:rowOff>
    </xdr:from>
    <xdr:to>
      <xdr:col>23</xdr:col>
      <xdr:colOff>0</xdr:colOff>
      <xdr:row>42</xdr:row>
      <xdr:rowOff>0</xdr:rowOff>
    </xdr:to>
    <xdr:sp macro="" textlink="AZ42">
      <xdr:nvSpPr>
        <xdr:cNvPr id="14564" name="Text Box 1252"/>
        <xdr:cNvSpPr txBox="1">
          <a:spLocks noChangeArrowheads="1" noTextEdit="1"/>
        </xdr:cNvSpPr>
      </xdr:nvSpPr>
      <xdr:spPr bwMode="auto">
        <a:xfrm>
          <a:off x="12040466" y="725198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407BB80-4AFF-4734-AB11-5B8919FD22A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xdr:row>
      <xdr:rowOff>0</xdr:rowOff>
    </xdr:from>
    <xdr:to>
      <xdr:col>23</xdr:col>
      <xdr:colOff>0</xdr:colOff>
      <xdr:row>43</xdr:row>
      <xdr:rowOff>0</xdr:rowOff>
    </xdr:to>
    <xdr:sp macro="" textlink="AZ43">
      <xdr:nvSpPr>
        <xdr:cNvPr id="14565" name="Text Box 1253"/>
        <xdr:cNvSpPr txBox="1">
          <a:spLocks noChangeArrowheads="1" noTextEdit="1"/>
        </xdr:cNvSpPr>
      </xdr:nvSpPr>
      <xdr:spPr bwMode="auto">
        <a:xfrm>
          <a:off x="12040466" y="741218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FDCAFF4-5964-4AE6-8DC5-F97D7837FD3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xdr:row>
      <xdr:rowOff>0</xdr:rowOff>
    </xdr:from>
    <xdr:to>
      <xdr:col>23</xdr:col>
      <xdr:colOff>0</xdr:colOff>
      <xdr:row>44</xdr:row>
      <xdr:rowOff>0</xdr:rowOff>
    </xdr:to>
    <xdr:sp macro="" textlink="AZ44">
      <xdr:nvSpPr>
        <xdr:cNvPr id="14566" name="Text Box 1254"/>
        <xdr:cNvSpPr txBox="1">
          <a:spLocks noChangeArrowheads="1" noTextEdit="1"/>
        </xdr:cNvSpPr>
      </xdr:nvSpPr>
      <xdr:spPr bwMode="auto">
        <a:xfrm>
          <a:off x="12040466" y="757237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237F551-B3EE-47FD-BEBD-F6AC941271E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xdr:row>
      <xdr:rowOff>0</xdr:rowOff>
    </xdr:from>
    <xdr:to>
      <xdr:col>23</xdr:col>
      <xdr:colOff>0</xdr:colOff>
      <xdr:row>44</xdr:row>
      <xdr:rowOff>160193</xdr:rowOff>
    </xdr:to>
    <xdr:sp macro="" textlink="AZ45">
      <xdr:nvSpPr>
        <xdr:cNvPr id="14567" name="Text Box 1255"/>
        <xdr:cNvSpPr txBox="1">
          <a:spLocks noChangeArrowheads="1" noTextEdit="1"/>
        </xdr:cNvSpPr>
      </xdr:nvSpPr>
      <xdr:spPr bwMode="auto">
        <a:xfrm>
          <a:off x="12040466" y="773256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1F36E7D-9FA1-4DBA-BC60-57CDB384EA6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xdr:row>
      <xdr:rowOff>160193</xdr:rowOff>
    </xdr:from>
    <xdr:to>
      <xdr:col>23</xdr:col>
      <xdr:colOff>0</xdr:colOff>
      <xdr:row>46</xdr:row>
      <xdr:rowOff>0</xdr:rowOff>
    </xdr:to>
    <xdr:sp macro="" textlink="AZ46">
      <xdr:nvSpPr>
        <xdr:cNvPr id="14568" name="Text Box 1256"/>
        <xdr:cNvSpPr txBox="1">
          <a:spLocks noChangeArrowheads="1" noTextEdit="1"/>
        </xdr:cNvSpPr>
      </xdr:nvSpPr>
      <xdr:spPr bwMode="auto">
        <a:xfrm>
          <a:off x="12040466" y="789276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2601EA69-82F3-4DE8-A7EF-145FA4AE6C7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xdr:row>
      <xdr:rowOff>0</xdr:rowOff>
    </xdr:from>
    <xdr:to>
      <xdr:col>23</xdr:col>
      <xdr:colOff>0</xdr:colOff>
      <xdr:row>47</xdr:row>
      <xdr:rowOff>0</xdr:rowOff>
    </xdr:to>
    <xdr:sp macro="" textlink="AZ47">
      <xdr:nvSpPr>
        <xdr:cNvPr id="14569" name="Text Box 1257"/>
        <xdr:cNvSpPr txBox="1">
          <a:spLocks noChangeArrowheads="1" noTextEdit="1"/>
        </xdr:cNvSpPr>
      </xdr:nvSpPr>
      <xdr:spPr bwMode="auto">
        <a:xfrm>
          <a:off x="12040466" y="805295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2AF5710-79D9-421F-B88B-D4755045E11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xdr:row>
      <xdr:rowOff>0</xdr:rowOff>
    </xdr:from>
    <xdr:to>
      <xdr:col>23</xdr:col>
      <xdr:colOff>0</xdr:colOff>
      <xdr:row>48</xdr:row>
      <xdr:rowOff>0</xdr:rowOff>
    </xdr:to>
    <xdr:sp macro="" textlink="AZ48">
      <xdr:nvSpPr>
        <xdr:cNvPr id="14570" name="Text Box 1258"/>
        <xdr:cNvSpPr txBox="1">
          <a:spLocks noChangeArrowheads="1" noTextEdit="1"/>
        </xdr:cNvSpPr>
      </xdr:nvSpPr>
      <xdr:spPr bwMode="auto">
        <a:xfrm>
          <a:off x="12040466" y="821314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91ED0E5-5E2A-4875-8F94-B9BD5990A0E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xdr:row>
      <xdr:rowOff>0</xdr:rowOff>
    </xdr:from>
    <xdr:to>
      <xdr:col>23</xdr:col>
      <xdr:colOff>0</xdr:colOff>
      <xdr:row>49</xdr:row>
      <xdr:rowOff>0</xdr:rowOff>
    </xdr:to>
    <xdr:sp macro="" textlink="AZ49">
      <xdr:nvSpPr>
        <xdr:cNvPr id="14571" name="Text Box 1259"/>
        <xdr:cNvSpPr txBox="1">
          <a:spLocks noChangeArrowheads="1" noTextEdit="1"/>
        </xdr:cNvSpPr>
      </xdr:nvSpPr>
      <xdr:spPr bwMode="auto">
        <a:xfrm>
          <a:off x="12040466" y="837334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1945908-FEAB-4719-9CEE-645EBE262F3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xdr:row>
      <xdr:rowOff>0</xdr:rowOff>
    </xdr:from>
    <xdr:to>
      <xdr:col>23</xdr:col>
      <xdr:colOff>0</xdr:colOff>
      <xdr:row>49</xdr:row>
      <xdr:rowOff>160193</xdr:rowOff>
    </xdr:to>
    <xdr:sp macro="" textlink="AZ50">
      <xdr:nvSpPr>
        <xdr:cNvPr id="14572" name="Text Box 1260"/>
        <xdr:cNvSpPr txBox="1">
          <a:spLocks noChangeArrowheads="1" noTextEdit="1"/>
        </xdr:cNvSpPr>
      </xdr:nvSpPr>
      <xdr:spPr bwMode="auto">
        <a:xfrm>
          <a:off x="12040466" y="853353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E39FA4B-2F40-4D1B-826F-C9846CD1BD6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xdr:row>
      <xdr:rowOff>160193</xdr:rowOff>
    </xdr:from>
    <xdr:to>
      <xdr:col>23</xdr:col>
      <xdr:colOff>0</xdr:colOff>
      <xdr:row>50</xdr:row>
      <xdr:rowOff>160193</xdr:rowOff>
    </xdr:to>
    <xdr:sp macro="" textlink="AZ51">
      <xdr:nvSpPr>
        <xdr:cNvPr id="14573" name="Text Box 1261"/>
        <xdr:cNvSpPr txBox="1">
          <a:spLocks noChangeArrowheads="1" noTextEdit="1"/>
        </xdr:cNvSpPr>
      </xdr:nvSpPr>
      <xdr:spPr bwMode="auto">
        <a:xfrm>
          <a:off x="12040466" y="869372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A96E553-93C9-48ED-B3B2-CF76D5DFC88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xdr:row>
      <xdr:rowOff>160193</xdr:rowOff>
    </xdr:from>
    <xdr:to>
      <xdr:col>23</xdr:col>
      <xdr:colOff>0</xdr:colOff>
      <xdr:row>52</xdr:row>
      <xdr:rowOff>0</xdr:rowOff>
    </xdr:to>
    <xdr:sp macro="" textlink="AZ52">
      <xdr:nvSpPr>
        <xdr:cNvPr id="14574" name="Text Box 1262"/>
        <xdr:cNvSpPr txBox="1">
          <a:spLocks noChangeArrowheads="1" noTextEdit="1"/>
        </xdr:cNvSpPr>
      </xdr:nvSpPr>
      <xdr:spPr bwMode="auto">
        <a:xfrm>
          <a:off x="12040466" y="885392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07AA7DCF-CDB5-4930-AB0F-52FF5DD423D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52</xdr:row>
      <xdr:rowOff>0</xdr:rowOff>
    </xdr:from>
    <xdr:to>
      <xdr:col>23</xdr:col>
      <xdr:colOff>0</xdr:colOff>
      <xdr:row>53</xdr:row>
      <xdr:rowOff>0</xdr:rowOff>
    </xdr:to>
    <xdr:sp macro="" textlink="AZ53">
      <xdr:nvSpPr>
        <xdr:cNvPr id="14575" name="Text Box 1263"/>
        <xdr:cNvSpPr txBox="1">
          <a:spLocks noChangeArrowheads="1" noTextEdit="1"/>
        </xdr:cNvSpPr>
      </xdr:nvSpPr>
      <xdr:spPr bwMode="auto">
        <a:xfrm>
          <a:off x="12040466" y="901411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A3482BF-29AB-4793-8294-7AEAAF1DD4C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53</xdr:row>
      <xdr:rowOff>0</xdr:rowOff>
    </xdr:from>
    <xdr:to>
      <xdr:col>23</xdr:col>
      <xdr:colOff>0</xdr:colOff>
      <xdr:row>54</xdr:row>
      <xdr:rowOff>0</xdr:rowOff>
    </xdr:to>
    <xdr:sp macro="" textlink="AZ54">
      <xdr:nvSpPr>
        <xdr:cNvPr id="14576" name="Text Box 1266"/>
        <xdr:cNvSpPr txBox="1">
          <a:spLocks noChangeArrowheads="1" noTextEdit="1"/>
        </xdr:cNvSpPr>
      </xdr:nvSpPr>
      <xdr:spPr bwMode="auto">
        <a:xfrm>
          <a:off x="12040466" y="917430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D2122E1-71D9-44F6-A12E-999E3962784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54</xdr:row>
      <xdr:rowOff>1</xdr:rowOff>
    </xdr:from>
    <xdr:to>
      <xdr:col>23</xdr:col>
      <xdr:colOff>0</xdr:colOff>
      <xdr:row>55</xdr:row>
      <xdr:rowOff>0</xdr:rowOff>
    </xdr:to>
    <xdr:sp macro="" textlink="AZ55">
      <xdr:nvSpPr>
        <xdr:cNvPr id="14577" name="Text Box 1265"/>
        <xdr:cNvSpPr txBox="1">
          <a:spLocks noChangeArrowheads="1" noTextEdit="1"/>
        </xdr:cNvSpPr>
      </xdr:nvSpPr>
      <xdr:spPr bwMode="auto">
        <a:xfrm>
          <a:off x="12040466" y="9334501"/>
          <a:ext cx="2333625" cy="160192"/>
        </a:xfrm>
        <a:prstGeom prst="rect">
          <a:avLst/>
        </a:prstGeom>
        <a:noFill/>
        <a:ln w="9525" algn="ctr">
          <a:noFill/>
          <a:miter lim="800000"/>
          <a:headEnd/>
          <a:tailEnd/>
        </a:ln>
        <a:effectLst/>
      </xdr:spPr>
      <xdr:txBody>
        <a:bodyPr vertOverflow="clip" horzOverflow="clip" lIns="72000" tIns="36000" rIns="36000" bIns="36000" anchor="ctr"/>
        <a:lstStyle/>
        <a:p>
          <a:pPr algn="l"/>
          <a:fld id="{5A02A51C-12BA-4C18-BB76-AF13DC0ED59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55</xdr:row>
      <xdr:rowOff>0</xdr:rowOff>
    </xdr:from>
    <xdr:to>
      <xdr:col>23</xdr:col>
      <xdr:colOff>0</xdr:colOff>
      <xdr:row>55</xdr:row>
      <xdr:rowOff>160193</xdr:rowOff>
    </xdr:to>
    <xdr:sp macro="" textlink="AZ56">
      <xdr:nvSpPr>
        <xdr:cNvPr id="14579" name="Text Box 1267"/>
        <xdr:cNvSpPr txBox="1">
          <a:spLocks noChangeArrowheads="1" noTextEdit="1"/>
        </xdr:cNvSpPr>
      </xdr:nvSpPr>
      <xdr:spPr bwMode="auto">
        <a:xfrm>
          <a:off x="12040466" y="949469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D3FAC9E-40B9-4D4F-9230-4EEF7B3CB79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56</xdr:row>
      <xdr:rowOff>1</xdr:rowOff>
    </xdr:from>
    <xdr:to>
      <xdr:col>23</xdr:col>
      <xdr:colOff>0</xdr:colOff>
      <xdr:row>57</xdr:row>
      <xdr:rowOff>1</xdr:rowOff>
    </xdr:to>
    <xdr:sp macro="" textlink="AZ57">
      <xdr:nvSpPr>
        <xdr:cNvPr id="14580" name="Text Box 1268"/>
        <xdr:cNvSpPr txBox="1">
          <a:spLocks noChangeArrowheads="1" noTextEdit="1"/>
        </xdr:cNvSpPr>
      </xdr:nvSpPr>
      <xdr:spPr bwMode="auto">
        <a:xfrm>
          <a:off x="12040466" y="9654887"/>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BE4E7525-C6D0-4DE1-9F8E-5CF0BF93A52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57</xdr:row>
      <xdr:rowOff>0</xdr:rowOff>
    </xdr:from>
    <xdr:to>
      <xdr:col>23</xdr:col>
      <xdr:colOff>0</xdr:colOff>
      <xdr:row>58</xdr:row>
      <xdr:rowOff>0</xdr:rowOff>
    </xdr:to>
    <xdr:sp macro="" textlink="AZ58">
      <xdr:nvSpPr>
        <xdr:cNvPr id="14581" name="Text Box 1269"/>
        <xdr:cNvSpPr txBox="1">
          <a:spLocks noChangeArrowheads="1" noTextEdit="1"/>
        </xdr:cNvSpPr>
      </xdr:nvSpPr>
      <xdr:spPr bwMode="auto">
        <a:xfrm>
          <a:off x="12040466" y="981508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276C86D-43D4-4FDD-80F1-DA87D4BED3C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58</xdr:row>
      <xdr:rowOff>0</xdr:rowOff>
    </xdr:from>
    <xdr:to>
      <xdr:col>23</xdr:col>
      <xdr:colOff>0</xdr:colOff>
      <xdr:row>59</xdr:row>
      <xdr:rowOff>0</xdr:rowOff>
    </xdr:to>
    <xdr:sp macro="" textlink="AZ59">
      <xdr:nvSpPr>
        <xdr:cNvPr id="14582" name="Text Box 1270"/>
        <xdr:cNvSpPr txBox="1">
          <a:spLocks noChangeArrowheads="1" noTextEdit="1"/>
        </xdr:cNvSpPr>
      </xdr:nvSpPr>
      <xdr:spPr bwMode="auto">
        <a:xfrm>
          <a:off x="12040466" y="997527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55D7972-62D5-4BA9-A2B2-353A88810E1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59</xdr:row>
      <xdr:rowOff>0</xdr:rowOff>
    </xdr:from>
    <xdr:to>
      <xdr:col>23</xdr:col>
      <xdr:colOff>0</xdr:colOff>
      <xdr:row>60</xdr:row>
      <xdr:rowOff>0</xdr:rowOff>
    </xdr:to>
    <xdr:sp macro="" textlink="AZ60">
      <xdr:nvSpPr>
        <xdr:cNvPr id="14583" name="Text Box 1271"/>
        <xdr:cNvSpPr txBox="1">
          <a:spLocks noChangeArrowheads="1" noTextEdit="1"/>
        </xdr:cNvSpPr>
      </xdr:nvSpPr>
      <xdr:spPr bwMode="auto">
        <a:xfrm>
          <a:off x="12040466" y="1013546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4693322-CF15-43EA-A65B-E9D91CC4923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60</xdr:row>
      <xdr:rowOff>0</xdr:rowOff>
    </xdr:from>
    <xdr:to>
      <xdr:col>23</xdr:col>
      <xdr:colOff>0</xdr:colOff>
      <xdr:row>60</xdr:row>
      <xdr:rowOff>160193</xdr:rowOff>
    </xdr:to>
    <xdr:sp macro="" textlink="AZ61">
      <xdr:nvSpPr>
        <xdr:cNvPr id="14584" name="Text Box 1272"/>
        <xdr:cNvSpPr txBox="1">
          <a:spLocks noChangeArrowheads="1" noTextEdit="1"/>
        </xdr:cNvSpPr>
      </xdr:nvSpPr>
      <xdr:spPr bwMode="auto">
        <a:xfrm>
          <a:off x="12040466" y="1029565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6F3E23B-E8B9-4C05-B60C-AAFFE9C468B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60</xdr:row>
      <xdr:rowOff>160193</xdr:rowOff>
    </xdr:from>
    <xdr:to>
      <xdr:col>23</xdr:col>
      <xdr:colOff>0</xdr:colOff>
      <xdr:row>61</xdr:row>
      <xdr:rowOff>160193</xdr:rowOff>
    </xdr:to>
    <xdr:sp macro="" textlink="AZ62">
      <xdr:nvSpPr>
        <xdr:cNvPr id="14585" name="Text Box 1273"/>
        <xdr:cNvSpPr txBox="1">
          <a:spLocks noChangeArrowheads="1" noTextEdit="1"/>
        </xdr:cNvSpPr>
      </xdr:nvSpPr>
      <xdr:spPr bwMode="auto">
        <a:xfrm>
          <a:off x="12040466" y="1045585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E53AE95-62F4-4D84-9CF1-09316661B04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61</xdr:row>
      <xdr:rowOff>160193</xdr:rowOff>
    </xdr:from>
    <xdr:to>
      <xdr:col>23</xdr:col>
      <xdr:colOff>0</xdr:colOff>
      <xdr:row>63</xdr:row>
      <xdr:rowOff>0</xdr:rowOff>
    </xdr:to>
    <xdr:sp macro="" textlink="AZ63">
      <xdr:nvSpPr>
        <xdr:cNvPr id="14586" name="Text Box 1277"/>
        <xdr:cNvSpPr txBox="1">
          <a:spLocks noChangeArrowheads="1" noTextEdit="1"/>
        </xdr:cNvSpPr>
      </xdr:nvSpPr>
      <xdr:spPr bwMode="auto">
        <a:xfrm>
          <a:off x="12040466" y="1061604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69F1E3C7-10F2-4B31-9155-9788817CF8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4</xdr:col>
      <xdr:colOff>4360</xdr:colOff>
      <xdr:row>4</xdr:row>
      <xdr:rowOff>145141</xdr:rowOff>
    </xdr:from>
    <xdr:to>
      <xdr:col>14</xdr:col>
      <xdr:colOff>0</xdr:colOff>
      <xdr:row>10</xdr:row>
      <xdr:rowOff>36284</xdr:rowOff>
    </xdr:to>
    <xdr:sp macro="" textlink="$S$551">
      <xdr:nvSpPr>
        <xdr:cNvPr id="14605" name="Text Box 1293"/>
        <xdr:cNvSpPr txBox="1">
          <a:spLocks noChangeArrowheads="1" noTextEdit="1"/>
        </xdr:cNvSpPr>
      </xdr:nvSpPr>
      <xdr:spPr bwMode="auto">
        <a:xfrm>
          <a:off x="503289" y="3102427"/>
          <a:ext cx="11452854" cy="471714"/>
        </a:xfrm>
        <a:prstGeom prst="rect">
          <a:avLst/>
        </a:prstGeom>
        <a:solidFill>
          <a:srgbClr val="004680"/>
        </a:solidFill>
        <a:ln w="9525" algn="ctr">
          <a:noFill/>
          <a:miter lim="800000"/>
          <a:headEnd/>
          <a:tailEnd/>
        </a:ln>
        <a:effectLst/>
      </xdr:spPr>
      <xdr:txBody>
        <a:bodyPr anchor="ctr"/>
        <a:lstStyle/>
        <a:p>
          <a:pPr algn="l"/>
          <a:fld id="{06176B19-3745-4FC7-BF9A-EED700E35268}" type="TxLink">
            <a:rPr lang="en-AU" sz="1200" b="1" i="0" u="none" strike="noStrike">
              <a:solidFill>
                <a:schemeClr val="bg1"/>
              </a:solidFill>
              <a:latin typeface="Inter" panose="020B0502030000000004" pitchFamily="34" charset="0"/>
              <a:ea typeface="Inter" panose="020B0502030000000004" pitchFamily="34" charset="0"/>
              <a:cs typeface="Arial"/>
            </a:rPr>
            <a:pPr algn="l"/>
            <a:t>1.  ENTER BUILDING NAME AND DESCRIPTION BELOW - identifying the particular part(s) covered by this assessment.</a:t>
          </a:fld>
          <a:endParaRPr lang="en-AU" sz="1200" b="1" i="0">
            <a:solidFill>
              <a:schemeClr val="bg1"/>
            </a:solidFill>
            <a:latin typeface="Inter" panose="020B0502030000000004" pitchFamily="34" charset="0"/>
            <a:ea typeface="Inter" panose="020B0502030000000004" pitchFamily="34" charset="0"/>
          </a:endParaRPr>
        </a:p>
      </xdr:txBody>
    </xdr:sp>
    <xdr:clientData/>
  </xdr:twoCellAnchor>
  <xdr:twoCellAnchor>
    <xdr:from>
      <xdr:col>22</xdr:col>
      <xdr:colOff>0</xdr:colOff>
      <xdr:row>526</xdr:row>
      <xdr:rowOff>0</xdr:rowOff>
    </xdr:from>
    <xdr:to>
      <xdr:col>23</xdr:col>
      <xdr:colOff>0</xdr:colOff>
      <xdr:row>527</xdr:row>
      <xdr:rowOff>0</xdr:rowOff>
    </xdr:to>
    <xdr:sp macro="" textlink="">
      <xdr:nvSpPr>
        <xdr:cNvPr id="14614" name="Rectangle 1302"/>
        <xdr:cNvSpPr>
          <a:spLocks noChangeArrowheads="1"/>
        </xdr:cNvSpPr>
      </xdr:nvSpPr>
      <xdr:spPr bwMode="auto">
        <a:xfrm>
          <a:off x="13306425" y="5524500"/>
          <a:ext cx="1400175" cy="1038225"/>
        </a:xfrm>
        <a:prstGeom prst="rect">
          <a:avLst/>
        </a:prstGeom>
        <a:noFill/>
        <a:ln w="9525">
          <a:solidFill>
            <a:srgbClr val="000000"/>
          </a:solidFill>
          <a:miter lim="800000"/>
          <a:headEnd/>
          <a:tailEnd/>
        </a:ln>
        <a:effectLst/>
      </xdr:spPr>
      <xdr:txBody>
        <a:bodyPr/>
        <a:lstStyle/>
        <a:p>
          <a:endParaRPr lang="en-AU"/>
        </a:p>
      </xdr:txBody>
    </xdr:sp>
    <xdr:clientData/>
  </xdr:twoCellAnchor>
  <xdr:twoCellAnchor>
    <xdr:from>
      <xdr:col>22</xdr:col>
      <xdr:colOff>0</xdr:colOff>
      <xdr:row>526</xdr:row>
      <xdr:rowOff>0</xdr:rowOff>
    </xdr:from>
    <xdr:to>
      <xdr:col>23</xdr:col>
      <xdr:colOff>0</xdr:colOff>
      <xdr:row>527</xdr:row>
      <xdr:rowOff>0</xdr:rowOff>
    </xdr:to>
    <xdr:sp macro="" textlink="">
      <xdr:nvSpPr>
        <xdr:cNvPr id="14615" name="Rectangle 1303"/>
        <xdr:cNvSpPr>
          <a:spLocks noChangeArrowheads="1"/>
        </xdr:cNvSpPr>
      </xdr:nvSpPr>
      <xdr:spPr bwMode="auto">
        <a:xfrm>
          <a:off x="12858750" y="20728781"/>
          <a:ext cx="1226344" cy="1071563"/>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p>
      </xdr:txBody>
    </xdr:sp>
    <xdr:clientData/>
  </xdr:twoCellAnchor>
  <xdr:twoCellAnchor>
    <xdr:from>
      <xdr:col>16</xdr:col>
      <xdr:colOff>4281</xdr:colOff>
      <xdr:row>12</xdr:row>
      <xdr:rowOff>0</xdr:rowOff>
    </xdr:from>
    <xdr:to>
      <xdr:col>23</xdr:col>
      <xdr:colOff>0</xdr:colOff>
      <xdr:row>18</xdr:row>
      <xdr:rowOff>0</xdr:rowOff>
    </xdr:to>
    <xdr:sp macro="" textlink="GeneralAdviceOne">
      <xdr:nvSpPr>
        <xdr:cNvPr id="20416" name="Text Box 4032"/>
        <xdr:cNvSpPr txBox="1">
          <a:spLocks noChangeArrowheads="1" noTextEdit="1"/>
        </xdr:cNvSpPr>
      </xdr:nvSpPr>
      <xdr:spPr bwMode="auto">
        <a:xfrm>
          <a:off x="10396163" y="1080927"/>
          <a:ext cx="5924764" cy="353174"/>
        </a:xfrm>
        <a:prstGeom prst="rect">
          <a:avLst/>
        </a:prstGeom>
        <a:noFill/>
        <a:ln w="9525" algn="ctr">
          <a:noFill/>
          <a:miter lim="800000"/>
          <a:headEnd/>
          <a:tailEnd/>
        </a:ln>
        <a:effectLst/>
      </xdr:spPr>
      <xdr:txBody>
        <a:bodyPr vertOverflow="clip" wrap="square" lIns="72000" tIns="36000" rIns="36000" bIns="0" anchor="t" upright="1"/>
        <a:lstStyle/>
        <a:p>
          <a:pPr algn="l" rtl="0">
            <a:defRPr sz="1000"/>
          </a:pPr>
          <a:fld id="{7020A80E-47B9-4DDD-B0A9-601A56D67CD8}" type="TxLink">
            <a:rPr lang="en-AU" sz="1000" b="1" i="1" u="none" strike="noStrike" baseline="0">
              <a:solidFill>
                <a:sysClr val="windowText" lastClr="000000"/>
              </a:solidFill>
              <a:latin typeface="Arial"/>
              <a:cs typeface="Arial"/>
            </a:rPr>
            <a:pPr algn="l" rtl="0">
              <a:defRPr sz="1000"/>
            </a:pPr>
            <a:t> </a:t>
          </a:fld>
          <a:endParaRPr lang="en-AU" sz="1000" b="1" i="1" u="none" strike="noStrike" baseline="0">
            <a:solidFill>
              <a:sysClr val="windowText" lastClr="000000"/>
            </a:solidFill>
            <a:latin typeface="Arial"/>
            <a:cs typeface="Arial"/>
          </a:endParaRPr>
        </a:p>
      </xdr:txBody>
    </xdr:sp>
    <xdr:clientData/>
  </xdr:twoCellAnchor>
  <xdr:twoCellAnchor>
    <xdr:from>
      <xdr:col>21</xdr:col>
      <xdr:colOff>0</xdr:colOff>
      <xdr:row>121</xdr:row>
      <xdr:rowOff>160193</xdr:rowOff>
    </xdr:from>
    <xdr:to>
      <xdr:col>23</xdr:col>
      <xdr:colOff>0</xdr:colOff>
      <xdr:row>123</xdr:row>
      <xdr:rowOff>0</xdr:rowOff>
    </xdr:to>
    <xdr:sp macro="" textlink="AZ123">
      <xdr:nvSpPr>
        <xdr:cNvPr id="28764" name="Text Box 7260"/>
        <xdr:cNvSpPr txBox="1">
          <a:spLocks noChangeArrowheads="1" noTextEdit="1"/>
        </xdr:cNvSpPr>
      </xdr:nvSpPr>
      <xdr:spPr bwMode="auto">
        <a:xfrm>
          <a:off x="12040466" y="20227636"/>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35556800-903C-4FD5-A3D3-4A597184678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63</xdr:row>
      <xdr:rowOff>0</xdr:rowOff>
    </xdr:from>
    <xdr:to>
      <xdr:col>23</xdr:col>
      <xdr:colOff>0</xdr:colOff>
      <xdr:row>64</xdr:row>
      <xdr:rowOff>0</xdr:rowOff>
    </xdr:to>
    <xdr:sp macro="" textlink="AZ64">
      <xdr:nvSpPr>
        <xdr:cNvPr id="28765" name="Text Box 7261"/>
        <xdr:cNvSpPr txBox="1">
          <a:spLocks noChangeArrowheads="1" noTextEdit="1"/>
        </xdr:cNvSpPr>
      </xdr:nvSpPr>
      <xdr:spPr bwMode="auto">
        <a:xfrm>
          <a:off x="12040466" y="1077623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CC7C8D7-C15C-44B9-8FC8-CC3D571DC04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64</xdr:row>
      <xdr:rowOff>0</xdr:rowOff>
    </xdr:from>
    <xdr:to>
      <xdr:col>23</xdr:col>
      <xdr:colOff>0</xdr:colOff>
      <xdr:row>65</xdr:row>
      <xdr:rowOff>0</xdr:rowOff>
    </xdr:to>
    <xdr:sp macro="" textlink="AZ65">
      <xdr:nvSpPr>
        <xdr:cNvPr id="28766" name="Text Box 7262"/>
        <xdr:cNvSpPr txBox="1">
          <a:spLocks noChangeArrowheads="1" noTextEdit="1"/>
        </xdr:cNvSpPr>
      </xdr:nvSpPr>
      <xdr:spPr bwMode="auto">
        <a:xfrm>
          <a:off x="12040466" y="1093643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A40757F-5F82-4C3B-9483-7C8DA267AD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65</xdr:row>
      <xdr:rowOff>0</xdr:rowOff>
    </xdr:from>
    <xdr:to>
      <xdr:col>23</xdr:col>
      <xdr:colOff>0</xdr:colOff>
      <xdr:row>66</xdr:row>
      <xdr:rowOff>0</xdr:rowOff>
    </xdr:to>
    <xdr:sp macro="" textlink="AZ66">
      <xdr:nvSpPr>
        <xdr:cNvPr id="28767" name="Text Box 7263"/>
        <xdr:cNvSpPr txBox="1">
          <a:spLocks noChangeArrowheads="1" noTextEdit="1"/>
        </xdr:cNvSpPr>
      </xdr:nvSpPr>
      <xdr:spPr bwMode="auto">
        <a:xfrm>
          <a:off x="12040466" y="1109662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434784C-C11D-4962-9E28-2025BA5E83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66</xdr:row>
      <xdr:rowOff>0</xdr:rowOff>
    </xdr:from>
    <xdr:to>
      <xdr:col>23</xdr:col>
      <xdr:colOff>0</xdr:colOff>
      <xdr:row>66</xdr:row>
      <xdr:rowOff>160193</xdr:rowOff>
    </xdr:to>
    <xdr:sp macro="" textlink="AZ67">
      <xdr:nvSpPr>
        <xdr:cNvPr id="28768" name="Text Box 7264"/>
        <xdr:cNvSpPr txBox="1">
          <a:spLocks noChangeArrowheads="1" noTextEdit="1"/>
        </xdr:cNvSpPr>
      </xdr:nvSpPr>
      <xdr:spPr bwMode="auto">
        <a:xfrm>
          <a:off x="12040466" y="1125681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5E87798-1A73-448A-9247-37CBAFE9AD4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66</xdr:row>
      <xdr:rowOff>160193</xdr:rowOff>
    </xdr:from>
    <xdr:to>
      <xdr:col>23</xdr:col>
      <xdr:colOff>0</xdr:colOff>
      <xdr:row>68</xdr:row>
      <xdr:rowOff>0</xdr:rowOff>
    </xdr:to>
    <xdr:sp macro="" textlink="AZ68">
      <xdr:nvSpPr>
        <xdr:cNvPr id="28769" name="Text Box 7265"/>
        <xdr:cNvSpPr txBox="1">
          <a:spLocks noChangeArrowheads="1" noTextEdit="1"/>
        </xdr:cNvSpPr>
      </xdr:nvSpPr>
      <xdr:spPr bwMode="auto">
        <a:xfrm>
          <a:off x="12040466" y="1141701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D4F8F572-94DC-4EAE-88A3-8D499B64BA2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68</xdr:row>
      <xdr:rowOff>0</xdr:rowOff>
    </xdr:from>
    <xdr:to>
      <xdr:col>23</xdr:col>
      <xdr:colOff>0</xdr:colOff>
      <xdr:row>69</xdr:row>
      <xdr:rowOff>0</xdr:rowOff>
    </xdr:to>
    <xdr:sp macro="" textlink="AZ69">
      <xdr:nvSpPr>
        <xdr:cNvPr id="28770" name="Text Box 7266"/>
        <xdr:cNvSpPr txBox="1">
          <a:spLocks noChangeArrowheads="1" noTextEdit="1"/>
        </xdr:cNvSpPr>
      </xdr:nvSpPr>
      <xdr:spPr bwMode="auto">
        <a:xfrm>
          <a:off x="12040466" y="1157720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1B36E3D-4128-48FE-86A4-E01A46F3906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69</xdr:row>
      <xdr:rowOff>0</xdr:rowOff>
    </xdr:from>
    <xdr:to>
      <xdr:col>23</xdr:col>
      <xdr:colOff>0</xdr:colOff>
      <xdr:row>70</xdr:row>
      <xdr:rowOff>0</xdr:rowOff>
    </xdr:to>
    <xdr:sp macro="" textlink="AZ70">
      <xdr:nvSpPr>
        <xdr:cNvPr id="28771" name="Text Box 7267"/>
        <xdr:cNvSpPr txBox="1">
          <a:spLocks noChangeArrowheads="1" noTextEdit="1"/>
        </xdr:cNvSpPr>
      </xdr:nvSpPr>
      <xdr:spPr bwMode="auto">
        <a:xfrm>
          <a:off x="12040466" y="1173739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DC613FCD-7049-4378-8D2E-92E5D77634B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70</xdr:row>
      <xdr:rowOff>0</xdr:rowOff>
    </xdr:from>
    <xdr:to>
      <xdr:col>23</xdr:col>
      <xdr:colOff>0</xdr:colOff>
      <xdr:row>71</xdr:row>
      <xdr:rowOff>0</xdr:rowOff>
    </xdr:to>
    <xdr:sp macro="" textlink="AZ71">
      <xdr:nvSpPr>
        <xdr:cNvPr id="28772" name="Text Box 7268"/>
        <xdr:cNvSpPr txBox="1">
          <a:spLocks noChangeArrowheads="1" noTextEdit="1"/>
        </xdr:cNvSpPr>
      </xdr:nvSpPr>
      <xdr:spPr bwMode="auto">
        <a:xfrm>
          <a:off x="12040466" y="1189759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1A6FE32-A9C9-4325-8DBE-89073186C41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71</xdr:row>
      <xdr:rowOff>0</xdr:rowOff>
    </xdr:from>
    <xdr:to>
      <xdr:col>23</xdr:col>
      <xdr:colOff>0</xdr:colOff>
      <xdr:row>71</xdr:row>
      <xdr:rowOff>160193</xdr:rowOff>
    </xdr:to>
    <xdr:sp macro="" textlink="AZ72">
      <xdr:nvSpPr>
        <xdr:cNvPr id="28773" name="Text Box 7269"/>
        <xdr:cNvSpPr txBox="1">
          <a:spLocks noChangeArrowheads="1" noTextEdit="1"/>
        </xdr:cNvSpPr>
      </xdr:nvSpPr>
      <xdr:spPr bwMode="auto">
        <a:xfrm>
          <a:off x="12040466" y="1205778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F3BA3913-F629-4CC3-BAAB-2B0A61A54AC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71</xdr:row>
      <xdr:rowOff>160193</xdr:rowOff>
    </xdr:from>
    <xdr:to>
      <xdr:col>23</xdr:col>
      <xdr:colOff>0</xdr:colOff>
      <xdr:row>72</xdr:row>
      <xdr:rowOff>160193</xdr:rowOff>
    </xdr:to>
    <xdr:sp macro="" textlink="AZ73">
      <xdr:nvSpPr>
        <xdr:cNvPr id="28774" name="Text Box 7270"/>
        <xdr:cNvSpPr txBox="1">
          <a:spLocks noChangeArrowheads="1" noTextEdit="1"/>
        </xdr:cNvSpPr>
      </xdr:nvSpPr>
      <xdr:spPr bwMode="auto">
        <a:xfrm>
          <a:off x="12040466" y="1221797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60AFBD7-711D-485D-809E-3BBC2B44F77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72</xdr:row>
      <xdr:rowOff>160193</xdr:rowOff>
    </xdr:from>
    <xdr:to>
      <xdr:col>23</xdr:col>
      <xdr:colOff>0</xdr:colOff>
      <xdr:row>74</xdr:row>
      <xdr:rowOff>0</xdr:rowOff>
    </xdr:to>
    <xdr:sp macro="" textlink="AZ74">
      <xdr:nvSpPr>
        <xdr:cNvPr id="28775" name="Text Box 7271"/>
        <xdr:cNvSpPr txBox="1">
          <a:spLocks noChangeArrowheads="1" noTextEdit="1"/>
        </xdr:cNvSpPr>
      </xdr:nvSpPr>
      <xdr:spPr bwMode="auto">
        <a:xfrm>
          <a:off x="12040466" y="123781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6EC2E6E7-5302-4861-A366-179E8089483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74</xdr:row>
      <xdr:rowOff>0</xdr:rowOff>
    </xdr:from>
    <xdr:to>
      <xdr:col>23</xdr:col>
      <xdr:colOff>0</xdr:colOff>
      <xdr:row>75</xdr:row>
      <xdr:rowOff>0</xdr:rowOff>
    </xdr:to>
    <xdr:sp macro="" textlink="AZ75">
      <xdr:nvSpPr>
        <xdr:cNvPr id="28776" name="Text Box 7272"/>
        <xdr:cNvSpPr txBox="1">
          <a:spLocks noChangeArrowheads="1" noTextEdit="1"/>
        </xdr:cNvSpPr>
      </xdr:nvSpPr>
      <xdr:spPr bwMode="auto">
        <a:xfrm>
          <a:off x="12040466" y="125383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161D0AF-CDA3-4878-8D1F-AC6B96CEEFB6}" type="TxLink">
            <a:rPr lang="en-US"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21</xdr:col>
      <xdr:colOff>0</xdr:colOff>
      <xdr:row>75</xdr:row>
      <xdr:rowOff>0</xdr:rowOff>
    </xdr:from>
    <xdr:to>
      <xdr:col>23</xdr:col>
      <xdr:colOff>0</xdr:colOff>
      <xdr:row>76</xdr:row>
      <xdr:rowOff>0</xdr:rowOff>
    </xdr:to>
    <xdr:sp macro="" textlink="AZ76">
      <xdr:nvSpPr>
        <xdr:cNvPr id="28777" name="Text Box 7273"/>
        <xdr:cNvSpPr txBox="1">
          <a:spLocks noChangeArrowheads="1" noTextEdit="1"/>
        </xdr:cNvSpPr>
      </xdr:nvSpPr>
      <xdr:spPr bwMode="auto">
        <a:xfrm>
          <a:off x="12040466" y="126985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7E97D17-AC9B-42FA-BBE9-C653178DA31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76</xdr:row>
      <xdr:rowOff>0</xdr:rowOff>
    </xdr:from>
    <xdr:to>
      <xdr:col>23</xdr:col>
      <xdr:colOff>0</xdr:colOff>
      <xdr:row>77</xdr:row>
      <xdr:rowOff>0</xdr:rowOff>
    </xdr:to>
    <xdr:sp macro="" textlink="AZ77">
      <xdr:nvSpPr>
        <xdr:cNvPr id="28778" name="Text Box 7274"/>
        <xdr:cNvSpPr txBox="1">
          <a:spLocks noChangeArrowheads="1" noTextEdit="1"/>
        </xdr:cNvSpPr>
      </xdr:nvSpPr>
      <xdr:spPr bwMode="auto">
        <a:xfrm>
          <a:off x="12040466" y="1285875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80E8079-9193-4B68-B4E8-37826419D93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77</xdr:row>
      <xdr:rowOff>0</xdr:rowOff>
    </xdr:from>
    <xdr:to>
      <xdr:col>23</xdr:col>
      <xdr:colOff>0</xdr:colOff>
      <xdr:row>77</xdr:row>
      <xdr:rowOff>160193</xdr:rowOff>
    </xdr:to>
    <xdr:sp macro="" textlink="AZ78">
      <xdr:nvSpPr>
        <xdr:cNvPr id="28779" name="Text Box 7275"/>
        <xdr:cNvSpPr txBox="1">
          <a:spLocks noChangeArrowheads="1" noTextEdit="1"/>
        </xdr:cNvSpPr>
      </xdr:nvSpPr>
      <xdr:spPr bwMode="auto">
        <a:xfrm>
          <a:off x="12040466" y="130189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4289169-9D73-469F-AFE3-B3F74D46D8A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78</xdr:row>
      <xdr:rowOff>1</xdr:rowOff>
    </xdr:from>
    <xdr:to>
      <xdr:col>23</xdr:col>
      <xdr:colOff>0</xdr:colOff>
      <xdr:row>79</xdr:row>
      <xdr:rowOff>0</xdr:rowOff>
    </xdr:to>
    <xdr:sp macro="" textlink="AZ79">
      <xdr:nvSpPr>
        <xdr:cNvPr id="28780" name="Text Box 7276"/>
        <xdr:cNvSpPr txBox="1">
          <a:spLocks noChangeArrowheads="1" noTextEdit="1"/>
        </xdr:cNvSpPr>
      </xdr:nvSpPr>
      <xdr:spPr bwMode="auto">
        <a:xfrm>
          <a:off x="12040466" y="1317913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4D06A4F-BA47-4DF6-9429-FA3F5431686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79</xdr:row>
      <xdr:rowOff>0</xdr:rowOff>
    </xdr:from>
    <xdr:to>
      <xdr:col>23</xdr:col>
      <xdr:colOff>0</xdr:colOff>
      <xdr:row>80</xdr:row>
      <xdr:rowOff>0</xdr:rowOff>
    </xdr:to>
    <xdr:sp macro="" textlink="AZ80">
      <xdr:nvSpPr>
        <xdr:cNvPr id="28781" name="Text Box 7277"/>
        <xdr:cNvSpPr txBox="1">
          <a:spLocks noChangeArrowheads="1" noTextEdit="1"/>
        </xdr:cNvSpPr>
      </xdr:nvSpPr>
      <xdr:spPr bwMode="auto">
        <a:xfrm>
          <a:off x="12040466" y="1333933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5184276-1DBA-404C-8BC8-6C1C23C5DFA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80</xdr:row>
      <xdr:rowOff>0</xdr:rowOff>
    </xdr:from>
    <xdr:to>
      <xdr:col>23</xdr:col>
      <xdr:colOff>0</xdr:colOff>
      <xdr:row>81</xdr:row>
      <xdr:rowOff>0</xdr:rowOff>
    </xdr:to>
    <xdr:sp macro="" textlink="AZ81">
      <xdr:nvSpPr>
        <xdr:cNvPr id="28782" name="Text Box 7278"/>
        <xdr:cNvSpPr txBox="1">
          <a:spLocks noChangeArrowheads="1" noTextEdit="1"/>
        </xdr:cNvSpPr>
      </xdr:nvSpPr>
      <xdr:spPr bwMode="auto">
        <a:xfrm>
          <a:off x="12040466" y="1349952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2D3DA19-F3E1-4A9F-9CB4-D966E4C2809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81</xdr:row>
      <xdr:rowOff>0</xdr:rowOff>
    </xdr:from>
    <xdr:to>
      <xdr:col>23</xdr:col>
      <xdr:colOff>0</xdr:colOff>
      <xdr:row>82</xdr:row>
      <xdr:rowOff>0</xdr:rowOff>
    </xdr:to>
    <xdr:sp macro="" textlink="AZ82">
      <xdr:nvSpPr>
        <xdr:cNvPr id="28783" name="Text Box 7279"/>
        <xdr:cNvSpPr txBox="1">
          <a:spLocks noChangeArrowheads="1" noTextEdit="1"/>
        </xdr:cNvSpPr>
      </xdr:nvSpPr>
      <xdr:spPr bwMode="auto">
        <a:xfrm>
          <a:off x="12040466" y="1365971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A60676A-6C89-44A5-B380-C386AB41E2F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82</xdr:row>
      <xdr:rowOff>0</xdr:rowOff>
    </xdr:from>
    <xdr:to>
      <xdr:col>23</xdr:col>
      <xdr:colOff>0</xdr:colOff>
      <xdr:row>82</xdr:row>
      <xdr:rowOff>160193</xdr:rowOff>
    </xdr:to>
    <xdr:sp macro="" textlink="AZ83">
      <xdr:nvSpPr>
        <xdr:cNvPr id="28784" name="Text Box 7280"/>
        <xdr:cNvSpPr txBox="1">
          <a:spLocks noChangeArrowheads="1" noTextEdit="1"/>
        </xdr:cNvSpPr>
      </xdr:nvSpPr>
      <xdr:spPr bwMode="auto">
        <a:xfrm>
          <a:off x="12040466" y="1381990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E7D47BF-8E29-4CC3-BECA-01CE01DBBF9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82</xdr:row>
      <xdr:rowOff>160193</xdr:rowOff>
    </xdr:from>
    <xdr:to>
      <xdr:col>23</xdr:col>
      <xdr:colOff>0</xdr:colOff>
      <xdr:row>83</xdr:row>
      <xdr:rowOff>160193</xdr:rowOff>
    </xdr:to>
    <xdr:sp macro="" textlink="AZ84">
      <xdr:nvSpPr>
        <xdr:cNvPr id="28785" name="Text Box 7281"/>
        <xdr:cNvSpPr txBox="1">
          <a:spLocks noChangeArrowheads="1" noTextEdit="1"/>
        </xdr:cNvSpPr>
      </xdr:nvSpPr>
      <xdr:spPr bwMode="auto">
        <a:xfrm>
          <a:off x="12040466" y="1398010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DDC3B5E-09EF-41F6-83EE-D4F528B5ECF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84</xdr:row>
      <xdr:rowOff>1</xdr:rowOff>
    </xdr:from>
    <xdr:to>
      <xdr:col>23</xdr:col>
      <xdr:colOff>0</xdr:colOff>
      <xdr:row>85</xdr:row>
      <xdr:rowOff>0</xdr:rowOff>
    </xdr:to>
    <xdr:sp macro="" textlink="AZ85">
      <xdr:nvSpPr>
        <xdr:cNvPr id="28786" name="Text Box 7282"/>
        <xdr:cNvSpPr txBox="1">
          <a:spLocks noChangeArrowheads="1" noTextEdit="1"/>
        </xdr:cNvSpPr>
      </xdr:nvSpPr>
      <xdr:spPr bwMode="auto">
        <a:xfrm>
          <a:off x="12040466" y="1414029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20C9D67-EBF0-4DA5-969B-70DCCB1A9F4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85</xdr:row>
      <xdr:rowOff>0</xdr:rowOff>
    </xdr:from>
    <xdr:to>
      <xdr:col>23</xdr:col>
      <xdr:colOff>0</xdr:colOff>
      <xdr:row>86</xdr:row>
      <xdr:rowOff>0</xdr:rowOff>
    </xdr:to>
    <xdr:sp macro="" textlink="AZ86">
      <xdr:nvSpPr>
        <xdr:cNvPr id="28787" name="Text Box 7283"/>
        <xdr:cNvSpPr txBox="1">
          <a:spLocks noChangeArrowheads="1" noTextEdit="1"/>
        </xdr:cNvSpPr>
      </xdr:nvSpPr>
      <xdr:spPr bwMode="auto">
        <a:xfrm>
          <a:off x="12040466" y="1430048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7D46ABF-016E-4A28-A883-3CAA2AE8B24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86</xdr:row>
      <xdr:rowOff>0</xdr:rowOff>
    </xdr:from>
    <xdr:to>
      <xdr:col>23</xdr:col>
      <xdr:colOff>0</xdr:colOff>
      <xdr:row>87</xdr:row>
      <xdr:rowOff>0</xdr:rowOff>
    </xdr:to>
    <xdr:sp macro="" textlink="AZ87">
      <xdr:nvSpPr>
        <xdr:cNvPr id="28788" name="Text Box 7284"/>
        <xdr:cNvSpPr txBox="1">
          <a:spLocks noChangeArrowheads="1" noTextEdit="1"/>
        </xdr:cNvSpPr>
      </xdr:nvSpPr>
      <xdr:spPr bwMode="auto">
        <a:xfrm>
          <a:off x="12040466" y="1446068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865CB74-2491-436C-9D8E-71D6B4B58F9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87</xdr:row>
      <xdr:rowOff>0</xdr:rowOff>
    </xdr:from>
    <xdr:to>
      <xdr:col>23</xdr:col>
      <xdr:colOff>0</xdr:colOff>
      <xdr:row>88</xdr:row>
      <xdr:rowOff>0</xdr:rowOff>
    </xdr:to>
    <xdr:sp macro="" textlink="AZ88">
      <xdr:nvSpPr>
        <xdr:cNvPr id="28789" name="Text Box 7285"/>
        <xdr:cNvSpPr txBox="1">
          <a:spLocks noChangeArrowheads="1" noTextEdit="1"/>
        </xdr:cNvSpPr>
      </xdr:nvSpPr>
      <xdr:spPr bwMode="auto">
        <a:xfrm>
          <a:off x="12040466" y="1462087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62EB93D-6391-4BB3-AF8C-EFC9FCE385C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88</xdr:row>
      <xdr:rowOff>0</xdr:rowOff>
    </xdr:from>
    <xdr:to>
      <xdr:col>23</xdr:col>
      <xdr:colOff>0</xdr:colOff>
      <xdr:row>88</xdr:row>
      <xdr:rowOff>160193</xdr:rowOff>
    </xdr:to>
    <xdr:sp macro="" textlink="AZ89">
      <xdr:nvSpPr>
        <xdr:cNvPr id="28790" name="Text Box 7286"/>
        <xdr:cNvSpPr txBox="1">
          <a:spLocks noChangeArrowheads="1" noTextEdit="1"/>
        </xdr:cNvSpPr>
      </xdr:nvSpPr>
      <xdr:spPr bwMode="auto">
        <a:xfrm>
          <a:off x="12040466" y="1478106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AB23A18-D6DF-49F0-88D9-ED0DC96EABD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88</xdr:row>
      <xdr:rowOff>160193</xdr:rowOff>
    </xdr:from>
    <xdr:to>
      <xdr:col>23</xdr:col>
      <xdr:colOff>0</xdr:colOff>
      <xdr:row>90</xdr:row>
      <xdr:rowOff>0</xdr:rowOff>
    </xdr:to>
    <xdr:sp macro="" textlink="AZ90">
      <xdr:nvSpPr>
        <xdr:cNvPr id="28791" name="Text Box 7287"/>
        <xdr:cNvSpPr txBox="1">
          <a:spLocks noChangeArrowheads="1" noTextEdit="1"/>
        </xdr:cNvSpPr>
      </xdr:nvSpPr>
      <xdr:spPr bwMode="auto">
        <a:xfrm>
          <a:off x="12040466" y="1494126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D918DF1F-0510-43B2-B537-3DF696CC687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90</xdr:row>
      <xdr:rowOff>0</xdr:rowOff>
    </xdr:from>
    <xdr:to>
      <xdr:col>23</xdr:col>
      <xdr:colOff>0</xdr:colOff>
      <xdr:row>91</xdr:row>
      <xdr:rowOff>0</xdr:rowOff>
    </xdr:to>
    <xdr:sp macro="" textlink="AZ91">
      <xdr:nvSpPr>
        <xdr:cNvPr id="28792" name="Text Box 7288"/>
        <xdr:cNvSpPr txBox="1">
          <a:spLocks noChangeArrowheads="1" noTextEdit="1"/>
        </xdr:cNvSpPr>
      </xdr:nvSpPr>
      <xdr:spPr bwMode="auto">
        <a:xfrm>
          <a:off x="12040466" y="1510145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C138E226-1E31-4D3A-A1E2-E0AEE9B6D06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91</xdr:row>
      <xdr:rowOff>0</xdr:rowOff>
    </xdr:from>
    <xdr:to>
      <xdr:col>23</xdr:col>
      <xdr:colOff>0</xdr:colOff>
      <xdr:row>92</xdr:row>
      <xdr:rowOff>0</xdr:rowOff>
    </xdr:to>
    <xdr:sp macro="" textlink="AZ92">
      <xdr:nvSpPr>
        <xdr:cNvPr id="28793" name="Text Box 7289"/>
        <xdr:cNvSpPr txBox="1">
          <a:spLocks noChangeArrowheads="1" noTextEdit="1"/>
        </xdr:cNvSpPr>
      </xdr:nvSpPr>
      <xdr:spPr bwMode="auto">
        <a:xfrm>
          <a:off x="12040466" y="1526164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86B134F5-DB58-4BCA-A29D-7C3611C0FD6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92</xdr:row>
      <xdr:rowOff>0</xdr:rowOff>
    </xdr:from>
    <xdr:to>
      <xdr:col>23</xdr:col>
      <xdr:colOff>0</xdr:colOff>
      <xdr:row>93</xdr:row>
      <xdr:rowOff>0</xdr:rowOff>
    </xdr:to>
    <xdr:sp macro="" textlink="AZ93">
      <xdr:nvSpPr>
        <xdr:cNvPr id="28794" name="Text Box 7290"/>
        <xdr:cNvSpPr txBox="1">
          <a:spLocks noChangeArrowheads="1" noTextEdit="1"/>
        </xdr:cNvSpPr>
      </xdr:nvSpPr>
      <xdr:spPr bwMode="auto">
        <a:xfrm>
          <a:off x="12040466" y="1542184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D52CCC5-3BD9-4E14-A8C4-6BA5504AF55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93</xdr:row>
      <xdr:rowOff>0</xdr:rowOff>
    </xdr:from>
    <xdr:to>
      <xdr:col>23</xdr:col>
      <xdr:colOff>0</xdr:colOff>
      <xdr:row>93</xdr:row>
      <xdr:rowOff>160193</xdr:rowOff>
    </xdr:to>
    <xdr:sp macro="" textlink="AZ94">
      <xdr:nvSpPr>
        <xdr:cNvPr id="28795" name="Text Box 7291"/>
        <xdr:cNvSpPr txBox="1">
          <a:spLocks noChangeArrowheads="1" noTextEdit="1"/>
        </xdr:cNvSpPr>
      </xdr:nvSpPr>
      <xdr:spPr bwMode="auto">
        <a:xfrm>
          <a:off x="12040466" y="1558203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DFB05E0-6403-42FB-9516-601F1408595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93</xdr:row>
      <xdr:rowOff>160193</xdr:rowOff>
    </xdr:from>
    <xdr:to>
      <xdr:col>23</xdr:col>
      <xdr:colOff>0</xdr:colOff>
      <xdr:row>94</xdr:row>
      <xdr:rowOff>160193</xdr:rowOff>
    </xdr:to>
    <xdr:sp macro="" textlink="AZ95">
      <xdr:nvSpPr>
        <xdr:cNvPr id="28796" name="Text Box 7292"/>
        <xdr:cNvSpPr txBox="1">
          <a:spLocks noChangeArrowheads="1" noTextEdit="1"/>
        </xdr:cNvSpPr>
      </xdr:nvSpPr>
      <xdr:spPr bwMode="auto">
        <a:xfrm>
          <a:off x="12040466" y="1574222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7763DCD-B928-4534-9B07-9AC6BE2D918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94</xdr:row>
      <xdr:rowOff>160193</xdr:rowOff>
    </xdr:from>
    <xdr:to>
      <xdr:col>23</xdr:col>
      <xdr:colOff>0</xdr:colOff>
      <xdr:row>96</xdr:row>
      <xdr:rowOff>0</xdr:rowOff>
    </xdr:to>
    <xdr:sp macro="" textlink="AZ96">
      <xdr:nvSpPr>
        <xdr:cNvPr id="28797" name="Text Box 7293"/>
        <xdr:cNvSpPr txBox="1">
          <a:spLocks noChangeArrowheads="1" noTextEdit="1"/>
        </xdr:cNvSpPr>
      </xdr:nvSpPr>
      <xdr:spPr bwMode="auto">
        <a:xfrm>
          <a:off x="12040466" y="1590242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D26B547A-F1C8-4AD8-A01B-01BD4B452F5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96</xdr:row>
      <xdr:rowOff>0</xdr:rowOff>
    </xdr:from>
    <xdr:to>
      <xdr:col>23</xdr:col>
      <xdr:colOff>0</xdr:colOff>
      <xdr:row>97</xdr:row>
      <xdr:rowOff>0</xdr:rowOff>
    </xdr:to>
    <xdr:sp macro="" textlink="AZ97">
      <xdr:nvSpPr>
        <xdr:cNvPr id="28798" name="Text Box 7294"/>
        <xdr:cNvSpPr txBox="1">
          <a:spLocks noChangeArrowheads="1" noTextEdit="1"/>
        </xdr:cNvSpPr>
      </xdr:nvSpPr>
      <xdr:spPr bwMode="auto">
        <a:xfrm>
          <a:off x="12040466" y="1606261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B2BD4EF-8C8F-494F-AA44-F2A5177B08A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97</xdr:row>
      <xdr:rowOff>0</xdr:rowOff>
    </xdr:from>
    <xdr:to>
      <xdr:col>23</xdr:col>
      <xdr:colOff>0</xdr:colOff>
      <xdr:row>98</xdr:row>
      <xdr:rowOff>0</xdr:rowOff>
    </xdr:to>
    <xdr:sp macro="" textlink="AZ98">
      <xdr:nvSpPr>
        <xdr:cNvPr id="28799" name="Text Box 7295"/>
        <xdr:cNvSpPr txBox="1">
          <a:spLocks noChangeArrowheads="1" noTextEdit="1"/>
        </xdr:cNvSpPr>
      </xdr:nvSpPr>
      <xdr:spPr bwMode="auto">
        <a:xfrm>
          <a:off x="12040466" y="1622280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9554E688-587C-4E6B-B82B-6F61B783E5D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98</xdr:row>
      <xdr:rowOff>0</xdr:rowOff>
    </xdr:from>
    <xdr:to>
      <xdr:col>23</xdr:col>
      <xdr:colOff>0</xdr:colOff>
      <xdr:row>99</xdr:row>
      <xdr:rowOff>0</xdr:rowOff>
    </xdr:to>
    <xdr:sp macro="" textlink="AZ99">
      <xdr:nvSpPr>
        <xdr:cNvPr id="28800" name="Text Box 7296"/>
        <xdr:cNvSpPr txBox="1">
          <a:spLocks noChangeArrowheads="1" noTextEdit="1"/>
        </xdr:cNvSpPr>
      </xdr:nvSpPr>
      <xdr:spPr bwMode="auto">
        <a:xfrm>
          <a:off x="12040466" y="1638300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61CD8CC-67D4-4E85-927C-77FB6F0B399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99</xdr:row>
      <xdr:rowOff>0</xdr:rowOff>
    </xdr:from>
    <xdr:to>
      <xdr:col>23</xdr:col>
      <xdr:colOff>0</xdr:colOff>
      <xdr:row>99</xdr:row>
      <xdr:rowOff>160193</xdr:rowOff>
    </xdr:to>
    <xdr:sp macro="" textlink="AZ100">
      <xdr:nvSpPr>
        <xdr:cNvPr id="28801" name="Text Box 7297"/>
        <xdr:cNvSpPr txBox="1">
          <a:spLocks noChangeArrowheads="1" noTextEdit="1"/>
        </xdr:cNvSpPr>
      </xdr:nvSpPr>
      <xdr:spPr bwMode="auto">
        <a:xfrm>
          <a:off x="12040466" y="1654319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2B90D99-A53C-427F-A21D-956874104B8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100</xdr:row>
      <xdr:rowOff>1</xdr:rowOff>
    </xdr:from>
    <xdr:to>
      <xdr:col>23</xdr:col>
      <xdr:colOff>0</xdr:colOff>
      <xdr:row>101</xdr:row>
      <xdr:rowOff>0</xdr:rowOff>
    </xdr:to>
    <xdr:sp macro="" textlink="AZ101">
      <xdr:nvSpPr>
        <xdr:cNvPr id="28802" name="Text Box 7298"/>
        <xdr:cNvSpPr txBox="1">
          <a:spLocks noChangeArrowheads="1" noTextEdit="1"/>
        </xdr:cNvSpPr>
      </xdr:nvSpPr>
      <xdr:spPr bwMode="auto">
        <a:xfrm>
          <a:off x="12040466" y="1670338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B2CD9BE7-4BB4-4B0E-8D81-EE424C635EB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101</xdr:row>
      <xdr:rowOff>0</xdr:rowOff>
    </xdr:from>
    <xdr:to>
      <xdr:col>23</xdr:col>
      <xdr:colOff>0</xdr:colOff>
      <xdr:row>102</xdr:row>
      <xdr:rowOff>0</xdr:rowOff>
    </xdr:to>
    <xdr:sp macro="" textlink="AZ102">
      <xdr:nvSpPr>
        <xdr:cNvPr id="28803" name="Text Box 7299"/>
        <xdr:cNvSpPr txBox="1">
          <a:spLocks noChangeArrowheads="1" noTextEdit="1"/>
        </xdr:cNvSpPr>
      </xdr:nvSpPr>
      <xdr:spPr bwMode="auto">
        <a:xfrm>
          <a:off x="12040466" y="16863580"/>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216B2D9-A31F-4C42-ADFA-0F387BBB4C3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102</xdr:row>
      <xdr:rowOff>0</xdr:rowOff>
    </xdr:from>
    <xdr:to>
      <xdr:col>23</xdr:col>
      <xdr:colOff>0</xdr:colOff>
      <xdr:row>103</xdr:row>
      <xdr:rowOff>0</xdr:rowOff>
    </xdr:to>
    <xdr:sp macro="" textlink="AZ103">
      <xdr:nvSpPr>
        <xdr:cNvPr id="28804" name="Text Box 7300"/>
        <xdr:cNvSpPr txBox="1">
          <a:spLocks noChangeArrowheads="1" noTextEdit="1"/>
        </xdr:cNvSpPr>
      </xdr:nvSpPr>
      <xdr:spPr bwMode="auto">
        <a:xfrm>
          <a:off x="12040466" y="1702377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1420DE1-CAEE-4FBA-86A6-BF37A2D2A9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103</xdr:row>
      <xdr:rowOff>0</xdr:rowOff>
    </xdr:from>
    <xdr:to>
      <xdr:col>23</xdr:col>
      <xdr:colOff>0</xdr:colOff>
      <xdr:row>104</xdr:row>
      <xdr:rowOff>0</xdr:rowOff>
    </xdr:to>
    <xdr:sp macro="" textlink="AZ104">
      <xdr:nvSpPr>
        <xdr:cNvPr id="28805" name="Text Box 7301"/>
        <xdr:cNvSpPr txBox="1">
          <a:spLocks noChangeArrowheads="1" noTextEdit="1"/>
        </xdr:cNvSpPr>
      </xdr:nvSpPr>
      <xdr:spPr bwMode="auto">
        <a:xfrm>
          <a:off x="12040466" y="17183966"/>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BD512F7-27B8-4244-A44E-E0F2226FDE9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104</xdr:row>
      <xdr:rowOff>0</xdr:rowOff>
    </xdr:from>
    <xdr:to>
      <xdr:col>23</xdr:col>
      <xdr:colOff>0</xdr:colOff>
      <xdr:row>104</xdr:row>
      <xdr:rowOff>160193</xdr:rowOff>
    </xdr:to>
    <xdr:sp macro="" textlink="AZ105">
      <xdr:nvSpPr>
        <xdr:cNvPr id="28806" name="Text Box 7302"/>
        <xdr:cNvSpPr txBox="1">
          <a:spLocks noChangeArrowheads="1" noTextEdit="1"/>
        </xdr:cNvSpPr>
      </xdr:nvSpPr>
      <xdr:spPr bwMode="auto">
        <a:xfrm>
          <a:off x="12040466" y="17344159"/>
          <a:ext cx="2333625" cy="160193"/>
        </a:xfrm>
        <a:prstGeom prst="rect">
          <a:avLst/>
        </a:prstGeom>
        <a:noFill/>
        <a:ln w="9525" algn="ctr">
          <a:noFill/>
          <a:miter lim="800000"/>
          <a:headEnd/>
          <a:tailEnd/>
        </a:ln>
        <a:effectLst/>
      </xdr:spPr>
      <xdr:txBody>
        <a:bodyPr vertOverflow="clip" horzOverflow="clip" lIns="72000" anchor="ctr"/>
        <a:lstStyle/>
        <a:p>
          <a:pPr algn="l"/>
          <a:fld id="{3D84B4C0-E7CE-4653-B5A6-32F8A7AFB67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104</xdr:row>
      <xdr:rowOff>160193</xdr:rowOff>
    </xdr:from>
    <xdr:to>
      <xdr:col>23</xdr:col>
      <xdr:colOff>0</xdr:colOff>
      <xdr:row>105</xdr:row>
      <xdr:rowOff>160193</xdr:rowOff>
    </xdr:to>
    <xdr:sp macro="" textlink="AZ106">
      <xdr:nvSpPr>
        <xdr:cNvPr id="28807" name="Text Box 7303"/>
        <xdr:cNvSpPr txBox="1">
          <a:spLocks noChangeArrowheads="1" noTextEdit="1"/>
        </xdr:cNvSpPr>
      </xdr:nvSpPr>
      <xdr:spPr bwMode="auto">
        <a:xfrm>
          <a:off x="12040466" y="1750435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0941F668-88FD-47C6-AE3F-09B254EE366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105</xdr:row>
      <xdr:rowOff>160193</xdr:rowOff>
    </xdr:from>
    <xdr:to>
      <xdr:col>23</xdr:col>
      <xdr:colOff>0</xdr:colOff>
      <xdr:row>107</xdr:row>
      <xdr:rowOff>0</xdr:rowOff>
    </xdr:to>
    <xdr:sp macro="" textlink="AZ107">
      <xdr:nvSpPr>
        <xdr:cNvPr id="28808" name="Text Box 7304"/>
        <xdr:cNvSpPr txBox="1">
          <a:spLocks noChangeArrowheads="1" noTextEdit="1"/>
        </xdr:cNvSpPr>
      </xdr:nvSpPr>
      <xdr:spPr bwMode="auto">
        <a:xfrm>
          <a:off x="12040466" y="17664545"/>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D98F27C5-E84E-4A7C-8D5D-DE18F4985AB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107</xdr:row>
      <xdr:rowOff>0</xdr:rowOff>
    </xdr:from>
    <xdr:to>
      <xdr:col>23</xdr:col>
      <xdr:colOff>0</xdr:colOff>
      <xdr:row>108</xdr:row>
      <xdr:rowOff>0</xdr:rowOff>
    </xdr:to>
    <xdr:sp macro="" textlink="AZ108">
      <xdr:nvSpPr>
        <xdr:cNvPr id="28809" name="Text Box 7305"/>
        <xdr:cNvSpPr txBox="1">
          <a:spLocks noChangeArrowheads="1" noTextEdit="1"/>
        </xdr:cNvSpPr>
      </xdr:nvSpPr>
      <xdr:spPr bwMode="auto">
        <a:xfrm>
          <a:off x="12040466" y="17824739"/>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5C29DCFB-E65F-4714-A2FE-4622036E36C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108</xdr:row>
      <xdr:rowOff>0</xdr:rowOff>
    </xdr:from>
    <xdr:to>
      <xdr:col>23</xdr:col>
      <xdr:colOff>0</xdr:colOff>
      <xdr:row>109</xdr:row>
      <xdr:rowOff>0</xdr:rowOff>
    </xdr:to>
    <xdr:sp macro="" textlink="AZ109">
      <xdr:nvSpPr>
        <xdr:cNvPr id="28810" name="Text Box 7306"/>
        <xdr:cNvSpPr txBox="1">
          <a:spLocks noChangeArrowheads="1" noTextEdit="1"/>
        </xdr:cNvSpPr>
      </xdr:nvSpPr>
      <xdr:spPr bwMode="auto">
        <a:xfrm>
          <a:off x="12040466" y="17984932"/>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DCF80F6C-388D-4270-B82E-4764408EF90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109</xdr:row>
      <xdr:rowOff>0</xdr:rowOff>
    </xdr:from>
    <xdr:to>
      <xdr:col>23</xdr:col>
      <xdr:colOff>0</xdr:colOff>
      <xdr:row>110</xdr:row>
      <xdr:rowOff>0</xdr:rowOff>
    </xdr:to>
    <xdr:sp macro="" textlink="AZ110">
      <xdr:nvSpPr>
        <xdr:cNvPr id="28811" name="Text Box 7307"/>
        <xdr:cNvSpPr txBox="1">
          <a:spLocks noChangeArrowheads="1" noTextEdit="1"/>
        </xdr:cNvSpPr>
      </xdr:nvSpPr>
      <xdr:spPr bwMode="auto">
        <a:xfrm>
          <a:off x="12040466" y="1814512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BECC9CC-89A2-4CDC-B466-914291A128A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110</xdr:row>
      <xdr:rowOff>0</xdr:rowOff>
    </xdr:from>
    <xdr:to>
      <xdr:col>23</xdr:col>
      <xdr:colOff>0</xdr:colOff>
      <xdr:row>110</xdr:row>
      <xdr:rowOff>160193</xdr:rowOff>
    </xdr:to>
    <xdr:sp macro="" textlink="AZ111">
      <xdr:nvSpPr>
        <xdr:cNvPr id="28812" name="Text Box 7308"/>
        <xdr:cNvSpPr txBox="1">
          <a:spLocks noChangeArrowheads="1" noTextEdit="1"/>
        </xdr:cNvSpPr>
      </xdr:nvSpPr>
      <xdr:spPr bwMode="auto">
        <a:xfrm>
          <a:off x="12040466" y="1830531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6E79B7A5-D8FE-4E12-854B-9F7419E7927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110</xdr:row>
      <xdr:rowOff>160193</xdr:rowOff>
    </xdr:from>
    <xdr:to>
      <xdr:col>23</xdr:col>
      <xdr:colOff>0</xdr:colOff>
      <xdr:row>112</xdr:row>
      <xdr:rowOff>0</xdr:rowOff>
    </xdr:to>
    <xdr:sp macro="" textlink="AZ112">
      <xdr:nvSpPr>
        <xdr:cNvPr id="28813" name="Text Box 7309"/>
        <xdr:cNvSpPr txBox="1">
          <a:spLocks noChangeArrowheads="1" noTextEdit="1"/>
        </xdr:cNvSpPr>
      </xdr:nvSpPr>
      <xdr:spPr bwMode="auto">
        <a:xfrm>
          <a:off x="12040466" y="18465511"/>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52C78235-E564-4EAF-99B5-4001B5E5003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112</xdr:row>
      <xdr:rowOff>0</xdr:rowOff>
    </xdr:from>
    <xdr:to>
      <xdr:col>23</xdr:col>
      <xdr:colOff>0</xdr:colOff>
      <xdr:row>113</xdr:row>
      <xdr:rowOff>0</xdr:rowOff>
    </xdr:to>
    <xdr:sp macro="" textlink="AZ113">
      <xdr:nvSpPr>
        <xdr:cNvPr id="28814" name="Text Box 7310"/>
        <xdr:cNvSpPr txBox="1">
          <a:spLocks noChangeArrowheads="1" noTextEdit="1"/>
        </xdr:cNvSpPr>
      </xdr:nvSpPr>
      <xdr:spPr bwMode="auto">
        <a:xfrm>
          <a:off x="12040466" y="18625705"/>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3EC33C1-4E76-41EC-9154-93F32FC1358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113</xdr:row>
      <xdr:rowOff>0</xdr:rowOff>
    </xdr:from>
    <xdr:to>
      <xdr:col>23</xdr:col>
      <xdr:colOff>0</xdr:colOff>
      <xdr:row>114</xdr:row>
      <xdr:rowOff>0</xdr:rowOff>
    </xdr:to>
    <xdr:sp macro="" textlink="AZ114">
      <xdr:nvSpPr>
        <xdr:cNvPr id="28815" name="Text Box 7311"/>
        <xdr:cNvSpPr txBox="1">
          <a:spLocks noChangeArrowheads="1" noTextEdit="1"/>
        </xdr:cNvSpPr>
      </xdr:nvSpPr>
      <xdr:spPr bwMode="auto">
        <a:xfrm>
          <a:off x="12040466" y="18785898"/>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1A5C33D4-587D-4C92-844E-1601352B200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114</xdr:row>
      <xdr:rowOff>0</xdr:rowOff>
    </xdr:from>
    <xdr:to>
      <xdr:col>23</xdr:col>
      <xdr:colOff>0</xdr:colOff>
      <xdr:row>115</xdr:row>
      <xdr:rowOff>0</xdr:rowOff>
    </xdr:to>
    <xdr:sp macro="" textlink="AZ115">
      <xdr:nvSpPr>
        <xdr:cNvPr id="28816" name="Text Box 7312"/>
        <xdr:cNvSpPr txBox="1">
          <a:spLocks noChangeArrowheads="1" noTextEdit="1"/>
        </xdr:cNvSpPr>
      </xdr:nvSpPr>
      <xdr:spPr bwMode="auto">
        <a:xfrm>
          <a:off x="12040466" y="18946091"/>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EDD38FCF-3E90-4248-B3FD-ED9647D754F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115</xdr:row>
      <xdr:rowOff>0</xdr:rowOff>
    </xdr:from>
    <xdr:to>
      <xdr:col>23</xdr:col>
      <xdr:colOff>0</xdr:colOff>
      <xdr:row>115</xdr:row>
      <xdr:rowOff>160193</xdr:rowOff>
    </xdr:to>
    <xdr:sp macro="" textlink="AZ116">
      <xdr:nvSpPr>
        <xdr:cNvPr id="28817" name="Text Box 7313"/>
        <xdr:cNvSpPr txBox="1">
          <a:spLocks noChangeArrowheads="1" noTextEdit="1"/>
        </xdr:cNvSpPr>
      </xdr:nvSpPr>
      <xdr:spPr bwMode="auto">
        <a:xfrm>
          <a:off x="12040466" y="1910628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7501B7A3-EC87-4B73-8CE7-605FBD345B7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115</xdr:row>
      <xdr:rowOff>160193</xdr:rowOff>
    </xdr:from>
    <xdr:to>
      <xdr:col>23</xdr:col>
      <xdr:colOff>0</xdr:colOff>
      <xdr:row>116</xdr:row>
      <xdr:rowOff>160193</xdr:rowOff>
    </xdr:to>
    <xdr:sp macro="" textlink="AZ117">
      <xdr:nvSpPr>
        <xdr:cNvPr id="28818" name="Text Box 7314"/>
        <xdr:cNvSpPr txBox="1">
          <a:spLocks noChangeArrowheads="1" noTextEdit="1"/>
        </xdr:cNvSpPr>
      </xdr:nvSpPr>
      <xdr:spPr bwMode="auto">
        <a:xfrm>
          <a:off x="12040466" y="1926647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A8AF5069-94D5-4BC0-9E15-F2BFAA17FC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116</xdr:row>
      <xdr:rowOff>160193</xdr:rowOff>
    </xdr:from>
    <xdr:to>
      <xdr:col>23</xdr:col>
      <xdr:colOff>0</xdr:colOff>
      <xdr:row>118</xdr:row>
      <xdr:rowOff>0</xdr:rowOff>
    </xdr:to>
    <xdr:sp macro="" textlink="AZ118">
      <xdr:nvSpPr>
        <xdr:cNvPr id="28819" name="Text Box 7315"/>
        <xdr:cNvSpPr txBox="1">
          <a:spLocks noChangeArrowheads="1" noTextEdit="1"/>
        </xdr:cNvSpPr>
      </xdr:nvSpPr>
      <xdr:spPr bwMode="auto">
        <a:xfrm>
          <a:off x="12040466" y="19426670"/>
          <a:ext cx="2333625" cy="160194"/>
        </a:xfrm>
        <a:prstGeom prst="rect">
          <a:avLst/>
        </a:prstGeom>
        <a:noFill/>
        <a:ln w="9525" algn="ctr">
          <a:noFill/>
          <a:miter lim="800000"/>
          <a:headEnd/>
          <a:tailEnd/>
        </a:ln>
        <a:effectLst/>
      </xdr:spPr>
      <xdr:txBody>
        <a:bodyPr vertOverflow="clip" horzOverflow="clip" lIns="72000" tIns="36000" rIns="36000" bIns="36000" anchor="ctr"/>
        <a:lstStyle/>
        <a:p>
          <a:pPr algn="l"/>
          <a:fld id="{7EB4FBCF-A561-44BF-8F06-392D95587F5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118</xdr:row>
      <xdr:rowOff>0</xdr:rowOff>
    </xdr:from>
    <xdr:to>
      <xdr:col>23</xdr:col>
      <xdr:colOff>0</xdr:colOff>
      <xdr:row>119</xdr:row>
      <xdr:rowOff>0</xdr:rowOff>
    </xdr:to>
    <xdr:sp macro="" textlink="AZ119">
      <xdr:nvSpPr>
        <xdr:cNvPr id="28820" name="Text Box 7316"/>
        <xdr:cNvSpPr txBox="1">
          <a:spLocks noChangeArrowheads="1" noTextEdit="1"/>
        </xdr:cNvSpPr>
      </xdr:nvSpPr>
      <xdr:spPr bwMode="auto">
        <a:xfrm>
          <a:off x="12040466" y="19586864"/>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33AE02C7-3E26-418B-885B-9569ED1D5F4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119</xdr:row>
      <xdr:rowOff>0</xdr:rowOff>
    </xdr:from>
    <xdr:to>
      <xdr:col>23</xdr:col>
      <xdr:colOff>0</xdr:colOff>
      <xdr:row>120</xdr:row>
      <xdr:rowOff>0</xdr:rowOff>
    </xdr:to>
    <xdr:sp macro="" textlink="AZ120">
      <xdr:nvSpPr>
        <xdr:cNvPr id="28821" name="Text Box 7317"/>
        <xdr:cNvSpPr txBox="1">
          <a:spLocks noChangeArrowheads="1" noTextEdit="1"/>
        </xdr:cNvSpPr>
      </xdr:nvSpPr>
      <xdr:spPr bwMode="auto">
        <a:xfrm>
          <a:off x="12040466" y="19747057"/>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460C77C5-4CE0-4954-A786-1E02DEF51C4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20</xdr:col>
      <xdr:colOff>1133475</xdr:colOff>
      <xdr:row>120</xdr:row>
      <xdr:rowOff>9525</xdr:rowOff>
    </xdr:from>
    <xdr:to>
      <xdr:col>22</xdr:col>
      <xdr:colOff>1390650</xdr:colOff>
      <xdr:row>121</xdr:row>
      <xdr:rowOff>9525</xdr:rowOff>
    </xdr:to>
    <xdr:sp macro="" textlink="AZ121">
      <xdr:nvSpPr>
        <xdr:cNvPr id="28822" name="Text Box 7318"/>
        <xdr:cNvSpPr txBox="1">
          <a:spLocks noChangeArrowheads="1" noTextEdit="1"/>
        </xdr:cNvSpPr>
      </xdr:nvSpPr>
      <xdr:spPr bwMode="auto">
        <a:xfrm>
          <a:off x="12401550" y="18297525"/>
          <a:ext cx="2295525" cy="161925"/>
        </a:xfrm>
        <a:prstGeom prst="rect">
          <a:avLst/>
        </a:prstGeom>
        <a:noFill/>
        <a:ln w="9525" algn="ctr">
          <a:noFill/>
          <a:miter lim="800000"/>
          <a:headEnd/>
          <a:tailEnd/>
        </a:ln>
        <a:effectLst/>
      </xdr:spPr>
      <xdr:txBody>
        <a:bodyPr vertOverflow="clip" horzOverflow="clip" lIns="72000" tIns="36000" rIns="36000" bIns="36000" anchor="ctr"/>
        <a:lstStyle/>
        <a:p>
          <a:pPr algn="l"/>
          <a:fld id="{3EECA958-2DB1-4F49-8120-25DD9161144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121</xdr:row>
      <xdr:rowOff>0</xdr:rowOff>
    </xdr:from>
    <xdr:to>
      <xdr:col>23</xdr:col>
      <xdr:colOff>0</xdr:colOff>
      <xdr:row>121</xdr:row>
      <xdr:rowOff>160193</xdr:rowOff>
    </xdr:to>
    <xdr:sp macro="" textlink="AZ122">
      <xdr:nvSpPr>
        <xdr:cNvPr id="28823" name="Text Box 7321"/>
        <xdr:cNvSpPr txBox="1">
          <a:spLocks noChangeArrowheads="1" noTextEdit="1"/>
        </xdr:cNvSpPr>
      </xdr:nvSpPr>
      <xdr:spPr bwMode="auto">
        <a:xfrm>
          <a:off x="12040466" y="20067443"/>
          <a:ext cx="2333625" cy="160193"/>
        </a:xfrm>
        <a:prstGeom prst="rect">
          <a:avLst/>
        </a:prstGeom>
        <a:noFill/>
        <a:ln w="9525" algn="ctr">
          <a:noFill/>
          <a:miter lim="800000"/>
          <a:headEnd/>
          <a:tailEnd/>
        </a:ln>
        <a:effectLst/>
      </xdr:spPr>
      <xdr:txBody>
        <a:bodyPr vertOverflow="clip" horzOverflow="clip" lIns="72000" tIns="36000" rIns="36000" bIns="36000" anchor="ctr"/>
        <a:lstStyle/>
        <a:p>
          <a:pPr algn="l"/>
          <a:fld id="{21E8BE4F-9B8B-45A9-9948-13C059EFBB6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198407</xdr:colOff>
      <xdr:row>21</xdr:row>
      <xdr:rowOff>260536</xdr:rowOff>
    </xdr:from>
    <xdr:to>
      <xdr:col>13</xdr:col>
      <xdr:colOff>982185</xdr:colOff>
      <xdr:row>22</xdr:row>
      <xdr:rowOff>69272</xdr:rowOff>
    </xdr:to>
    <xdr:sp macro="" textlink="">
      <xdr:nvSpPr>
        <xdr:cNvPr id="116" name="AutoShape 52" descr="help">
          <a:hlinkClick xmlns:r="http://schemas.openxmlformats.org/officeDocument/2006/relationships" r:id="rId3"/>
        </xdr:cNvPr>
        <xdr:cNvSpPr>
          <a:spLocks noChangeArrowheads="1"/>
        </xdr:cNvSpPr>
      </xdr:nvSpPr>
      <xdr:spPr bwMode="auto">
        <a:xfrm>
          <a:off x="9948543" y="5629172"/>
          <a:ext cx="783778" cy="414873"/>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Adjustment Factors</a:t>
          </a:r>
        </a:p>
      </xdr:txBody>
    </xdr:sp>
    <xdr:clientData/>
  </xdr:twoCellAnchor>
  <xdr:twoCellAnchor>
    <xdr:from>
      <xdr:col>16</xdr:col>
      <xdr:colOff>211554</xdr:colOff>
      <xdr:row>21</xdr:row>
      <xdr:rowOff>248030</xdr:rowOff>
    </xdr:from>
    <xdr:to>
      <xdr:col>16</xdr:col>
      <xdr:colOff>996354</xdr:colOff>
      <xdr:row>22</xdr:row>
      <xdr:rowOff>55893</xdr:rowOff>
    </xdr:to>
    <xdr:sp macro="" textlink="">
      <xdr:nvSpPr>
        <xdr:cNvPr id="117" name="AutoShape 52" descr="help">
          <a:hlinkClick xmlns:r="http://schemas.openxmlformats.org/officeDocument/2006/relationships" r:id="rId3"/>
        </xdr:cNvPr>
        <xdr:cNvSpPr>
          <a:spLocks noChangeArrowheads="1"/>
        </xdr:cNvSpPr>
      </xdr:nvSpPr>
      <xdr:spPr bwMode="auto">
        <a:xfrm>
          <a:off x="13130918" y="5616666"/>
          <a:ext cx="784800" cy="414000"/>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Adjustment Factors</a:t>
          </a:r>
        </a:p>
      </xdr:txBody>
    </xdr:sp>
    <xdr:clientData/>
  </xdr:twoCellAnchor>
  <xdr:twoCellAnchor>
    <xdr:from>
      <xdr:col>21</xdr:col>
      <xdr:colOff>0</xdr:colOff>
      <xdr:row>126</xdr:row>
      <xdr:rowOff>0</xdr:rowOff>
    </xdr:from>
    <xdr:to>
      <xdr:col>23</xdr:col>
      <xdr:colOff>0</xdr:colOff>
      <xdr:row>127</xdr:row>
      <xdr:rowOff>0</xdr:rowOff>
    </xdr:to>
    <xdr:sp macro="" textlink="AZ127">
      <xdr:nvSpPr>
        <xdr:cNvPr id="120" name="Text Box 1236"/>
        <xdr:cNvSpPr txBox="1">
          <a:spLocks noChangeArrowheads="1" noTextEdit="1"/>
        </xdr:cNvSpPr>
      </xdr:nvSpPr>
      <xdr:spPr bwMode="auto">
        <a:xfrm>
          <a:off x="14011275" y="30670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F680AED-6F40-4738-9490-57197840967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123</xdr:row>
      <xdr:rowOff>0</xdr:rowOff>
    </xdr:from>
    <xdr:to>
      <xdr:col>23</xdr:col>
      <xdr:colOff>0</xdr:colOff>
      <xdr:row>124</xdr:row>
      <xdr:rowOff>0</xdr:rowOff>
    </xdr:to>
    <xdr:sp macro="" textlink="AZ124">
      <xdr:nvSpPr>
        <xdr:cNvPr id="121" name="Text Box 1233"/>
        <xdr:cNvSpPr txBox="1">
          <a:spLocks noChangeArrowheads="1" noTextEdit="1"/>
        </xdr:cNvSpPr>
      </xdr:nvSpPr>
      <xdr:spPr bwMode="auto">
        <a:xfrm>
          <a:off x="14011275" y="25812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7ECAE64-F907-4469-94E6-8061AAF4B54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125</xdr:row>
      <xdr:rowOff>0</xdr:rowOff>
    </xdr:from>
    <xdr:to>
      <xdr:col>23</xdr:col>
      <xdr:colOff>0</xdr:colOff>
      <xdr:row>126</xdr:row>
      <xdr:rowOff>0</xdr:rowOff>
    </xdr:to>
    <xdr:sp macro="" textlink="AZ126">
      <xdr:nvSpPr>
        <xdr:cNvPr id="126" name="Text Box 1235"/>
        <xdr:cNvSpPr txBox="1">
          <a:spLocks noChangeArrowheads="1" noTextEdit="1"/>
        </xdr:cNvSpPr>
      </xdr:nvSpPr>
      <xdr:spPr bwMode="auto">
        <a:xfrm>
          <a:off x="14011275" y="2905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5C5F419-CEC8-4950-BC9E-5763F6C3AC3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10583</xdr:colOff>
      <xdr:row>124</xdr:row>
      <xdr:rowOff>0</xdr:rowOff>
    </xdr:from>
    <xdr:to>
      <xdr:col>23</xdr:col>
      <xdr:colOff>10583</xdr:colOff>
      <xdr:row>125</xdr:row>
      <xdr:rowOff>0</xdr:rowOff>
    </xdr:to>
    <xdr:sp macro="" textlink="AZ125">
      <xdr:nvSpPr>
        <xdr:cNvPr id="127" name="Text Box 1234"/>
        <xdr:cNvSpPr txBox="1">
          <a:spLocks noChangeArrowheads="1" noTextEdit="1"/>
        </xdr:cNvSpPr>
      </xdr:nvSpPr>
      <xdr:spPr bwMode="auto">
        <a:xfrm>
          <a:off x="14021858" y="2743200"/>
          <a:ext cx="2294467" cy="161925"/>
        </a:xfrm>
        <a:prstGeom prst="rect">
          <a:avLst/>
        </a:prstGeom>
        <a:noFill/>
        <a:ln w="9525" algn="ctr">
          <a:noFill/>
          <a:miter lim="800000"/>
          <a:headEnd/>
          <a:tailEnd/>
        </a:ln>
        <a:effectLst/>
      </xdr:spPr>
      <xdr:txBody>
        <a:bodyPr vertOverflow="clip" horzOverflow="clip" wrap="square" lIns="72000" tIns="36000" rIns="36000" bIns="36000" anchor="ctr"/>
        <a:lstStyle/>
        <a:p>
          <a:pPr algn="l"/>
          <a:fld id="{825D8463-6E6E-4694-B809-59171E06CD5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127</xdr:row>
      <xdr:rowOff>1</xdr:rowOff>
    </xdr:from>
    <xdr:to>
      <xdr:col>23</xdr:col>
      <xdr:colOff>0</xdr:colOff>
      <xdr:row>128</xdr:row>
      <xdr:rowOff>0</xdr:rowOff>
    </xdr:to>
    <xdr:sp macro="" textlink="AZ128">
      <xdr:nvSpPr>
        <xdr:cNvPr id="128" name="Text Box 1237"/>
        <xdr:cNvSpPr txBox="1">
          <a:spLocks noChangeArrowheads="1" noTextEdit="1"/>
        </xdr:cNvSpPr>
      </xdr:nvSpPr>
      <xdr:spPr bwMode="auto">
        <a:xfrm>
          <a:off x="14011275" y="322897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E5CC3ADA-45B7-4CBB-A492-75AAE134398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128</xdr:row>
      <xdr:rowOff>0</xdr:rowOff>
    </xdr:from>
    <xdr:to>
      <xdr:col>23</xdr:col>
      <xdr:colOff>0</xdr:colOff>
      <xdr:row>128</xdr:row>
      <xdr:rowOff>324715</xdr:rowOff>
    </xdr:to>
    <xdr:sp macro="" textlink="AZ129">
      <xdr:nvSpPr>
        <xdr:cNvPr id="129" name="Text Box 1238"/>
        <xdr:cNvSpPr txBox="1">
          <a:spLocks noChangeArrowheads="1" noTextEdit="1"/>
        </xdr:cNvSpPr>
      </xdr:nvSpPr>
      <xdr:spPr bwMode="auto">
        <a:xfrm>
          <a:off x="14011275" y="3390900"/>
          <a:ext cx="2305050" cy="162790"/>
        </a:xfrm>
        <a:prstGeom prst="rect">
          <a:avLst/>
        </a:prstGeom>
        <a:noFill/>
        <a:ln w="9525" algn="ctr">
          <a:noFill/>
          <a:miter lim="800000"/>
          <a:headEnd/>
          <a:tailEnd/>
        </a:ln>
        <a:effectLst/>
      </xdr:spPr>
      <xdr:txBody>
        <a:bodyPr vertOverflow="clip" horzOverflow="clip" lIns="72000" tIns="36000" rIns="36000" bIns="36000" anchor="ctr"/>
        <a:lstStyle/>
        <a:p>
          <a:pPr algn="l"/>
          <a:fld id="{FFD3B4D8-9BB8-4474-A076-FA5CD047887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128</xdr:row>
      <xdr:rowOff>324715</xdr:rowOff>
    </xdr:from>
    <xdr:to>
      <xdr:col>23</xdr:col>
      <xdr:colOff>0</xdr:colOff>
      <xdr:row>130</xdr:row>
      <xdr:rowOff>0</xdr:rowOff>
    </xdr:to>
    <xdr:sp macro="" textlink="AZ130">
      <xdr:nvSpPr>
        <xdr:cNvPr id="130" name="Text Box 1239"/>
        <xdr:cNvSpPr txBox="1">
          <a:spLocks noChangeArrowheads="1" noTextEdit="1"/>
        </xdr:cNvSpPr>
      </xdr:nvSpPr>
      <xdr:spPr bwMode="auto">
        <a:xfrm>
          <a:off x="14011275" y="3553690"/>
          <a:ext cx="2305050" cy="161060"/>
        </a:xfrm>
        <a:prstGeom prst="rect">
          <a:avLst/>
        </a:prstGeom>
        <a:noFill/>
        <a:ln w="9525" algn="ctr">
          <a:noFill/>
          <a:miter lim="800000"/>
          <a:headEnd/>
          <a:tailEnd/>
        </a:ln>
        <a:effectLst/>
      </xdr:spPr>
      <xdr:txBody>
        <a:bodyPr vertOverflow="clip" horzOverflow="clip" lIns="72000" tIns="36000" rIns="36000" bIns="36000" anchor="ctr"/>
        <a:lstStyle/>
        <a:p>
          <a:pPr algn="l"/>
          <a:fld id="{A1E20EE9-2CEC-48E5-A26A-E4A41D90EF1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130</xdr:row>
      <xdr:rowOff>0</xdr:rowOff>
    </xdr:from>
    <xdr:to>
      <xdr:col>23</xdr:col>
      <xdr:colOff>0</xdr:colOff>
      <xdr:row>131</xdr:row>
      <xdr:rowOff>0</xdr:rowOff>
    </xdr:to>
    <xdr:sp macro="" textlink="AZ131">
      <xdr:nvSpPr>
        <xdr:cNvPr id="131" name="Text Box 1240"/>
        <xdr:cNvSpPr txBox="1">
          <a:spLocks noChangeArrowheads="1" noTextEdit="1"/>
        </xdr:cNvSpPr>
      </xdr:nvSpPr>
      <xdr:spPr bwMode="auto">
        <a:xfrm>
          <a:off x="14011275" y="37147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458D357-73B5-42F8-97B8-E2408F8A1E7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131</xdr:row>
      <xdr:rowOff>0</xdr:rowOff>
    </xdr:from>
    <xdr:to>
      <xdr:col>23</xdr:col>
      <xdr:colOff>0</xdr:colOff>
      <xdr:row>132</xdr:row>
      <xdr:rowOff>0</xdr:rowOff>
    </xdr:to>
    <xdr:sp macro="" textlink="AZ132">
      <xdr:nvSpPr>
        <xdr:cNvPr id="132" name="Text Box 1241"/>
        <xdr:cNvSpPr txBox="1">
          <a:spLocks noChangeArrowheads="1" noTextEdit="1"/>
        </xdr:cNvSpPr>
      </xdr:nvSpPr>
      <xdr:spPr bwMode="auto">
        <a:xfrm>
          <a:off x="14011275" y="38766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AA85AB4-3D20-4B1C-9AD5-F7522EB9653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132</xdr:row>
      <xdr:rowOff>0</xdr:rowOff>
    </xdr:from>
    <xdr:to>
      <xdr:col>23</xdr:col>
      <xdr:colOff>0</xdr:colOff>
      <xdr:row>133</xdr:row>
      <xdr:rowOff>0</xdr:rowOff>
    </xdr:to>
    <xdr:sp macro="" textlink="AZ133">
      <xdr:nvSpPr>
        <xdr:cNvPr id="133" name="Text Box 1242"/>
        <xdr:cNvSpPr txBox="1">
          <a:spLocks noChangeArrowheads="1" noTextEdit="1"/>
        </xdr:cNvSpPr>
      </xdr:nvSpPr>
      <xdr:spPr bwMode="auto">
        <a:xfrm>
          <a:off x="14011275" y="4038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29951E0-C59A-42E8-9170-DC67E51B7D9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133</xdr:row>
      <xdr:rowOff>0</xdr:rowOff>
    </xdr:from>
    <xdr:to>
      <xdr:col>23</xdr:col>
      <xdr:colOff>0</xdr:colOff>
      <xdr:row>133</xdr:row>
      <xdr:rowOff>160193</xdr:rowOff>
    </xdr:to>
    <xdr:sp macro="" textlink="AZ134">
      <xdr:nvSpPr>
        <xdr:cNvPr id="134" name="Text Box 1243"/>
        <xdr:cNvSpPr txBox="1">
          <a:spLocks noChangeArrowheads="1" noTextEdit="1"/>
        </xdr:cNvSpPr>
      </xdr:nvSpPr>
      <xdr:spPr bwMode="auto">
        <a:xfrm>
          <a:off x="14011275" y="42005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0C8337F1-880E-4D88-9C44-E866745A143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134</xdr:row>
      <xdr:rowOff>1</xdr:rowOff>
    </xdr:from>
    <xdr:to>
      <xdr:col>23</xdr:col>
      <xdr:colOff>0</xdr:colOff>
      <xdr:row>135</xdr:row>
      <xdr:rowOff>0</xdr:rowOff>
    </xdr:to>
    <xdr:sp macro="" textlink="AZ135">
      <xdr:nvSpPr>
        <xdr:cNvPr id="135" name="Text Box 1245"/>
        <xdr:cNvSpPr txBox="1">
          <a:spLocks noChangeArrowheads="1" noTextEdit="1"/>
        </xdr:cNvSpPr>
      </xdr:nvSpPr>
      <xdr:spPr bwMode="auto">
        <a:xfrm>
          <a:off x="14011275" y="43624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1FE13D4C-9388-473C-8AE4-9CD98EC3A6B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135</xdr:row>
      <xdr:rowOff>0</xdr:rowOff>
    </xdr:from>
    <xdr:to>
      <xdr:col>23</xdr:col>
      <xdr:colOff>0</xdr:colOff>
      <xdr:row>136</xdr:row>
      <xdr:rowOff>0</xdr:rowOff>
    </xdr:to>
    <xdr:sp macro="" textlink="AZ136">
      <xdr:nvSpPr>
        <xdr:cNvPr id="136" name="Text Box 1246"/>
        <xdr:cNvSpPr txBox="1">
          <a:spLocks noChangeArrowheads="1" noTextEdit="1"/>
        </xdr:cNvSpPr>
      </xdr:nvSpPr>
      <xdr:spPr bwMode="auto">
        <a:xfrm>
          <a:off x="14011275" y="4524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49D54A0-49AB-4ACF-BC11-27AD39089A0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136</xdr:row>
      <xdr:rowOff>0</xdr:rowOff>
    </xdr:from>
    <xdr:to>
      <xdr:col>23</xdr:col>
      <xdr:colOff>0</xdr:colOff>
      <xdr:row>137</xdr:row>
      <xdr:rowOff>0</xdr:rowOff>
    </xdr:to>
    <xdr:sp macro="" textlink="AZ137">
      <xdr:nvSpPr>
        <xdr:cNvPr id="137" name="Text Box 1247"/>
        <xdr:cNvSpPr txBox="1">
          <a:spLocks noChangeArrowheads="1" noTextEdit="1"/>
        </xdr:cNvSpPr>
      </xdr:nvSpPr>
      <xdr:spPr bwMode="auto">
        <a:xfrm>
          <a:off x="14011275" y="46863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4EE9050-B008-4ED9-B8FB-0C1455877E9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137</xdr:row>
      <xdr:rowOff>0</xdr:rowOff>
    </xdr:from>
    <xdr:to>
      <xdr:col>23</xdr:col>
      <xdr:colOff>0</xdr:colOff>
      <xdr:row>138</xdr:row>
      <xdr:rowOff>0</xdr:rowOff>
    </xdr:to>
    <xdr:sp macro="" textlink="AZ138">
      <xdr:nvSpPr>
        <xdr:cNvPr id="138" name="Text Box 1248"/>
        <xdr:cNvSpPr txBox="1">
          <a:spLocks noChangeArrowheads="1" noTextEdit="1"/>
        </xdr:cNvSpPr>
      </xdr:nvSpPr>
      <xdr:spPr bwMode="auto">
        <a:xfrm>
          <a:off x="14011275" y="48482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DDAFBB1-E2BB-44BC-BBE3-F954F661DC8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138</xdr:row>
      <xdr:rowOff>0</xdr:rowOff>
    </xdr:from>
    <xdr:to>
      <xdr:col>23</xdr:col>
      <xdr:colOff>0</xdr:colOff>
      <xdr:row>138</xdr:row>
      <xdr:rowOff>160193</xdr:rowOff>
    </xdr:to>
    <xdr:sp macro="" textlink="AZ139">
      <xdr:nvSpPr>
        <xdr:cNvPr id="139" name="Text Box 1249"/>
        <xdr:cNvSpPr txBox="1">
          <a:spLocks noChangeArrowheads="1" noTextEdit="1"/>
        </xdr:cNvSpPr>
      </xdr:nvSpPr>
      <xdr:spPr bwMode="auto">
        <a:xfrm>
          <a:off x="14011275" y="50101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A19BBDAF-0C24-4E8A-9AC3-BB8F440B695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138</xdr:row>
      <xdr:rowOff>160193</xdr:rowOff>
    </xdr:from>
    <xdr:to>
      <xdr:col>23</xdr:col>
      <xdr:colOff>0</xdr:colOff>
      <xdr:row>139</xdr:row>
      <xdr:rowOff>160193</xdr:rowOff>
    </xdr:to>
    <xdr:sp macro="" textlink="AZ140">
      <xdr:nvSpPr>
        <xdr:cNvPr id="140" name="Text Box 1250"/>
        <xdr:cNvSpPr txBox="1">
          <a:spLocks noChangeArrowheads="1" noTextEdit="1"/>
        </xdr:cNvSpPr>
      </xdr:nvSpPr>
      <xdr:spPr bwMode="auto">
        <a:xfrm>
          <a:off x="14011275" y="51703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EA6CD73-35E0-461C-BA9A-998F7C32CF7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139</xdr:row>
      <xdr:rowOff>160193</xdr:rowOff>
    </xdr:from>
    <xdr:to>
      <xdr:col>23</xdr:col>
      <xdr:colOff>0</xdr:colOff>
      <xdr:row>141</xdr:row>
      <xdr:rowOff>0</xdr:rowOff>
    </xdr:to>
    <xdr:sp macro="" textlink="AZ141">
      <xdr:nvSpPr>
        <xdr:cNvPr id="141" name="Text Box 1251"/>
        <xdr:cNvSpPr txBox="1">
          <a:spLocks noChangeArrowheads="1" noTextEdit="1"/>
        </xdr:cNvSpPr>
      </xdr:nvSpPr>
      <xdr:spPr bwMode="auto">
        <a:xfrm>
          <a:off x="14011275" y="53322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CB52DEDB-8ABB-41E2-B892-2B210C3636E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141</xdr:row>
      <xdr:rowOff>0</xdr:rowOff>
    </xdr:from>
    <xdr:to>
      <xdr:col>23</xdr:col>
      <xdr:colOff>0</xdr:colOff>
      <xdr:row>142</xdr:row>
      <xdr:rowOff>0</xdr:rowOff>
    </xdr:to>
    <xdr:sp macro="" textlink="AZ142">
      <xdr:nvSpPr>
        <xdr:cNvPr id="142" name="Text Box 1252"/>
        <xdr:cNvSpPr txBox="1">
          <a:spLocks noChangeArrowheads="1" noTextEdit="1"/>
        </xdr:cNvSpPr>
      </xdr:nvSpPr>
      <xdr:spPr bwMode="auto">
        <a:xfrm>
          <a:off x="14011275" y="54959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A56ED7F-BBE2-45D4-A0AB-4AD9265124A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142</xdr:row>
      <xdr:rowOff>0</xdr:rowOff>
    </xdr:from>
    <xdr:to>
      <xdr:col>23</xdr:col>
      <xdr:colOff>0</xdr:colOff>
      <xdr:row>143</xdr:row>
      <xdr:rowOff>0</xdr:rowOff>
    </xdr:to>
    <xdr:sp macro="" textlink="AZ143">
      <xdr:nvSpPr>
        <xdr:cNvPr id="143" name="Text Box 1253"/>
        <xdr:cNvSpPr txBox="1">
          <a:spLocks noChangeArrowheads="1" noTextEdit="1"/>
        </xdr:cNvSpPr>
      </xdr:nvSpPr>
      <xdr:spPr bwMode="auto">
        <a:xfrm>
          <a:off x="14011275" y="56578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295090C-89A2-485D-9961-A58C772C0A4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143</xdr:row>
      <xdr:rowOff>0</xdr:rowOff>
    </xdr:from>
    <xdr:to>
      <xdr:col>23</xdr:col>
      <xdr:colOff>0</xdr:colOff>
      <xdr:row>144</xdr:row>
      <xdr:rowOff>0</xdr:rowOff>
    </xdr:to>
    <xdr:sp macro="" textlink="AZ144">
      <xdr:nvSpPr>
        <xdr:cNvPr id="144" name="Text Box 1254"/>
        <xdr:cNvSpPr txBox="1">
          <a:spLocks noChangeArrowheads="1" noTextEdit="1"/>
        </xdr:cNvSpPr>
      </xdr:nvSpPr>
      <xdr:spPr bwMode="auto">
        <a:xfrm>
          <a:off x="14011275" y="58197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F210F1B-FFA0-4774-AA99-582A24796A6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144</xdr:row>
      <xdr:rowOff>0</xdr:rowOff>
    </xdr:from>
    <xdr:to>
      <xdr:col>23</xdr:col>
      <xdr:colOff>0</xdr:colOff>
      <xdr:row>144</xdr:row>
      <xdr:rowOff>160193</xdr:rowOff>
    </xdr:to>
    <xdr:sp macro="" textlink="AZ145">
      <xdr:nvSpPr>
        <xdr:cNvPr id="145" name="Text Box 1255"/>
        <xdr:cNvSpPr txBox="1">
          <a:spLocks noChangeArrowheads="1" noTextEdit="1"/>
        </xdr:cNvSpPr>
      </xdr:nvSpPr>
      <xdr:spPr bwMode="auto">
        <a:xfrm>
          <a:off x="14011275" y="59817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1BF83DF8-B422-4FFC-9A27-045A0B4064D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144</xdr:row>
      <xdr:rowOff>160193</xdr:rowOff>
    </xdr:from>
    <xdr:to>
      <xdr:col>23</xdr:col>
      <xdr:colOff>0</xdr:colOff>
      <xdr:row>146</xdr:row>
      <xdr:rowOff>0</xdr:rowOff>
    </xdr:to>
    <xdr:sp macro="" textlink="AZ146">
      <xdr:nvSpPr>
        <xdr:cNvPr id="146" name="Text Box 1256"/>
        <xdr:cNvSpPr txBox="1">
          <a:spLocks noChangeArrowheads="1" noTextEdit="1"/>
        </xdr:cNvSpPr>
      </xdr:nvSpPr>
      <xdr:spPr bwMode="auto">
        <a:xfrm>
          <a:off x="14011275" y="61418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E2CAA76E-7B63-41BD-A782-3B5DEFBCA0B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146</xdr:row>
      <xdr:rowOff>0</xdr:rowOff>
    </xdr:from>
    <xdr:to>
      <xdr:col>23</xdr:col>
      <xdr:colOff>0</xdr:colOff>
      <xdr:row>147</xdr:row>
      <xdr:rowOff>0</xdr:rowOff>
    </xdr:to>
    <xdr:sp macro="" textlink="AZ147">
      <xdr:nvSpPr>
        <xdr:cNvPr id="147" name="Text Box 1257"/>
        <xdr:cNvSpPr txBox="1">
          <a:spLocks noChangeArrowheads="1" noTextEdit="1"/>
        </xdr:cNvSpPr>
      </xdr:nvSpPr>
      <xdr:spPr bwMode="auto">
        <a:xfrm>
          <a:off x="14011275" y="6305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0AF7D4F-0F52-4E6F-A41E-7988E3FF65C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147</xdr:row>
      <xdr:rowOff>0</xdr:rowOff>
    </xdr:from>
    <xdr:to>
      <xdr:col>23</xdr:col>
      <xdr:colOff>0</xdr:colOff>
      <xdr:row>148</xdr:row>
      <xdr:rowOff>0</xdr:rowOff>
    </xdr:to>
    <xdr:sp macro="" textlink="AZ148">
      <xdr:nvSpPr>
        <xdr:cNvPr id="148" name="Text Box 1258"/>
        <xdr:cNvSpPr txBox="1">
          <a:spLocks noChangeArrowheads="1" noTextEdit="1"/>
        </xdr:cNvSpPr>
      </xdr:nvSpPr>
      <xdr:spPr bwMode="auto">
        <a:xfrm>
          <a:off x="14011275" y="64674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47793BE-F9CE-447F-A361-27345313BA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148</xdr:row>
      <xdr:rowOff>0</xdr:rowOff>
    </xdr:from>
    <xdr:to>
      <xdr:col>23</xdr:col>
      <xdr:colOff>0</xdr:colOff>
      <xdr:row>149</xdr:row>
      <xdr:rowOff>0</xdr:rowOff>
    </xdr:to>
    <xdr:sp macro="" textlink="AZ149">
      <xdr:nvSpPr>
        <xdr:cNvPr id="149" name="Text Box 1259"/>
        <xdr:cNvSpPr txBox="1">
          <a:spLocks noChangeArrowheads="1" noTextEdit="1"/>
        </xdr:cNvSpPr>
      </xdr:nvSpPr>
      <xdr:spPr bwMode="auto">
        <a:xfrm>
          <a:off x="14011275" y="66294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C9BC3BB-4D7A-4971-BA62-E65A2014423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149</xdr:row>
      <xdr:rowOff>0</xdr:rowOff>
    </xdr:from>
    <xdr:to>
      <xdr:col>23</xdr:col>
      <xdr:colOff>0</xdr:colOff>
      <xdr:row>149</xdr:row>
      <xdr:rowOff>160193</xdr:rowOff>
    </xdr:to>
    <xdr:sp macro="" textlink="AZ150">
      <xdr:nvSpPr>
        <xdr:cNvPr id="150" name="Text Box 1260"/>
        <xdr:cNvSpPr txBox="1">
          <a:spLocks noChangeArrowheads="1" noTextEdit="1"/>
        </xdr:cNvSpPr>
      </xdr:nvSpPr>
      <xdr:spPr bwMode="auto">
        <a:xfrm>
          <a:off x="14011275" y="67913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08930800-7F97-4AFB-89B4-496535DC76E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149</xdr:row>
      <xdr:rowOff>160193</xdr:rowOff>
    </xdr:from>
    <xdr:to>
      <xdr:col>23</xdr:col>
      <xdr:colOff>0</xdr:colOff>
      <xdr:row>150</xdr:row>
      <xdr:rowOff>160193</xdr:rowOff>
    </xdr:to>
    <xdr:sp macro="" textlink="AZ151">
      <xdr:nvSpPr>
        <xdr:cNvPr id="151" name="Text Box 1261"/>
        <xdr:cNvSpPr txBox="1">
          <a:spLocks noChangeArrowheads="1" noTextEdit="1"/>
        </xdr:cNvSpPr>
      </xdr:nvSpPr>
      <xdr:spPr bwMode="auto">
        <a:xfrm>
          <a:off x="14011275" y="69515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7082598-6B4F-4F90-A6D6-6AA260DDAA6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150</xdr:row>
      <xdr:rowOff>160193</xdr:rowOff>
    </xdr:from>
    <xdr:to>
      <xdr:col>23</xdr:col>
      <xdr:colOff>0</xdr:colOff>
      <xdr:row>152</xdr:row>
      <xdr:rowOff>0</xdr:rowOff>
    </xdr:to>
    <xdr:sp macro="" textlink="AZ152">
      <xdr:nvSpPr>
        <xdr:cNvPr id="152" name="Text Box 1262"/>
        <xdr:cNvSpPr txBox="1">
          <a:spLocks noChangeArrowheads="1" noTextEdit="1"/>
        </xdr:cNvSpPr>
      </xdr:nvSpPr>
      <xdr:spPr bwMode="auto">
        <a:xfrm>
          <a:off x="14011275" y="71134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14669D5F-8955-4FF2-83BC-43B7ED5091D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152</xdr:row>
      <xdr:rowOff>0</xdr:rowOff>
    </xdr:from>
    <xdr:to>
      <xdr:col>23</xdr:col>
      <xdr:colOff>0</xdr:colOff>
      <xdr:row>153</xdr:row>
      <xdr:rowOff>0</xdr:rowOff>
    </xdr:to>
    <xdr:sp macro="" textlink="AZ153">
      <xdr:nvSpPr>
        <xdr:cNvPr id="153" name="Text Box 1263"/>
        <xdr:cNvSpPr txBox="1">
          <a:spLocks noChangeArrowheads="1" noTextEdit="1"/>
        </xdr:cNvSpPr>
      </xdr:nvSpPr>
      <xdr:spPr bwMode="auto">
        <a:xfrm>
          <a:off x="14011275" y="72771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9FF97F1-DE48-4115-9ADD-20E199E6DC3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153</xdr:row>
      <xdr:rowOff>0</xdr:rowOff>
    </xdr:from>
    <xdr:to>
      <xdr:col>23</xdr:col>
      <xdr:colOff>0</xdr:colOff>
      <xdr:row>154</xdr:row>
      <xdr:rowOff>0</xdr:rowOff>
    </xdr:to>
    <xdr:sp macro="" textlink="AZ154">
      <xdr:nvSpPr>
        <xdr:cNvPr id="154" name="Text Box 1266"/>
        <xdr:cNvSpPr txBox="1">
          <a:spLocks noChangeArrowheads="1" noTextEdit="1"/>
        </xdr:cNvSpPr>
      </xdr:nvSpPr>
      <xdr:spPr bwMode="auto">
        <a:xfrm>
          <a:off x="14011275" y="74390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CFBC22A-0B7C-4EA0-AF76-31EDAA171A2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154</xdr:row>
      <xdr:rowOff>1</xdr:rowOff>
    </xdr:from>
    <xdr:to>
      <xdr:col>23</xdr:col>
      <xdr:colOff>0</xdr:colOff>
      <xdr:row>155</xdr:row>
      <xdr:rowOff>0</xdr:rowOff>
    </xdr:to>
    <xdr:sp macro="" textlink="AZ155">
      <xdr:nvSpPr>
        <xdr:cNvPr id="155" name="Text Box 1265"/>
        <xdr:cNvSpPr txBox="1">
          <a:spLocks noChangeArrowheads="1" noTextEdit="1"/>
        </xdr:cNvSpPr>
      </xdr:nvSpPr>
      <xdr:spPr bwMode="auto">
        <a:xfrm>
          <a:off x="14011275" y="76009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62490A7F-19C2-4B47-A8CD-B6B4317D792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155</xdr:row>
      <xdr:rowOff>0</xdr:rowOff>
    </xdr:from>
    <xdr:to>
      <xdr:col>23</xdr:col>
      <xdr:colOff>0</xdr:colOff>
      <xdr:row>155</xdr:row>
      <xdr:rowOff>160193</xdr:rowOff>
    </xdr:to>
    <xdr:sp macro="" textlink="AZ156">
      <xdr:nvSpPr>
        <xdr:cNvPr id="156" name="Text Box 1267"/>
        <xdr:cNvSpPr txBox="1">
          <a:spLocks noChangeArrowheads="1" noTextEdit="1"/>
        </xdr:cNvSpPr>
      </xdr:nvSpPr>
      <xdr:spPr bwMode="auto">
        <a:xfrm>
          <a:off x="14011275" y="77628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2F85674-6045-464B-900C-5D360247828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156</xdr:row>
      <xdr:rowOff>1</xdr:rowOff>
    </xdr:from>
    <xdr:to>
      <xdr:col>23</xdr:col>
      <xdr:colOff>0</xdr:colOff>
      <xdr:row>157</xdr:row>
      <xdr:rowOff>1</xdr:rowOff>
    </xdr:to>
    <xdr:sp macro="" textlink="AZ157">
      <xdr:nvSpPr>
        <xdr:cNvPr id="157" name="Text Box 1268"/>
        <xdr:cNvSpPr txBox="1">
          <a:spLocks noChangeArrowheads="1" noTextEdit="1"/>
        </xdr:cNvSpPr>
      </xdr:nvSpPr>
      <xdr:spPr bwMode="auto">
        <a:xfrm>
          <a:off x="14011275" y="7924801"/>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987E49B-7691-4199-98EC-1DA905783DB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157</xdr:row>
      <xdr:rowOff>0</xdr:rowOff>
    </xdr:from>
    <xdr:to>
      <xdr:col>23</xdr:col>
      <xdr:colOff>0</xdr:colOff>
      <xdr:row>158</xdr:row>
      <xdr:rowOff>0</xdr:rowOff>
    </xdr:to>
    <xdr:sp macro="" textlink="AZ158">
      <xdr:nvSpPr>
        <xdr:cNvPr id="158" name="Text Box 1269"/>
        <xdr:cNvSpPr txBox="1">
          <a:spLocks noChangeArrowheads="1" noTextEdit="1"/>
        </xdr:cNvSpPr>
      </xdr:nvSpPr>
      <xdr:spPr bwMode="auto">
        <a:xfrm>
          <a:off x="14011275" y="80867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2A312CA-C780-4C9C-A0B5-0AC3E69F224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158</xdr:row>
      <xdr:rowOff>0</xdr:rowOff>
    </xdr:from>
    <xdr:to>
      <xdr:col>23</xdr:col>
      <xdr:colOff>0</xdr:colOff>
      <xdr:row>159</xdr:row>
      <xdr:rowOff>0</xdr:rowOff>
    </xdr:to>
    <xdr:sp macro="" textlink="AZ159">
      <xdr:nvSpPr>
        <xdr:cNvPr id="159" name="Text Box 1270"/>
        <xdr:cNvSpPr txBox="1">
          <a:spLocks noChangeArrowheads="1" noTextEdit="1"/>
        </xdr:cNvSpPr>
      </xdr:nvSpPr>
      <xdr:spPr bwMode="auto">
        <a:xfrm>
          <a:off x="14011275" y="8248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FE0727C-59C5-4F67-957F-560ADAC14E2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159</xdr:row>
      <xdr:rowOff>0</xdr:rowOff>
    </xdr:from>
    <xdr:to>
      <xdr:col>23</xdr:col>
      <xdr:colOff>0</xdr:colOff>
      <xdr:row>160</xdr:row>
      <xdr:rowOff>0</xdr:rowOff>
    </xdr:to>
    <xdr:sp macro="" textlink="AZ160">
      <xdr:nvSpPr>
        <xdr:cNvPr id="160" name="Text Box 1271"/>
        <xdr:cNvSpPr txBox="1">
          <a:spLocks noChangeArrowheads="1" noTextEdit="1"/>
        </xdr:cNvSpPr>
      </xdr:nvSpPr>
      <xdr:spPr bwMode="auto">
        <a:xfrm>
          <a:off x="14011275" y="84105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41D4208-E859-4CC3-A248-B7EB22B9104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160</xdr:row>
      <xdr:rowOff>0</xdr:rowOff>
    </xdr:from>
    <xdr:to>
      <xdr:col>23</xdr:col>
      <xdr:colOff>0</xdr:colOff>
      <xdr:row>160</xdr:row>
      <xdr:rowOff>160193</xdr:rowOff>
    </xdr:to>
    <xdr:sp macro="" textlink="AZ161">
      <xdr:nvSpPr>
        <xdr:cNvPr id="161" name="Text Box 1272"/>
        <xdr:cNvSpPr txBox="1">
          <a:spLocks noChangeArrowheads="1" noTextEdit="1"/>
        </xdr:cNvSpPr>
      </xdr:nvSpPr>
      <xdr:spPr bwMode="auto">
        <a:xfrm>
          <a:off x="14011275" y="85725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85E8AB6-8CA1-41D6-A4B6-E10CAC41E26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160</xdr:row>
      <xdr:rowOff>160193</xdr:rowOff>
    </xdr:from>
    <xdr:to>
      <xdr:col>23</xdr:col>
      <xdr:colOff>0</xdr:colOff>
      <xdr:row>161</xdr:row>
      <xdr:rowOff>160193</xdr:rowOff>
    </xdr:to>
    <xdr:sp macro="" textlink="AZ162">
      <xdr:nvSpPr>
        <xdr:cNvPr id="162" name="Text Box 1273"/>
        <xdr:cNvSpPr txBox="1">
          <a:spLocks noChangeArrowheads="1" noTextEdit="1"/>
        </xdr:cNvSpPr>
      </xdr:nvSpPr>
      <xdr:spPr bwMode="auto">
        <a:xfrm>
          <a:off x="14011275" y="87326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4FA811A-E67A-4A4A-B81A-14F5C12F9E2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161</xdr:row>
      <xdr:rowOff>160193</xdr:rowOff>
    </xdr:from>
    <xdr:to>
      <xdr:col>23</xdr:col>
      <xdr:colOff>0</xdr:colOff>
      <xdr:row>163</xdr:row>
      <xdr:rowOff>0</xdr:rowOff>
    </xdr:to>
    <xdr:sp macro="" textlink="AZ163">
      <xdr:nvSpPr>
        <xdr:cNvPr id="163" name="Text Box 1277"/>
        <xdr:cNvSpPr txBox="1">
          <a:spLocks noChangeArrowheads="1" noTextEdit="1"/>
        </xdr:cNvSpPr>
      </xdr:nvSpPr>
      <xdr:spPr bwMode="auto">
        <a:xfrm>
          <a:off x="14011275" y="88946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8CCE2447-90B8-48ED-87A6-E1E866D8EC2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221</xdr:row>
      <xdr:rowOff>160193</xdr:rowOff>
    </xdr:from>
    <xdr:to>
      <xdr:col>23</xdr:col>
      <xdr:colOff>0</xdr:colOff>
      <xdr:row>223</xdr:row>
      <xdr:rowOff>0</xdr:rowOff>
    </xdr:to>
    <xdr:sp macro="" textlink="AZ223">
      <xdr:nvSpPr>
        <xdr:cNvPr id="164" name="Text Box 7260"/>
        <xdr:cNvSpPr txBox="1">
          <a:spLocks noChangeArrowheads="1" noTextEdit="1"/>
        </xdr:cNvSpPr>
      </xdr:nvSpPr>
      <xdr:spPr bwMode="auto">
        <a:xfrm>
          <a:off x="14011275" y="186101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DFE77619-54A6-4928-B876-87F2438AD5F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163</xdr:row>
      <xdr:rowOff>0</xdr:rowOff>
    </xdr:from>
    <xdr:to>
      <xdr:col>23</xdr:col>
      <xdr:colOff>0</xdr:colOff>
      <xdr:row>164</xdr:row>
      <xdr:rowOff>0</xdr:rowOff>
    </xdr:to>
    <xdr:sp macro="" textlink="AZ164">
      <xdr:nvSpPr>
        <xdr:cNvPr id="165" name="Text Box 7261"/>
        <xdr:cNvSpPr txBox="1">
          <a:spLocks noChangeArrowheads="1" noTextEdit="1"/>
        </xdr:cNvSpPr>
      </xdr:nvSpPr>
      <xdr:spPr bwMode="auto">
        <a:xfrm>
          <a:off x="14011275" y="90582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8D9D0AD-A574-4216-B9CD-3D768131C1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164</xdr:row>
      <xdr:rowOff>0</xdr:rowOff>
    </xdr:from>
    <xdr:to>
      <xdr:col>23</xdr:col>
      <xdr:colOff>0</xdr:colOff>
      <xdr:row>165</xdr:row>
      <xdr:rowOff>0</xdr:rowOff>
    </xdr:to>
    <xdr:sp macro="" textlink="AZ165">
      <xdr:nvSpPr>
        <xdr:cNvPr id="166" name="Text Box 7262"/>
        <xdr:cNvSpPr txBox="1">
          <a:spLocks noChangeArrowheads="1" noTextEdit="1"/>
        </xdr:cNvSpPr>
      </xdr:nvSpPr>
      <xdr:spPr bwMode="auto">
        <a:xfrm>
          <a:off x="14011275" y="92202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F6DA448-D368-40F4-B804-079ABFA2AA3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165</xdr:row>
      <xdr:rowOff>0</xdr:rowOff>
    </xdr:from>
    <xdr:to>
      <xdr:col>23</xdr:col>
      <xdr:colOff>0</xdr:colOff>
      <xdr:row>166</xdr:row>
      <xdr:rowOff>0</xdr:rowOff>
    </xdr:to>
    <xdr:sp macro="" textlink="AZ166">
      <xdr:nvSpPr>
        <xdr:cNvPr id="167" name="Text Box 7263"/>
        <xdr:cNvSpPr txBox="1">
          <a:spLocks noChangeArrowheads="1" noTextEdit="1"/>
        </xdr:cNvSpPr>
      </xdr:nvSpPr>
      <xdr:spPr bwMode="auto">
        <a:xfrm>
          <a:off x="14011275" y="9382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E31574E-5DA6-4487-9D49-875B5929F5E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166</xdr:row>
      <xdr:rowOff>0</xdr:rowOff>
    </xdr:from>
    <xdr:to>
      <xdr:col>23</xdr:col>
      <xdr:colOff>0</xdr:colOff>
      <xdr:row>166</xdr:row>
      <xdr:rowOff>160193</xdr:rowOff>
    </xdr:to>
    <xdr:sp macro="" textlink="AZ167">
      <xdr:nvSpPr>
        <xdr:cNvPr id="168" name="Text Box 7264"/>
        <xdr:cNvSpPr txBox="1">
          <a:spLocks noChangeArrowheads="1" noTextEdit="1"/>
        </xdr:cNvSpPr>
      </xdr:nvSpPr>
      <xdr:spPr bwMode="auto">
        <a:xfrm>
          <a:off x="14011275" y="95440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330290D-61FD-4CFD-BB03-4F32ECB1AF8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166</xdr:row>
      <xdr:rowOff>160193</xdr:rowOff>
    </xdr:from>
    <xdr:to>
      <xdr:col>23</xdr:col>
      <xdr:colOff>0</xdr:colOff>
      <xdr:row>168</xdr:row>
      <xdr:rowOff>0</xdr:rowOff>
    </xdr:to>
    <xdr:sp macro="" textlink="AZ168">
      <xdr:nvSpPr>
        <xdr:cNvPr id="169" name="Text Box 7265"/>
        <xdr:cNvSpPr txBox="1">
          <a:spLocks noChangeArrowheads="1" noTextEdit="1"/>
        </xdr:cNvSpPr>
      </xdr:nvSpPr>
      <xdr:spPr bwMode="auto">
        <a:xfrm>
          <a:off x="14011275" y="97042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93DC6B5D-ACC4-4B23-A8C5-B26F155EFF4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168</xdr:row>
      <xdr:rowOff>0</xdr:rowOff>
    </xdr:from>
    <xdr:to>
      <xdr:col>23</xdr:col>
      <xdr:colOff>0</xdr:colOff>
      <xdr:row>169</xdr:row>
      <xdr:rowOff>0</xdr:rowOff>
    </xdr:to>
    <xdr:sp macro="" textlink="AZ169">
      <xdr:nvSpPr>
        <xdr:cNvPr id="170" name="Text Box 7266"/>
        <xdr:cNvSpPr txBox="1">
          <a:spLocks noChangeArrowheads="1" noTextEdit="1"/>
        </xdr:cNvSpPr>
      </xdr:nvSpPr>
      <xdr:spPr bwMode="auto">
        <a:xfrm>
          <a:off x="14011275" y="9867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93C460F-F655-4FA6-9DC2-DF529E7302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169</xdr:row>
      <xdr:rowOff>0</xdr:rowOff>
    </xdr:from>
    <xdr:to>
      <xdr:col>23</xdr:col>
      <xdr:colOff>0</xdr:colOff>
      <xdr:row>170</xdr:row>
      <xdr:rowOff>0</xdr:rowOff>
    </xdr:to>
    <xdr:sp macro="" textlink="AZ170">
      <xdr:nvSpPr>
        <xdr:cNvPr id="171" name="Text Box 7267"/>
        <xdr:cNvSpPr txBox="1">
          <a:spLocks noChangeArrowheads="1" noTextEdit="1"/>
        </xdr:cNvSpPr>
      </xdr:nvSpPr>
      <xdr:spPr bwMode="auto">
        <a:xfrm>
          <a:off x="14011275" y="10029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082D9D3-F6FE-45F4-BF2D-CEA946238D5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170</xdr:row>
      <xdr:rowOff>0</xdr:rowOff>
    </xdr:from>
    <xdr:to>
      <xdr:col>23</xdr:col>
      <xdr:colOff>0</xdr:colOff>
      <xdr:row>171</xdr:row>
      <xdr:rowOff>0</xdr:rowOff>
    </xdr:to>
    <xdr:sp macro="" textlink="AZ171">
      <xdr:nvSpPr>
        <xdr:cNvPr id="172" name="Text Box 7268"/>
        <xdr:cNvSpPr txBox="1">
          <a:spLocks noChangeArrowheads="1" noTextEdit="1"/>
        </xdr:cNvSpPr>
      </xdr:nvSpPr>
      <xdr:spPr bwMode="auto">
        <a:xfrm>
          <a:off x="14011275" y="101917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4CCC726-48BC-4531-B74E-150558DD019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171</xdr:row>
      <xdr:rowOff>0</xdr:rowOff>
    </xdr:from>
    <xdr:to>
      <xdr:col>23</xdr:col>
      <xdr:colOff>0</xdr:colOff>
      <xdr:row>171</xdr:row>
      <xdr:rowOff>160193</xdr:rowOff>
    </xdr:to>
    <xdr:sp macro="" textlink="AZ172">
      <xdr:nvSpPr>
        <xdr:cNvPr id="173" name="Text Box 7269"/>
        <xdr:cNvSpPr txBox="1">
          <a:spLocks noChangeArrowheads="1" noTextEdit="1"/>
        </xdr:cNvSpPr>
      </xdr:nvSpPr>
      <xdr:spPr bwMode="auto">
        <a:xfrm>
          <a:off x="14011275" y="103536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895FE98E-B029-4282-A054-9722C4D50F9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171</xdr:row>
      <xdr:rowOff>160193</xdr:rowOff>
    </xdr:from>
    <xdr:to>
      <xdr:col>23</xdr:col>
      <xdr:colOff>0</xdr:colOff>
      <xdr:row>172</xdr:row>
      <xdr:rowOff>160193</xdr:rowOff>
    </xdr:to>
    <xdr:sp macro="" textlink="AZ173">
      <xdr:nvSpPr>
        <xdr:cNvPr id="174" name="Text Box 7270"/>
        <xdr:cNvSpPr txBox="1">
          <a:spLocks noChangeArrowheads="1" noTextEdit="1"/>
        </xdr:cNvSpPr>
      </xdr:nvSpPr>
      <xdr:spPr bwMode="auto">
        <a:xfrm>
          <a:off x="14011275" y="105138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A7F0551-B398-4492-A479-C8A751E7818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172</xdr:row>
      <xdr:rowOff>160193</xdr:rowOff>
    </xdr:from>
    <xdr:to>
      <xdr:col>23</xdr:col>
      <xdr:colOff>0</xdr:colOff>
      <xdr:row>174</xdr:row>
      <xdr:rowOff>0</xdr:rowOff>
    </xdr:to>
    <xdr:sp macro="" textlink="AZ174">
      <xdr:nvSpPr>
        <xdr:cNvPr id="175" name="Text Box 7271"/>
        <xdr:cNvSpPr txBox="1">
          <a:spLocks noChangeArrowheads="1" noTextEdit="1"/>
        </xdr:cNvSpPr>
      </xdr:nvSpPr>
      <xdr:spPr bwMode="auto">
        <a:xfrm>
          <a:off x="14011275" y="106757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6DD68131-DF87-40A6-BB1D-76C2873ACE8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174</xdr:row>
      <xdr:rowOff>0</xdr:rowOff>
    </xdr:from>
    <xdr:to>
      <xdr:col>23</xdr:col>
      <xdr:colOff>0</xdr:colOff>
      <xdr:row>175</xdr:row>
      <xdr:rowOff>0</xdr:rowOff>
    </xdr:to>
    <xdr:sp macro="" textlink="AZ175">
      <xdr:nvSpPr>
        <xdr:cNvPr id="176" name="Text Box 7272"/>
        <xdr:cNvSpPr txBox="1">
          <a:spLocks noChangeArrowheads="1" noTextEdit="1"/>
        </xdr:cNvSpPr>
      </xdr:nvSpPr>
      <xdr:spPr bwMode="auto">
        <a:xfrm>
          <a:off x="14011275" y="108394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3B68DFE-829C-43F1-A7F5-D0F4B421A34B}" type="TxLink">
            <a:rPr lang="en-US"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21</xdr:col>
      <xdr:colOff>0</xdr:colOff>
      <xdr:row>175</xdr:row>
      <xdr:rowOff>0</xdr:rowOff>
    </xdr:from>
    <xdr:to>
      <xdr:col>23</xdr:col>
      <xdr:colOff>0</xdr:colOff>
      <xdr:row>176</xdr:row>
      <xdr:rowOff>0</xdr:rowOff>
    </xdr:to>
    <xdr:sp macro="" textlink="AZ176">
      <xdr:nvSpPr>
        <xdr:cNvPr id="177" name="Text Box 7273"/>
        <xdr:cNvSpPr txBox="1">
          <a:spLocks noChangeArrowheads="1" noTextEdit="1"/>
        </xdr:cNvSpPr>
      </xdr:nvSpPr>
      <xdr:spPr bwMode="auto">
        <a:xfrm>
          <a:off x="14011275" y="11001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529C37B-2CC7-429D-826B-D1F89422A94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176</xdr:row>
      <xdr:rowOff>0</xdr:rowOff>
    </xdr:from>
    <xdr:to>
      <xdr:col>23</xdr:col>
      <xdr:colOff>0</xdr:colOff>
      <xdr:row>177</xdr:row>
      <xdr:rowOff>0</xdr:rowOff>
    </xdr:to>
    <xdr:sp macro="" textlink="AZ177">
      <xdr:nvSpPr>
        <xdr:cNvPr id="178" name="Text Box 7274"/>
        <xdr:cNvSpPr txBox="1">
          <a:spLocks noChangeArrowheads="1" noTextEdit="1"/>
        </xdr:cNvSpPr>
      </xdr:nvSpPr>
      <xdr:spPr bwMode="auto">
        <a:xfrm>
          <a:off x="14011275" y="111633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DB2785F-1B04-4AD7-ADD0-7C94D0A1769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177</xdr:row>
      <xdr:rowOff>0</xdr:rowOff>
    </xdr:from>
    <xdr:to>
      <xdr:col>23</xdr:col>
      <xdr:colOff>0</xdr:colOff>
      <xdr:row>177</xdr:row>
      <xdr:rowOff>160193</xdr:rowOff>
    </xdr:to>
    <xdr:sp macro="" textlink="AZ178">
      <xdr:nvSpPr>
        <xdr:cNvPr id="179" name="Text Box 7275"/>
        <xdr:cNvSpPr txBox="1">
          <a:spLocks noChangeArrowheads="1" noTextEdit="1"/>
        </xdr:cNvSpPr>
      </xdr:nvSpPr>
      <xdr:spPr bwMode="auto">
        <a:xfrm>
          <a:off x="14011275" y="113252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D571F77C-DE31-41D2-BD36-EA9E4221BA2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178</xdr:row>
      <xdr:rowOff>1</xdr:rowOff>
    </xdr:from>
    <xdr:to>
      <xdr:col>23</xdr:col>
      <xdr:colOff>0</xdr:colOff>
      <xdr:row>179</xdr:row>
      <xdr:rowOff>0</xdr:rowOff>
    </xdr:to>
    <xdr:sp macro="" textlink="AZ179">
      <xdr:nvSpPr>
        <xdr:cNvPr id="180" name="Text Box 7276"/>
        <xdr:cNvSpPr txBox="1">
          <a:spLocks noChangeArrowheads="1" noTextEdit="1"/>
        </xdr:cNvSpPr>
      </xdr:nvSpPr>
      <xdr:spPr bwMode="auto">
        <a:xfrm>
          <a:off x="14011275" y="114871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9B818D96-FB71-47CE-85A8-EAF4A255EEC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179</xdr:row>
      <xdr:rowOff>0</xdr:rowOff>
    </xdr:from>
    <xdr:to>
      <xdr:col>23</xdr:col>
      <xdr:colOff>0</xdr:colOff>
      <xdr:row>180</xdr:row>
      <xdr:rowOff>0</xdr:rowOff>
    </xdr:to>
    <xdr:sp macro="" textlink="AZ180">
      <xdr:nvSpPr>
        <xdr:cNvPr id="181" name="Text Box 7277"/>
        <xdr:cNvSpPr txBox="1">
          <a:spLocks noChangeArrowheads="1" noTextEdit="1"/>
        </xdr:cNvSpPr>
      </xdr:nvSpPr>
      <xdr:spPr bwMode="auto">
        <a:xfrm>
          <a:off x="14011275" y="11649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CC5DC5F-59D7-4E9A-8506-253C3A49E2B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180</xdr:row>
      <xdr:rowOff>0</xdr:rowOff>
    </xdr:from>
    <xdr:to>
      <xdr:col>23</xdr:col>
      <xdr:colOff>0</xdr:colOff>
      <xdr:row>181</xdr:row>
      <xdr:rowOff>0</xdr:rowOff>
    </xdr:to>
    <xdr:sp macro="" textlink="AZ181">
      <xdr:nvSpPr>
        <xdr:cNvPr id="182" name="Text Box 7278"/>
        <xdr:cNvSpPr txBox="1">
          <a:spLocks noChangeArrowheads="1" noTextEdit="1"/>
        </xdr:cNvSpPr>
      </xdr:nvSpPr>
      <xdr:spPr bwMode="auto">
        <a:xfrm>
          <a:off x="14011275" y="118110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2C23310-9581-43FB-9E73-E8E07835456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181</xdr:row>
      <xdr:rowOff>0</xdr:rowOff>
    </xdr:from>
    <xdr:to>
      <xdr:col>23</xdr:col>
      <xdr:colOff>0</xdr:colOff>
      <xdr:row>182</xdr:row>
      <xdr:rowOff>0</xdr:rowOff>
    </xdr:to>
    <xdr:sp macro="" textlink="AZ182">
      <xdr:nvSpPr>
        <xdr:cNvPr id="183" name="Text Box 7279"/>
        <xdr:cNvSpPr txBox="1">
          <a:spLocks noChangeArrowheads="1" noTextEdit="1"/>
        </xdr:cNvSpPr>
      </xdr:nvSpPr>
      <xdr:spPr bwMode="auto">
        <a:xfrm>
          <a:off x="14011275" y="119729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1EE2AF2-F2D6-47E2-8A01-D5E5F0C25DC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182</xdr:row>
      <xdr:rowOff>0</xdr:rowOff>
    </xdr:from>
    <xdr:to>
      <xdr:col>23</xdr:col>
      <xdr:colOff>0</xdr:colOff>
      <xdr:row>182</xdr:row>
      <xdr:rowOff>160193</xdr:rowOff>
    </xdr:to>
    <xdr:sp macro="" textlink="AZ183">
      <xdr:nvSpPr>
        <xdr:cNvPr id="184" name="Text Box 7280"/>
        <xdr:cNvSpPr txBox="1">
          <a:spLocks noChangeArrowheads="1" noTextEdit="1"/>
        </xdr:cNvSpPr>
      </xdr:nvSpPr>
      <xdr:spPr bwMode="auto">
        <a:xfrm>
          <a:off x="14011275" y="121348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88C01FD1-C43D-44A6-BF80-BB9B1F3BC14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182</xdr:row>
      <xdr:rowOff>160193</xdr:rowOff>
    </xdr:from>
    <xdr:to>
      <xdr:col>23</xdr:col>
      <xdr:colOff>0</xdr:colOff>
      <xdr:row>183</xdr:row>
      <xdr:rowOff>160193</xdr:rowOff>
    </xdr:to>
    <xdr:sp macro="" textlink="AZ184">
      <xdr:nvSpPr>
        <xdr:cNvPr id="185" name="Text Box 7281"/>
        <xdr:cNvSpPr txBox="1">
          <a:spLocks noChangeArrowheads="1" noTextEdit="1"/>
        </xdr:cNvSpPr>
      </xdr:nvSpPr>
      <xdr:spPr bwMode="auto">
        <a:xfrm>
          <a:off x="14011275" y="122950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6F9101C-202E-464E-B680-CC71FEBE444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184</xdr:row>
      <xdr:rowOff>1</xdr:rowOff>
    </xdr:from>
    <xdr:to>
      <xdr:col>23</xdr:col>
      <xdr:colOff>0</xdr:colOff>
      <xdr:row>185</xdr:row>
      <xdr:rowOff>0</xdr:rowOff>
    </xdr:to>
    <xdr:sp macro="" textlink="AZ185">
      <xdr:nvSpPr>
        <xdr:cNvPr id="186" name="Text Box 7282"/>
        <xdr:cNvSpPr txBox="1">
          <a:spLocks noChangeArrowheads="1" noTextEdit="1"/>
        </xdr:cNvSpPr>
      </xdr:nvSpPr>
      <xdr:spPr bwMode="auto">
        <a:xfrm>
          <a:off x="14011275" y="1245870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75E95790-2361-44A9-B592-5128E06C61C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185</xdr:row>
      <xdr:rowOff>0</xdr:rowOff>
    </xdr:from>
    <xdr:to>
      <xdr:col>23</xdr:col>
      <xdr:colOff>0</xdr:colOff>
      <xdr:row>186</xdr:row>
      <xdr:rowOff>0</xdr:rowOff>
    </xdr:to>
    <xdr:sp macro="" textlink="AZ186">
      <xdr:nvSpPr>
        <xdr:cNvPr id="187" name="Text Box 7283"/>
        <xdr:cNvSpPr txBox="1">
          <a:spLocks noChangeArrowheads="1" noTextEdit="1"/>
        </xdr:cNvSpPr>
      </xdr:nvSpPr>
      <xdr:spPr bwMode="auto">
        <a:xfrm>
          <a:off x="14011275" y="126206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BDD1A9F-1D59-4759-8EB2-EB7818C8001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186</xdr:row>
      <xdr:rowOff>0</xdr:rowOff>
    </xdr:from>
    <xdr:to>
      <xdr:col>23</xdr:col>
      <xdr:colOff>0</xdr:colOff>
      <xdr:row>187</xdr:row>
      <xdr:rowOff>0</xdr:rowOff>
    </xdr:to>
    <xdr:sp macro="" textlink="AZ187">
      <xdr:nvSpPr>
        <xdr:cNvPr id="188" name="Text Box 7284"/>
        <xdr:cNvSpPr txBox="1">
          <a:spLocks noChangeArrowheads="1" noTextEdit="1"/>
        </xdr:cNvSpPr>
      </xdr:nvSpPr>
      <xdr:spPr bwMode="auto">
        <a:xfrm>
          <a:off x="14011275" y="12782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AEA7090-7FDF-4E58-882D-8FE47E92AC0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187</xdr:row>
      <xdr:rowOff>0</xdr:rowOff>
    </xdr:from>
    <xdr:to>
      <xdr:col>23</xdr:col>
      <xdr:colOff>0</xdr:colOff>
      <xdr:row>188</xdr:row>
      <xdr:rowOff>0</xdr:rowOff>
    </xdr:to>
    <xdr:sp macro="" textlink="AZ188">
      <xdr:nvSpPr>
        <xdr:cNvPr id="189" name="Text Box 7285"/>
        <xdr:cNvSpPr txBox="1">
          <a:spLocks noChangeArrowheads="1" noTextEdit="1"/>
        </xdr:cNvSpPr>
      </xdr:nvSpPr>
      <xdr:spPr bwMode="auto">
        <a:xfrm>
          <a:off x="14011275" y="129444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DBF81AA-86B6-46E0-97E1-2D2B956E58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188</xdr:row>
      <xdr:rowOff>0</xdr:rowOff>
    </xdr:from>
    <xdr:to>
      <xdr:col>23</xdr:col>
      <xdr:colOff>0</xdr:colOff>
      <xdr:row>188</xdr:row>
      <xdr:rowOff>160193</xdr:rowOff>
    </xdr:to>
    <xdr:sp macro="" textlink="AZ189">
      <xdr:nvSpPr>
        <xdr:cNvPr id="190" name="Text Box 7286"/>
        <xdr:cNvSpPr txBox="1">
          <a:spLocks noChangeArrowheads="1" noTextEdit="1"/>
        </xdr:cNvSpPr>
      </xdr:nvSpPr>
      <xdr:spPr bwMode="auto">
        <a:xfrm>
          <a:off x="14011275" y="131064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89D9F933-95AF-4AD0-808C-A481112429C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188</xdr:row>
      <xdr:rowOff>160193</xdr:rowOff>
    </xdr:from>
    <xdr:to>
      <xdr:col>23</xdr:col>
      <xdr:colOff>0</xdr:colOff>
      <xdr:row>190</xdr:row>
      <xdr:rowOff>0</xdr:rowOff>
    </xdr:to>
    <xdr:sp macro="" textlink="AZ190">
      <xdr:nvSpPr>
        <xdr:cNvPr id="191" name="Text Box 7287"/>
        <xdr:cNvSpPr txBox="1">
          <a:spLocks noChangeArrowheads="1" noTextEdit="1"/>
        </xdr:cNvSpPr>
      </xdr:nvSpPr>
      <xdr:spPr bwMode="auto">
        <a:xfrm>
          <a:off x="14011275" y="132665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D9CC88D0-A189-479F-BA6E-4917EBBFD66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190</xdr:row>
      <xdr:rowOff>0</xdr:rowOff>
    </xdr:from>
    <xdr:to>
      <xdr:col>23</xdr:col>
      <xdr:colOff>0</xdr:colOff>
      <xdr:row>191</xdr:row>
      <xdr:rowOff>0</xdr:rowOff>
    </xdr:to>
    <xdr:sp macro="" textlink="AZ191">
      <xdr:nvSpPr>
        <xdr:cNvPr id="192" name="Text Box 7288"/>
        <xdr:cNvSpPr txBox="1">
          <a:spLocks noChangeArrowheads="1" noTextEdit="1"/>
        </xdr:cNvSpPr>
      </xdr:nvSpPr>
      <xdr:spPr bwMode="auto">
        <a:xfrm>
          <a:off x="14011275" y="134302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740081C-7D4E-473B-848E-20E1E5D02EB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191</xdr:row>
      <xdr:rowOff>0</xdr:rowOff>
    </xdr:from>
    <xdr:to>
      <xdr:col>23</xdr:col>
      <xdr:colOff>0</xdr:colOff>
      <xdr:row>192</xdr:row>
      <xdr:rowOff>0</xdr:rowOff>
    </xdr:to>
    <xdr:sp macro="" textlink="AZ192">
      <xdr:nvSpPr>
        <xdr:cNvPr id="193" name="Text Box 7289"/>
        <xdr:cNvSpPr txBox="1">
          <a:spLocks noChangeArrowheads="1" noTextEdit="1"/>
        </xdr:cNvSpPr>
      </xdr:nvSpPr>
      <xdr:spPr bwMode="auto">
        <a:xfrm>
          <a:off x="14011275" y="13592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F53D71B-4BB2-488F-8EE7-A6D9D1F7A96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192</xdr:row>
      <xdr:rowOff>0</xdr:rowOff>
    </xdr:from>
    <xdr:to>
      <xdr:col>23</xdr:col>
      <xdr:colOff>0</xdr:colOff>
      <xdr:row>193</xdr:row>
      <xdr:rowOff>0</xdr:rowOff>
    </xdr:to>
    <xdr:sp macro="" textlink="AZ193">
      <xdr:nvSpPr>
        <xdr:cNvPr id="194" name="Text Box 7290"/>
        <xdr:cNvSpPr txBox="1">
          <a:spLocks noChangeArrowheads="1" noTextEdit="1"/>
        </xdr:cNvSpPr>
      </xdr:nvSpPr>
      <xdr:spPr bwMode="auto">
        <a:xfrm>
          <a:off x="14011275" y="137541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D60D0C9-ED14-4960-9D86-D37A3317A82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193</xdr:row>
      <xdr:rowOff>0</xdr:rowOff>
    </xdr:from>
    <xdr:to>
      <xdr:col>23</xdr:col>
      <xdr:colOff>0</xdr:colOff>
      <xdr:row>193</xdr:row>
      <xdr:rowOff>160193</xdr:rowOff>
    </xdr:to>
    <xdr:sp macro="" textlink="AZ194">
      <xdr:nvSpPr>
        <xdr:cNvPr id="195" name="Text Box 7291"/>
        <xdr:cNvSpPr txBox="1">
          <a:spLocks noChangeArrowheads="1" noTextEdit="1"/>
        </xdr:cNvSpPr>
      </xdr:nvSpPr>
      <xdr:spPr bwMode="auto">
        <a:xfrm>
          <a:off x="14011275" y="139160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32E6B21-1E36-4487-87B9-59D0690745D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193</xdr:row>
      <xdr:rowOff>160193</xdr:rowOff>
    </xdr:from>
    <xdr:to>
      <xdr:col>23</xdr:col>
      <xdr:colOff>0</xdr:colOff>
      <xdr:row>194</xdr:row>
      <xdr:rowOff>160193</xdr:rowOff>
    </xdr:to>
    <xdr:sp macro="" textlink="AZ195">
      <xdr:nvSpPr>
        <xdr:cNvPr id="196" name="Text Box 7292"/>
        <xdr:cNvSpPr txBox="1">
          <a:spLocks noChangeArrowheads="1" noTextEdit="1"/>
        </xdr:cNvSpPr>
      </xdr:nvSpPr>
      <xdr:spPr bwMode="auto">
        <a:xfrm>
          <a:off x="14011275" y="140762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793810B-6D80-4CD3-8064-B395E4C45C3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194</xdr:row>
      <xdr:rowOff>160193</xdr:rowOff>
    </xdr:from>
    <xdr:to>
      <xdr:col>23</xdr:col>
      <xdr:colOff>0</xdr:colOff>
      <xdr:row>196</xdr:row>
      <xdr:rowOff>0</xdr:rowOff>
    </xdr:to>
    <xdr:sp macro="" textlink="AZ196">
      <xdr:nvSpPr>
        <xdr:cNvPr id="197" name="Text Box 7293"/>
        <xdr:cNvSpPr txBox="1">
          <a:spLocks noChangeArrowheads="1" noTextEdit="1"/>
        </xdr:cNvSpPr>
      </xdr:nvSpPr>
      <xdr:spPr bwMode="auto">
        <a:xfrm>
          <a:off x="14011275" y="142381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428E5025-6EB3-4FF6-BF03-CAE02DBAB4B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196</xdr:row>
      <xdr:rowOff>0</xdr:rowOff>
    </xdr:from>
    <xdr:to>
      <xdr:col>23</xdr:col>
      <xdr:colOff>0</xdr:colOff>
      <xdr:row>197</xdr:row>
      <xdr:rowOff>0</xdr:rowOff>
    </xdr:to>
    <xdr:sp macro="" textlink="AZ197">
      <xdr:nvSpPr>
        <xdr:cNvPr id="198" name="Text Box 7294"/>
        <xdr:cNvSpPr txBox="1">
          <a:spLocks noChangeArrowheads="1" noTextEdit="1"/>
        </xdr:cNvSpPr>
      </xdr:nvSpPr>
      <xdr:spPr bwMode="auto">
        <a:xfrm>
          <a:off x="14011275" y="144018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53DF31B-70E2-468C-B728-3D2EFC6896D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197</xdr:row>
      <xdr:rowOff>0</xdr:rowOff>
    </xdr:from>
    <xdr:to>
      <xdr:col>23</xdr:col>
      <xdr:colOff>0</xdr:colOff>
      <xdr:row>198</xdr:row>
      <xdr:rowOff>0</xdr:rowOff>
    </xdr:to>
    <xdr:sp macro="" textlink="AZ198">
      <xdr:nvSpPr>
        <xdr:cNvPr id="199" name="Text Box 7295"/>
        <xdr:cNvSpPr txBox="1">
          <a:spLocks noChangeArrowheads="1" noTextEdit="1"/>
        </xdr:cNvSpPr>
      </xdr:nvSpPr>
      <xdr:spPr bwMode="auto">
        <a:xfrm>
          <a:off x="14011275" y="145637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BFD9A6D-2F1A-4DC1-85E1-689ED8B7AC0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198</xdr:row>
      <xdr:rowOff>0</xdr:rowOff>
    </xdr:from>
    <xdr:to>
      <xdr:col>23</xdr:col>
      <xdr:colOff>0</xdr:colOff>
      <xdr:row>199</xdr:row>
      <xdr:rowOff>0</xdr:rowOff>
    </xdr:to>
    <xdr:sp macro="" textlink="AZ199">
      <xdr:nvSpPr>
        <xdr:cNvPr id="200" name="Text Box 7296"/>
        <xdr:cNvSpPr txBox="1">
          <a:spLocks noChangeArrowheads="1" noTextEdit="1"/>
        </xdr:cNvSpPr>
      </xdr:nvSpPr>
      <xdr:spPr bwMode="auto">
        <a:xfrm>
          <a:off x="14011275" y="14725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57F7C96-FE1E-4DCD-B362-460EC0975F8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199</xdr:row>
      <xdr:rowOff>0</xdr:rowOff>
    </xdr:from>
    <xdr:to>
      <xdr:col>23</xdr:col>
      <xdr:colOff>0</xdr:colOff>
      <xdr:row>199</xdr:row>
      <xdr:rowOff>160193</xdr:rowOff>
    </xdr:to>
    <xdr:sp macro="" textlink="AZ200">
      <xdr:nvSpPr>
        <xdr:cNvPr id="201" name="Text Box 7297"/>
        <xdr:cNvSpPr txBox="1">
          <a:spLocks noChangeArrowheads="1" noTextEdit="1"/>
        </xdr:cNvSpPr>
      </xdr:nvSpPr>
      <xdr:spPr bwMode="auto">
        <a:xfrm>
          <a:off x="14011275" y="148875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7144D15-F3C5-4E75-BAEB-53DEA71B187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200</xdr:row>
      <xdr:rowOff>1</xdr:rowOff>
    </xdr:from>
    <xdr:to>
      <xdr:col>23</xdr:col>
      <xdr:colOff>0</xdr:colOff>
      <xdr:row>201</xdr:row>
      <xdr:rowOff>0</xdr:rowOff>
    </xdr:to>
    <xdr:sp macro="" textlink="AZ201">
      <xdr:nvSpPr>
        <xdr:cNvPr id="202" name="Text Box 7298"/>
        <xdr:cNvSpPr txBox="1">
          <a:spLocks noChangeArrowheads="1" noTextEdit="1"/>
        </xdr:cNvSpPr>
      </xdr:nvSpPr>
      <xdr:spPr bwMode="auto">
        <a:xfrm>
          <a:off x="14011275" y="1504950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7D09936F-E669-4BF3-95B3-D3EB5E03555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201</xdr:row>
      <xdr:rowOff>0</xdr:rowOff>
    </xdr:from>
    <xdr:to>
      <xdr:col>23</xdr:col>
      <xdr:colOff>0</xdr:colOff>
      <xdr:row>202</xdr:row>
      <xdr:rowOff>0</xdr:rowOff>
    </xdr:to>
    <xdr:sp macro="" textlink="AZ202">
      <xdr:nvSpPr>
        <xdr:cNvPr id="203" name="Text Box 7299"/>
        <xdr:cNvSpPr txBox="1">
          <a:spLocks noChangeArrowheads="1" noTextEdit="1"/>
        </xdr:cNvSpPr>
      </xdr:nvSpPr>
      <xdr:spPr bwMode="auto">
        <a:xfrm>
          <a:off x="14011275" y="15211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FAF8BAD-9B35-4F97-B8A0-78112D425BF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202</xdr:row>
      <xdr:rowOff>0</xdr:rowOff>
    </xdr:from>
    <xdr:to>
      <xdr:col>23</xdr:col>
      <xdr:colOff>0</xdr:colOff>
      <xdr:row>203</xdr:row>
      <xdr:rowOff>0</xdr:rowOff>
    </xdr:to>
    <xdr:sp macro="" textlink="AZ203">
      <xdr:nvSpPr>
        <xdr:cNvPr id="204" name="Text Box 7300"/>
        <xdr:cNvSpPr txBox="1">
          <a:spLocks noChangeArrowheads="1" noTextEdit="1"/>
        </xdr:cNvSpPr>
      </xdr:nvSpPr>
      <xdr:spPr bwMode="auto">
        <a:xfrm>
          <a:off x="14011275" y="15373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8FFE27C-FAB5-4041-B4C1-928C6C7737E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203</xdr:row>
      <xdr:rowOff>0</xdr:rowOff>
    </xdr:from>
    <xdr:to>
      <xdr:col>23</xdr:col>
      <xdr:colOff>0</xdr:colOff>
      <xdr:row>204</xdr:row>
      <xdr:rowOff>0</xdr:rowOff>
    </xdr:to>
    <xdr:sp macro="" textlink="AZ204">
      <xdr:nvSpPr>
        <xdr:cNvPr id="205" name="Text Box 7301"/>
        <xdr:cNvSpPr txBox="1">
          <a:spLocks noChangeArrowheads="1" noTextEdit="1"/>
        </xdr:cNvSpPr>
      </xdr:nvSpPr>
      <xdr:spPr bwMode="auto">
        <a:xfrm>
          <a:off x="14011275" y="155352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1FD963D-19C6-41F0-A75D-3437C9FAA81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204</xdr:row>
      <xdr:rowOff>0</xdr:rowOff>
    </xdr:from>
    <xdr:to>
      <xdr:col>23</xdr:col>
      <xdr:colOff>0</xdr:colOff>
      <xdr:row>204</xdr:row>
      <xdr:rowOff>160193</xdr:rowOff>
    </xdr:to>
    <xdr:sp macro="" textlink="AZ205">
      <xdr:nvSpPr>
        <xdr:cNvPr id="206" name="Text Box 7302"/>
        <xdr:cNvSpPr txBox="1">
          <a:spLocks noChangeArrowheads="1" noTextEdit="1"/>
        </xdr:cNvSpPr>
      </xdr:nvSpPr>
      <xdr:spPr bwMode="auto">
        <a:xfrm>
          <a:off x="14011275" y="15697200"/>
          <a:ext cx="2305050" cy="160193"/>
        </a:xfrm>
        <a:prstGeom prst="rect">
          <a:avLst/>
        </a:prstGeom>
        <a:noFill/>
        <a:ln w="9525" algn="ctr">
          <a:noFill/>
          <a:miter lim="800000"/>
          <a:headEnd/>
          <a:tailEnd/>
        </a:ln>
        <a:effectLst/>
      </xdr:spPr>
      <xdr:txBody>
        <a:bodyPr vertOverflow="clip" horzOverflow="clip" lIns="72000" anchor="ctr"/>
        <a:lstStyle/>
        <a:p>
          <a:pPr algn="l"/>
          <a:fld id="{557A6819-B637-4D90-B388-3CF9DA23BA8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204</xdr:row>
      <xdr:rowOff>160193</xdr:rowOff>
    </xdr:from>
    <xdr:to>
      <xdr:col>23</xdr:col>
      <xdr:colOff>0</xdr:colOff>
      <xdr:row>205</xdr:row>
      <xdr:rowOff>160193</xdr:rowOff>
    </xdr:to>
    <xdr:sp macro="" textlink="AZ206">
      <xdr:nvSpPr>
        <xdr:cNvPr id="207" name="Text Box 7303"/>
        <xdr:cNvSpPr txBox="1">
          <a:spLocks noChangeArrowheads="1" noTextEdit="1"/>
        </xdr:cNvSpPr>
      </xdr:nvSpPr>
      <xdr:spPr bwMode="auto">
        <a:xfrm>
          <a:off x="14011275" y="158573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F5EB86F-B912-48C8-BC4F-FE9E1493B36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205</xdr:row>
      <xdr:rowOff>160193</xdr:rowOff>
    </xdr:from>
    <xdr:to>
      <xdr:col>23</xdr:col>
      <xdr:colOff>0</xdr:colOff>
      <xdr:row>207</xdr:row>
      <xdr:rowOff>0</xdr:rowOff>
    </xdr:to>
    <xdr:sp macro="" textlink="AZ207">
      <xdr:nvSpPr>
        <xdr:cNvPr id="208" name="Text Box 7304"/>
        <xdr:cNvSpPr txBox="1">
          <a:spLocks noChangeArrowheads="1" noTextEdit="1"/>
        </xdr:cNvSpPr>
      </xdr:nvSpPr>
      <xdr:spPr bwMode="auto">
        <a:xfrm>
          <a:off x="14011275" y="160193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E01CF887-D334-46EA-8FEC-2E3506AA7D0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207</xdr:row>
      <xdr:rowOff>0</xdr:rowOff>
    </xdr:from>
    <xdr:to>
      <xdr:col>23</xdr:col>
      <xdr:colOff>0</xdr:colOff>
      <xdr:row>208</xdr:row>
      <xdr:rowOff>0</xdr:rowOff>
    </xdr:to>
    <xdr:sp macro="" textlink="AZ208">
      <xdr:nvSpPr>
        <xdr:cNvPr id="209" name="Text Box 7305"/>
        <xdr:cNvSpPr txBox="1">
          <a:spLocks noChangeArrowheads="1" noTextEdit="1"/>
        </xdr:cNvSpPr>
      </xdr:nvSpPr>
      <xdr:spPr bwMode="auto">
        <a:xfrm>
          <a:off x="14011275" y="161829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335440C-3B4F-400F-8EB6-FC29EE6878E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208</xdr:row>
      <xdr:rowOff>0</xdr:rowOff>
    </xdr:from>
    <xdr:to>
      <xdr:col>23</xdr:col>
      <xdr:colOff>0</xdr:colOff>
      <xdr:row>209</xdr:row>
      <xdr:rowOff>0</xdr:rowOff>
    </xdr:to>
    <xdr:sp macro="" textlink="AZ209">
      <xdr:nvSpPr>
        <xdr:cNvPr id="210" name="Text Box 7306"/>
        <xdr:cNvSpPr txBox="1">
          <a:spLocks noChangeArrowheads="1" noTextEdit="1"/>
        </xdr:cNvSpPr>
      </xdr:nvSpPr>
      <xdr:spPr bwMode="auto">
        <a:xfrm>
          <a:off x="14011275" y="16344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4A99BB6-9F13-4D07-9569-BE3CB006FA1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209</xdr:row>
      <xdr:rowOff>0</xdr:rowOff>
    </xdr:from>
    <xdr:to>
      <xdr:col>23</xdr:col>
      <xdr:colOff>0</xdr:colOff>
      <xdr:row>210</xdr:row>
      <xdr:rowOff>0</xdr:rowOff>
    </xdr:to>
    <xdr:sp macro="" textlink="AZ210">
      <xdr:nvSpPr>
        <xdr:cNvPr id="211" name="Text Box 7307"/>
        <xdr:cNvSpPr txBox="1">
          <a:spLocks noChangeArrowheads="1" noTextEdit="1"/>
        </xdr:cNvSpPr>
      </xdr:nvSpPr>
      <xdr:spPr bwMode="auto">
        <a:xfrm>
          <a:off x="14011275" y="16506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7810BE8-38DB-4262-BFE4-A832A52DF0A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210</xdr:row>
      <xdr:rowOff>0</xdr:rowOff>
    </xdr:from>
    <xdr:to>
      <xdr:col>23</xdr:col>
      <xdr:colOff>0</xdr:colOff>
      <xdr:row>210</xdr:row>
      <xdr:rowOff>160193</xdr:rowOff>
    </xdr:to>
    <xdr:sp macro="" textlink="AZ211">
      <xdr:nvSpPr>
        <xdr:cNvPr id="212" name="Text Box 7308"/>
        <xdr:cNvSpPr txBox="1">
          <a:spLocks noChangeArrowheads="1" noTextEdit="1"/>
        </xdr:cNvSpPr>
      </xdr:nvSpPr>
      <xdr:spPr bwMode="auto">
        <a:xfrm>
          <a:off x="14011275" y="166687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0A8F342B-C64B-4DD8-AD37-2CD7AB4EFFC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210</xdr:row>
      <xdr:rowOff>160193</xdr:rowOff>
    </xdr:from>
    <xdr:to>
      <xdr:col>23</xdr:col>
      <xdr:colOff>0</xdr:colOff>
      <xdr:row>212</xdr:row>
      <xdr:rowOff>0</xdr:rowOff>
    </xdr:to>
    <xdr:sp macro="" textlink="AZ212">
      <xdr:nvSpPr>
        <xdr:cNvPr id="213" name="Text Box 7309"/>
        <xdr:cNvSpPr txBox="1">
          <a:spLocks noChangeArrowheads="1" noTextEdit="1"/>
        </xdr:cNvSpPr>
      </xdr:nvSpPr>
      <xdr:spPr bwMode="auto">
        <a:xfrm>
          <a:off x="14011275" y="168289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8CFD3840-2734-4971-8BB6-4B7E25026B3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212</xdr:row>
      <xdr:rowOff>0</xdr:rowOff>
    </xdr:from>
    <xdr:to>
      <xdr:col>23</xdr:col>
      <xdr:colOff>0</xdr:colOff>
      <xdr:row>213</xdr:row>
      <xdr:rowOff>0</xdr:rowOff>
    </xdr:to>
    <xdr:sp macro="" textlink="AZ213">
      <xdr:nvSpPr>
        <xdr:cNvPr id="214" name="Text Box 7310"/>
        <xdr:cNvSpPr txBox="1">
          <a:spLocks noChangeArrowheads="1" noTextEdit="1"/>
        </xdr:cNvSpPr>
      </xdr:nvSpPr>
      <xdr:spPr bwMode="auto">
        <a:xfrm>
          <a:off x="14011275" y="16992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83ACB39-104B-464C-98D6-E30F3BF1B9D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213</xdr:row>
      <xdr:rowOff>0</xdr:rowOff>
    </xdr:from>
    <xdr:to>
      <xdr:col>23</xdr:col>
      <xdr:colOff>0</xdr:colOff>
      <xdr:row>214</xdr:row>
      <xdr:rowOff>0</xdr:rowOff>
    </xdr:to>
    <xdr:sp macro="" textlink="AZ214">
      <xdr:nvSpPr>
        <xdr:cNvPr id="215" name="Text Box 7311"/>
        <xdr:cNvSpPr txBox="1">
          <a:spLocks noChangeArrowheads="1" noTextEdit="1"/>
        </xdr:cNvSpPr>
      </xdr:nvSpPr>
      <xdr:spPr bwMode="auto">
        <a:xfrm>
          <a:off x="14011275" y="17154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823FBAA-2A80-4048-B71D-543691FD2D2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214</xdr:row>
      <xdr:rowOff>0</xdr:rowOff>
    </xdr:from>
    <xdr:to>
      <xdr:col>23</xdr:col>
      <xdr:colOff>0</xdr:colOff>
      <xdr:row>215</xdr:row>
      <xdr:rowOff>0</xdr:rowOff>
    </xdr:to>
    <xdr:sp macro="" textlink="AZ215">
      <xdr:nvSpPr>
        <xdr:cNvPr id="216" name="Text Box 7312"/>
        <xdr:cNvSpPr txBox="1">
          <a:spLocks noChangeArrowheads="1" noTextEdit="1"/>
        </xdr:cNvSpPr>
      </xdr:nvSpPr>
      <xdr:spPr bwMode="auto">
        <a:xfrm>
          <a:off x="14011275" y="173164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7DB26C6-0A7D-415C-9966-CDE1ACEF615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215</xdr:row>
      <xdr:rowOff>0</xdr:rowOff>
    </xdr:from>
    <xdr:to>
      <xdr:col>23</xdr:col>
      <xdr:colOff>0</xdr:colOff>
      <xdr:row>215</xdr:row>
      <xdr:rowOff>160193</xdr:rowOff>
    </xdr:to>
    <xdr:sp macro="" textlink="AZ216">
      <xdr:nvSpPr>
        <xdr:cNvPr id="217" name="Text Box 7313"/>
        <xdr:cNvSpPr txBox="1">
          <a:spLocks noChangeArrowheads="1" noTextEdit="1"/>
        </xdr:cNvSpPr>
      </xdr:nvSpPr>
      <xdr:spPr bwMode="auto">
        <a:xfrm>
          <a:off x="14011275" y="174783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BA362A7-7D1D-4A67-B3BC-7E39A445AE6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215</xdr:row>
      <xdr:rowOff>160193</xdr:rowOff>
    </xdr:from>
    <xdr:to>
      <xdr:col>23</xdr:col>
      <xdr:colOff>0</xdr:colOff>
      <xdr:row>216</xdr:row>
      <xdr:rowOff>160193</xdr:rowOff>
    </xdr:to>
    <xdr:sp macro="" textlink="AZ217">
      <xdr:nvSpPr>
        <xdr:cNvPr id="218" name="Text Box 7314"/>
        <xdr:cNvSpPr txBox="1">
          <a:spLocks noChangeArrowheads="1" noTextEdit="1"/>
        </xdr:cNvSpPr>
      </xdr:nvSpPr>
      <xdr:spPr bwMode="auto">
        <a:xfrm>
          <a:off x="14011275" y="176385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E1F331B-F507-4379-B9C4-6345DCECE41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216</xdr:row>
      <xdr:rowOff>160193</xdr:rowOff>
    </xdr:from>
    <xdr:to>
      <xdr:col>23</xdr:col>
      <xdr:colOff>0</xdr:colOff>
      <xdr:row>218</xdr:row>
      <xdr:rowOff>0</xdr:rowOff>
    </xdr:to>
    <xdr:sp macro="" textlink="AZ218">
      <xdr:nvSpPr>
        <xdr:cNvPr id="219" name="Text Box 7315"/>
        <xdr:cNvSpPr txBox="1">
          <a:spLocks noChangeArrowheads="1" noTextEdit="1"/>
        </xdr:cNvSpPr>
      </xdr:nvSpPr>
      <xdr:spPr bwMode="auto">
        <a:xfrm>
          <a:off x="14011275" y="178004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9DFFA9DA-24FF-4357-8850-C7EB3483936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218</xdr:row>
      <xdr:rowOff>0</xdr:rowOff>
    </xdr:from>
    <xdr:to>
      <xdr:col>23</xdr:col>
      <xdr:colOff>0</xdr:colOff>
      <xdr:row>219</xdr:row>
      <xdr:rowOff>0</xdr:rowOff>
    </xdr:to>
    <xdr:sp macro="" textlink="AZ219">
      <xdr:nvSpPr>
        <xdr:cNvPr id="220" name="Text Box 7316"/>
        <xdr:cNvSpPr txBox="1">
          <a:spLocks noChangeArrowheads="1" noTextEdit="1"/>
        </xdr:cNvSpPr>
      </xdr:nvSpPr>
      <xdr:spPr bwMode="auto">
        <a:xfrm>
          <a:off x="14011275" y="179641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9519942-D619-4E70-8BDA-81113332001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219</xdr:row>
      <xdr:rowOff>0</xdr:rowOff>
    </xdr:from>
    <xdr:to>
      <xdr:col>23</xdr:col>
      <xdr:colOff>0</xdr:colOff>
      <xdr:row>220</xdr:row>
      <xdr:rowOff>0</xdr:rowOff>
    </xdr:to>
    <xdr:sp macro="" textlink="AZ220">
      <xdr:nvSpPr>
        <xdr:cNvPr id="221" name="Text Box 7317"/>
        <xdr:cNvSpPr txBox="1">
          <a:spLocks noChangeArrowheads="1" noTextEdit="1"/>
        </xdr:cNvSpPr>
      </xdr:nvSpPr>
      <xdr:spPr bwMode="auto">
        <a:xfrm>
          <a:off x="14011275" y="18126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766902D-E960-4677-BF74-BAF23CB78D3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20</xdr:col>
      <xdr:colOff>1133475</xdr:colOff>
      <xdr:row>220</xdr:row>
      <xdr:rowOff>9525</xdr:rowOff>
    </xdr:from>
    <xdr:to>
      <xdr:col>22</xdr:col>
      <xdr:colOff>1390650</xdr:colOff>
      <xdr:row>221</xdr:row>
      <xdr:rowOff>9525</xdr:rowOff>
    </xdr:to>
    <xdr:sp macro="" textlink="AZ221">
      <xdr:nvSpPr>
        <xdr:cNvPr id="222" name="Text Box 7318"/>
        <xdr:cNvSpPr txBox="1">
          <a:spLocks noChangeArrowheads="1" noTextEdit="1"/>
        </xdr:cNvSpPr>
      </xdr:nvSpPr>
      <xdr:spPr bwMode="auto">
        <a:xfrm>
          <a:off x="14001750" y="18297525"/>
          <a:ext cx="2295525" cy="161925"/>
        </a:xfrm>
        <a:prstGeom prst="rect">
          <a:avLst/>
        </a:prstGeom>
        <a:noFill/>
        <a:ln w="9525" algn="ctr">
          <a:noFill/>
          <a:miter lim="800000"/>
          <a:headEnd/>
          <a:tailEnd/>
        </a:ln>
        <a:effectLst/>
      </xdr:spPr>
      <xdr:txBody>
        <a:bodyPr vertOverflow="clip" horzOverflow="clip" lIns="72000" tIns="36000" rIns="36000" bIns="36000" anchor="ctr"/>
        <a:lstStyle/>
        <a:p>
          <a:pPr algn="l"/>
          <a:fld id="{45EF04C2-55E6-4E39-AFBC-7BB61E346C5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221</xdr:row>
      <xdr:rowOff>0</xdr:rowOff>
    </xdr:from>
    <xdr:to>
      <xdr:col>23</xdr:col>
      <xdr:colOff>0</xdr:colOff>
      <xdr:row>221</xdr:row>
      <xdr:rowOff>160193</xdr:rowOff>
    </xdr:to>
    <xdr:sp macro="" textlink="AZ222">
      <xdr:nvSpPr>
        <xdr:cNvPr id="223" name="Text Box 7321"/>
        <xdr:cNvSpPr txBox="1">
          <a:spLocks noChangeArrowheads="1" noTextEdit="1"/>
        </xdr:cNvSpPr>
      </xdr:nvSpPr>
      <xdr:spPr bwMode="auto">
        <a:xfrm>
          <a:off x="14011275" y="184499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AED0C8A-24E0-440B-8757-E950235B293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226</xdr:row>
      <xdr:rowOff>0</xdr:rowOff>
    </xdr:from>
    <xdr:to>
      <xdr:col>23</xdr:col>
      <xdr:colOff>0</xdr:colOff>
      <xdr:row>227</xdr:row>
      <xdr:rowOff>0</xdr:rowOff>
    </xdr:to>
    <xdr:sp macro="" textlink="AZ227">
      <xdr:nvSpPr>
        <xdr:cNvPr id="424" name="Text Box 1236"/>
        <xdr:cNvSpPr txBox="1">
          <a:spLocks noChangeArrowheads="1" noTextEdit="1"/>
        </xdr:cNvSpPr>
      </xdr:nvSpPr>
      <xdr:spPr bwMode="auto">
        <a:xfrm>
          <a:off x="14011275" y="3552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FC9A668-E943-4EF2-9030-0DC4026033A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223</xdr:row>
      <xdr:rowOff>0</xdr:rowOff>
    </xdr:from>
    <xdr:to>
      <xdr:col>23</xdr:col>
      <xdr:colOff>0</xdr:colOff>
      <xdr:row>224</xdr:row>
      <xdr:rowOff>0</xdr:rowOff>
    </xdr:to>
    <xdr:sp macro="" textlink="AZ224">
      <xdr:nvSpPr>
        <xdr:cNvPr id="425" name="Text Box 1233"/>
        <xdr:cNvSpPr txBox="1">
          <a:spLocks noChangeArrowheads="1" noTextEdit="1"/>
        </xdr:cNvSpPr>
      </xdr:nvSpPr>
      <xdr:spPr bwMode="auto">
        <a:xfrm>
          <a:off x="14011275" y="2581275"/>
          <a:ext cx="2305050" cy="647700"/>
        </a:xfrm>
        <a:prstGeom prst="rect">
          <a:avLst/>
        </a:prstGeom>
        <a:noFill/>
        <a:ln w="9525" algn="ctr">
          <a:noFill/>
          <a:miter lim="800000"/>
          <a:headEnd/>
          <a:tailEnd/>
        </a:ln>
        <a:effectLst/>
      </xdr:spPr>
      <xdr:txBody>
        <a:bodyPr vertOverflow="clip" horzOverflow="clip" lIns="72000" tIns="36000" rIns="36000" bIns="36000" anchor="ctr"/>
        <a:lstStyle/>
        <a:p>
          <a:pPr algn="l"/>
          <a:fld id="{81BE9F6F-3DDD-419E-B2AA-26A30C946E8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225</xdr:row>
      <xdr:rowOff>0</xdr:rowOff>
    </xdr:from>
    <xdr:to>
      <xdr:col>23</xdr:col>
      <xdr:colOff>0</xdr:colOff>
      <xdr:row>226</xdr:row>
      <xdr:rowOff>0</xdr:rowOff>
    </xdr:to>
    <xdr:sp macro="" textlink="AZ226">
      <xdr:nvSpPr>
        <xdr:cNvPr id="426" name="Text Box 1235"/>
        <xdr:cNvSpPr txBox="1">
          <a:spLocks noChangeArrowheads="1" noTextEdit="1"/>
        </xdr:cNvSpPr>
      </xdr:nvSpPr>
      <xdr:spPr bwMode="auto">
        <a:xfrm>
          <a:off x="14011275" y="3390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3CC0138-B670-4E44-ADC6-EDBC87AF5CD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10583</xdr:colOff>
      <xdr:row>224</xdr:row>
      <xdr:rowOff>0</xdr:rowOff>
    </xdr:from>
    <xdr:to>
      <xdr:col>23</xdr:col>
      <xdr:colOff>10583</xdr:colOff>
      <xdr:row>225</xdr:row>
      <xdr:rowOff>0</xdr:rowOff>
    </xdr:to>
    <xdr:sp macro="" textlink="AZ225">
      <xdr:nvSpPr>
        <xdr:cNvPr id="427" name="Text Box 1234"/>
        <xdr:cNvSpPr txBox="1">
          <a:spLocks noChangeArrowheads="1" noTextEdit="1"/>
        </xdr:cNvSpPr>
      </xdr:nvSpPr>
      <xdr:spPr bwMode="auto">
        <a:xfrm>
          <a:off x="14021858" y="3228975"/>
          <a:ext cx="2305050" cy="161925"/>
        </a:xfrm>
        <a:prstGeom prst="rect">
          <a:avLst/>
        </a:prstGeom>
        <a:noFill/>
        <a:ln w="9525" algn="ctr">
          <a:noFill/>
          <a:miter lim="800000"/>
          <a:headEnd/>
          <a:tailEnd/>
        </a:ln>
        <a:effectLst/>
      </xdr:spPr>
      <xdr:txBody>
        <a:bodyPr vertOverflow="clip" horzOverflow="clip" wrap="square" lIns="72000" tIns="36000" rIns="36000" bIns="36000" anchor="ctr"/>
        <a:lstStyle/>
        <a:p>
          <a:pPr algn="l"/>
          <a:fld id="{9434F453-AACB-4548-9FE6-63B5B41CB71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227</xdr:row>
      <xdr:rowOff>1</xdr:rowOff>
    </xdr:from>
    <xdr:to>
      <xdr:col>23</xdr:col>
      <xdr:colOff>0</xdr:colOff>
      <xdr:row>228</xdr:row>
      <xdr:rowOff>0</xdr:rowOff>
    </xdr:to>
    <xdr:sp macro="" textlink="AZ228">
      <xdr:nvSpPr>
        <xdr:cNvPr id="428" name="Text Box 1237"/>
        <xdr:cNvSpPr txBox="1">
          <a:spLocks noChangeArrowheads="1" noTextEdit="1"/>
        </xdr:cNvSpPr>
      </xdr:nvSpPr>
      <xdr:spPr bwMode="auto">
        <a:xfrm>
          <a:off x="14011275" y="37147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391AA594-90D8-4A88-B1DA-F2B0EC214AF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228</xdr:row>
      <xdr:rowOff>0</xdr:rowOff>
    </xdr:from>
    <xdr:to>
      <xdr:col>23</xdr:col>
      <xdr:colOff>0</xdr:colOff>
      <xdr:row>228</xdr:row>
      <xdr:rowOff>324715</xdr:rowOff>
    </xdr:to>
    <xdr:sp macro="" textlink="AZ229">
      <xdr:nvSpPr>
        <xdr:cNvPr id="429" name="Text Box 1238"/>
        <xdr:cNvSpPr txBox="1">
          <a:spLocks noChangeArrowheads="1" noTextEdit="1"/>
        </xdr:cNvSpPr>
      </xdr:nvSpPr>
      <xdr:spPr bwMode="auto">
        <a:xfrm>
          <a:off x="14011275" y="3876675"/>
          <a:ext cx="2305050" cy="162790"/>
        </a:xfrm>
        <a:prstGeom prst="rect">
          <a:avLst/>
        </a:prstGeom>
        <a:noFill/>
        <a:ln w="9525" algn="ctr">
          <a:noFill/>
          <a:miter lim="800000"/>
          <a:headEnd/>
          <a:tailEnd/>
        </a:ln>
        <a:effectLst/>
      </xdr:spPr>
      <xdr:txBody>
        <a:bodyPr vertOverflow="clip" horzOverflow="clip" lIns="72000" tIns="36000" rIns="36000" bIns="36000" anchor="ctr"/>
        <a:lstStyle/>
        <a:p>
          <a:pPr algn="l"/>
          <a:fld id="{2272D359-FEFC-482B-A9EF-26FE8854630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228</xdr:row>
      <xdr:rowOff>324715</xdr:rowOff>
    </xdr:from>
    <xdr:to>
      <xdr:col>23</xdr:col>
      <xdr:colOff>0</xdr:colOff>
      <xdr:row>230</xdr:row>
      <xdr:rowOff>0</xdr:rowOff>
    </xdr:to>
    <xdr:sp macro="" textlink="AZ230">
      <xdr:nvSpPr>
        <xdr:cNvPr id="430" name="Text Box 1239"/>
        <xdr:cNvSpPr txBox="1">
          <a:spLocks noChangeArrowheads="1" noTextEdit="1"/>
        </xdr:cNvSpPr>
      </xdr:nvSpPr>
      <xdr:spPr bwMode="auto">
        <a:xfrm>
          <a:off x="14011275" y="4039465"/>
          <a:ext cx="2305050" cy="161060"/>
        </a:xfrm>
        <a:prstGeom prst="rect">
          <a:avLst/>
        </a:prstGeom>
        <a:noFill/>
        <a:ln w="9525" algn="ctr">
          <a:noFill/>
          <a:miter lim="800000"/>
          <a:headEnd/>
          <a:tailEnd/>
        </a:ln>
        <a:effectLst/>
      </xdr:spPr>
      <xdr:txBody>
        <a:bodyPr vertOverflow="clip" horzOverflow="clip" lIns="72000" tIns="36000" rIns="36000" bIns="36000" anchor="ctr"/>
        <a:lstStyle/>
        <a:p>
          <a:pPr algn="l"/>
          <a:fld id="{5CBEFCD3-4C49-4F3D-9800-3451632B4BC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230</xdr:row>
      <xdr:rowOff>0</xdr:rowOff>
    </xdr:from>
    <xdr:to>
      <xdr:col>23</xdr:col>
      <xdr:colOff>0</xdr:colOff>
      <xdr:row>231</xdr:row>
      <xdr:rowOff>0</xdr:rowOff>
    </xdr:to>
    <xdr:sp macro="" textlink="AZ231">
      <xdr:nvSpPr>
        <xdr:cNvPr id="431" name="Text Box 1240"/>
        <xdr:cNvSpPr txBox="1">
          <a:spLocks noChangeArrowheads="1" noTextEdit="1"/>
        </xdr:cNvSpPr>
      </xdr:nvSpPr>
      <xdr:spPr bwMode="auto">
        <a:xfrm>
          <a:off x="14011275" y="4200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D16321F-434F-48AB-ADE0-7F0EF4FA18E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231</xdr:row>
      <xdr:rowOff>0</xdr:rowOff>
    </xdr:from>
    <xdr:to>
      <xdr:col>23</xdr:col>
      <xdr:colOff>0</xdr:colOff>
      <xdr:row>232</xdr:row>
      <xdr:rowOff>0</xdr:rowOff>
    </xdr:to>
    <xdr:sp macro="" textlink="AZ232">
      <xdr:nvSpPr>
        <xdr:cNvPr id="432" name="Text Box 1241"/>
        <xdr:cNvSpPr txBox="1">
          <a:spLocks noChangeArrowheads="1" noTextEdit="1"/>
        </xdr:cNvSpPr>
      </xdr:nvSpPr>
      <xdr:spPr bwMode="auto">
        <a:xfrm>
          <a:off x="14011275" y="43624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A9E83DD-8E2A-4483-B77D-6D76E4D265D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232</xdr:row>
      <xdr:rowOff>0</xdr:rowOff>
    </xdr:from>
    <xdr:to>
      <xdr:col>23</xdr:col>
      <xdr:colOff>0</xdr:colOff>
      <xdr:row>233</xdr:row>
      <xdr:rowOff>0</xdr:rowOff>
    </xdr:to>
    <xdr:sp macro="" textlink="AZ233">
      <xdr:nvSpPr>
        <xdr:cNvPr id="433" name="Text Box 1242"/>
        <xdr:cNvSpPr txBox="1">
          <a:spLocks noChangeArrowheads="1" noTextEdit="1"/>
        </xdr:cNvSpPr>
      </xdr:nvSpPr>
      <xdr:spPr bwMode="auto">
        <a:xfrm>
          <a:off x="14011275" y="4524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AD80C9C-5942-4502-A137-C71A1B3F2BE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233</xdr:row>
      <xdr:rowOff>0</xdr:rowOff>
    </xdr:from>
    <xdr:to>
      <xdr:col>23</xdr:col>
      <xdr:colOff>0</xdr:colOff>
      <xdr:row>233</xdr:row>
      <xdr:rowOff>160193</xdr:rowOff>
    </xdr:to>
    <xdr:sp macro="" textlink="AZ234">
      <xdr:nvSpPr>
        <xdr:cNvPr id="434" name="Text Box 1243"/>
        <xdr:cNvSpPr txBox="1">
          <a:spLocks noChangeArrowheads="1" noTextEdit="1"/>
        </xdr:cNvSpPr>
      </xdr:nvSpPr>
      <xdr:spPr bwMode="auto">
        <a:xfrm>
          <a:off x="14011275" y="46863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81FCE2A8-795A-44AE-94DE-1B2ECA88676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234</xdr:row>
      <xdr:rowOff>1</xdr:rowOff>
    </xdr:from>
    <xdr:to>
      <xdr:col>23</xdr:col>
      <xdr:colOff>0</xdr:colOff>
      <xdr:row>235</xdr:row>
      <xdr:rowOff>0</xdr:rowOff>
    </xdr:to>
    <xdr:sp macro="" textlink="AZ235">
      <xdr:nvSpPr>
        <xdr:cNvPr id="435" name="Text Box 1245"/>
        <xdr:cNvSpPr txBox="1">
          <a:spLocks noChangeArrowheads="1" noTextEdit="1"/>
        </xdr:cNvSpPr>
      </xdr:nvSpPr>
      <xdr:spPr bwMode="auto">
        <a:xfrm>
          <a:off x="14011275" y="48482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6063DE1C-9603-4B35-ABC0-01AFB177E95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235</xdr:row>
      <xdr:rowOff>0</xdr:rowOff>
    </xdr:from>
    <xdr:to>
      <xdr:col>23</xdr:col>
      <xdr:colOff>0</xdr:colOff>
      <xdr:row>236</xdr:row>
      <xdr:rowOff>0</xdr:rowOff>
    </xdr:to>
    <xdr:sp macro="" textlink="AZ236">
      <xdr:nvSpPr>
        <xdr:cNvPr id="436" name="Text Box 1246"/>
        <xdr:cNvSpPr txBox="1">
          <a:spLocks noChangeArrowheads="1" noTextEdit="1"/>
        </xdr:cNvSpPr>
      </xdr:nvSpPr>
      <xdr:spPr bwMode="auto">
        <a:xfrm>
          <a:off x="14011275" y="50101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B2E53EB-33ED-4D54-BCDE-E9A113C17D7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236</xdr:row>
      <xdr:rowOff>0</xdr:rowOff>
    </xdr:from>
    <xdr:to>
      <xdr:col>23</xdr:col>
      <xdr:colOff>0</xdr:colOff>
      <xdr:row>237</xdr:row>
      <xdr:rowOff>0</xdr:rowOff>
    </xdr:to>
    <xdr:sp macro="" textlink="AZ237">
      <xdr:nvSpPr>
        <xdr:cNvPr id="437" name="Text Box 1247"/>
        <xdr:cNvSpPr txBox="1">
          <a:spLocks noChangeArrowheads="1" noTextEdit="1"/>
        </xdr:cNvSpPr>
      </xdr:nvSpPr>
      <xdr:spPr bwMode="auto">
        <a:xfrm>
          <a:off x="14011275" y="5172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FADD3F5-8A07-4607-8E46-11D80207CCB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237</xdr:row>
      <xdr:rowOff>0</xdr:rowOff>
    </xdr:from>
    <xdr:to>
      <xdr:col>23</xdr:col>
      <xdr:colOff>0</xdr:colOff>
      <xdr:row>238</xdr:row>
      <xdr:rowOff>0</xdr:rowOff>
    </xdr:to>
    <xdr:sp macro="" textlink="AZ238">
      <xdr:nvSpPr>
        <xdr:cNvPr id="438" name="Text Box 1248"/>
        <xdr:cNvSpPr txBox="1">
          <a:spLocks noChangeArrowheads="1" noTextEdit="1"/>
        </xdr:cNvSpPr>
      </xdr:nvSpPr>
      <xdr:spPr bwMode="auto">
        <a:xfrm>
          <a:off x="14011275" y="53340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1950B96-C9E0-4BD3-9CB9-AD4A8C64AB6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238</xdr:row>
      <xdr:rowOff>0</xdr:rowOff>
    </xdr:from>
    <xdr:to>
      <xdr:col>23</xdr:col>
      <xdr:colOff>0</xdr:colOff>
      <xdr:row>238</xdr:row>
      <xdr:rowOff>160193</xdr:rowOff>
    </xdr:to>
    <xdr:sp macro="" textlink="AZ239">
      <xdr:nvSpPr>
        <xdr:cNvPr id="439" name="Text Box 1249"/>
        <xdr:cNvSpPr txBox="1">
          <a:spLocks noChangeArrowheads="1" noTextEdit="1"/>
        </xdr:cNvSpPr>
      </xdr:nvSpPr>
      <xdr:spPr bwMode="auto">
        <a:xfrm>
          <a:off x="14011275" y="54959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CAF5501B-5B32-406A-864A-49C9F45F2BD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238</xdr:row>
      <xdr:rowOff>160193</xdr:rowOff>
    </xdr:from>
    <xdr:to>
      <xdr:col>23</xdr:col>
      <xdr:colOff>0</xdr:colOff>
      <xdr:row>239</xdr:row>
      <xdr:rowOff>160193</xdr:rowOff>
    </xdr:to>
    <xdr:sp macro="" textlink="AZ240">
      <xdr:nvSpPr>
        <xdr:cNvPr id="440" name="Text Box 1250"/>
        <xdr:cNvSpPr txBox="1">
          <a:spLocks noChangeArrowheads="1" noTextEdit="1"/>
        </xdr:cNvSpPr>
      </xdr:nvSpPr>
      <xdr:spPr bwMode="auto">
        <a:xfrm>
          <a:off x="14011275" y="56561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F07B418-13FF-45A1-907C-63CB0F2E000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239</xdr:row>
      <xdr:rowOff>160193</xdr:rowOff>
    </xdr:from>
    <xdr:to>
      <xdr:col>23</xdr:col>
      <xdr:colOff>0</xdr:colOff>
      <xdr:row>241</xdr:row>
      <xdr:rowOff>0</xdr:rowOff>
    </xdr:to>
    <xdr:sp macro="" textlink="AZ241">
      <xdr:nvSpPr>
        <xdr:cNvPr id="441" name="Text Box 1251"/>
        <xdr:cNvSpPr txBox="1">
          <a:spLocks noChangeArrowheads="1" noTextEdit="1"/>
        </xdr:cNvSpPr>
      </xdr:nvSpPr>
      <xdr:spPr bwMode="auto">
        <a:xfrm>
          <a:off x="14011275" y="58180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04AC7AF1-577A-456A-807D-B5829BED46B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241</xdr:row>
      <xdr:rowOff>0</xdr:rowOff>
    </xdr:from>
    <xdr:to>
      <xdr:col>23</xdr:col>
      <xdr:colOff>0</xdr:colOff>
      <xdr:row>242</xdr:row>
      <xdr:rowOff>0</xdr:rowOff>
    </xdr:to>
    <xdr:sp macro="" textlink="AZ242">
      <xdr:nvSpPr>
        <xdr:cNvPr id="442" name="Text Box 1252"/>
        <xdr:cNvSpPr txBox="1">
          <a:spLocks noChangeArrowheads="1" noTextEdit="1"/>
        </xdr:cNvSpPr>
      </xdr:nvSpPr>
      <xdr:spPr bwMode="auto">
        <a:xfrm>
          <a:off x="14011275" y="59817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757A811-7669-46E6-888E-A6F3E25A2CF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242</xdr:row>
      <xdr:rowOff>0</xdr:rowOff>
    </xdr:from>
    <xdr:to>
      <xdr:col>23</xdr:col>
      <xdr:colOff>0</xdr:colOff>
      <xdr:row>243</xdr:row>
      <xdr:rowOff>0</xdr:rowOff>
    </xdr:to>
    <xdr:sp macro="" textlink="AZ243">
      <xdr:nvSpPr>
        <xdr:cNvPr id="443" name="Text Box 1253"/>
        <xdr:cNvSpPr txBox="1">
          <a:spLocks noChangeArrowheads="1" noTextEdit="1"/>
        </xdr:cNvSpPr>
      </xdr:nvSpPr>
      <xdr:spPr bwMode="auto">
        <a:xfrm>
          <a:off x="14011275" y="61436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5CF8E13-BC97-48F9-9CBC-67F2BD24BB3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243</xdr:row>
      <xdr:rowOff>0</xdr:rowOff>
    </xdr:from>
    <xdr:to>
      <xdr:col>23</xdr:col>
      <xdr:colOff>0</xdr:colOff>
      <xdr:row>244</xdr:row>
      <xdr:rowOff>0</xdr:rowOff>
    </xdr:to>
    <xdr:sp macro="" textlink="AZ244">
      <xdr:nvSpPr>
        <xdr:cNvPr id="444" name="Text Box 1254"/>
        <xdr:cNvSpPr txBox="1">
          <a:spLocks noChangeArrowheads="1" noTextEdit="1"/>
        </xdr:cNvSpPr>
      </xdr:nvSpPr>
      <xdr:spPr bwMode="auto">
        <a:xfrm>
          <a:off x="14011275" y="6305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6638C7F-2C1B-429A-A15F-F58DA56F2F4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244</xdr:row>
      <xdr:rowOff>0</xdr:rowOff>
    </xdr:from>
    <xdr:to>
      <xdr:col>23</xdr:col>
      <xdr:colOff>0</xdr:colOff>
      <xdr:row>244</xdr:row>
      <xdr:rowOff>160193</xdr:rowOff>
    </xdr:to>
    <xdr:sp macro="" textlink="AZ245">
      <xdr:nvSpPr>
        <xdr:cNvPr id="445" name="Text Box 1255"/>
        <xdr:cNvSpPr txBox="1">
          <a:spLocks noChangeArrowheads="1" noTextEdit="1"/>
        </xdr:cNvSpPr>
      </xdr:nvSpPr>
      <xdr:spPr bwMode="auto">
        <a:xfrm>
          <a:off x="14011275" y="64674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40B8B69-B1FC-43BB-85CD-3606D1A26A5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244</xdr:row>
      <xdr:rowOff>160193</xdr:rowOff>
    </xdr:from>
    <xdr:to>
      <xdr:col>23</xdr:col>
      <xdr:colOff>0</xdr:colOff>
      <xdr:row>246</xdr:row>
      <xdr:rowOff>0</xdr:rowOff>
    </xdr:to>
    <xdr:sp macro="" textlink="AZ246">
      <xdr:nvSpPr>
        <xdr:cNvPr id="446" name="Text Box 1256"/>
        <xdr:cNvSpPr txBox="1">
          <a:spLocks noChangeArrowheads="1" noTextEdit="1"/>
        </xdr:cNvSpPr>
      </xdr:nvSpPr>
      <xdr:spPr bwMode="auto">
        <a:xfrm>
          <a:off x="14011275" y="66276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151D16F-5763-4A87-8C10-6F42FC28E16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246</xdr:row>
      <xdr:rowOff>0</xdr:rowOff>
    </xdr:from>
    <xdr:to>
      <xdr:col>23</xdr:col>
      <xdr:colOff>0</xdr:colOff>
      <xdr:row>247</xdr:row>
      <xdr:rowOff>0</xdr:rowOff>
    </xdr:to>
    <xdr:sp macro="" textlink="AZ247">
      <xdr:nvSpPr>
        <xdr:cNvPr id="447" name="Text Box 1257"/>
        <xdr:cNvSpPr txBox="1">
          <a:spLocks noChangeArrowheads="1" noTextEdit="1"/>
        </xdr:cNvSpPr>
      </xdr:nvSpPr>
      <xdr:spPr bwMode="auto">
        <a:xfrm>
          <a:off x="14011275" y="6791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75EA7C0-BE9E-4D51-A5FE-446465939CD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247</xdr:row>
      <xdr:rowOff>0</xdr:rowOff>
    </xdr:from>
    <xdr:to>
      <xdr:col>23</xdr:col>
      <xdr:colOff>0</xdr:colOff>
      <xdr:row>248</xdr:row>
      <xdr:rowOff>0</xdr:rowOff>
    </xdr:to>
    <xdr:sp macro="" textlink="AZ248">
      <xdr:nvSpPr>
        <xdr:cNvPr id="448" name="Text Box 1258"/>
        <xdr:cNvSpPr txBox="1">
          <a:spLocks noChangeArrowheads="1" noTextEdit="1"/>
        </xdr:cNvSpPr>
      </xdr:nvSpPr>
      <xdr:spPr bwMode="auto">
        <a:xfrm>
          <a:off x="14011275" y="69532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1537584-814D-4479-97B6-E6A54E9191C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248</xdr:row>
      <xdr:rowOff>0</xdr:rowOff>
    </xdr:from>
    <xdr:to>
      <xdr:col>23</xdr:col>
      <xdr:colOff>0</xdr:colOff>
      <xdr:row>249</xdr:row>
      <xdr:rowOff>0</xdr:rowOff>
    </xdr:to>
    <xdr:sp macro="" textlink="AZ249">
      <xdr:nvSpPr>
        <xdr:cNvPr id="449" name="Text Box 1259"/>
        <xdr:cNvSpPr txBox="1">
          <a:spLocks noChangeArrowheads="1" noTextEdit="1"/>
        </xdr:cNvSpPr>
      </xdr:nvSpPr>
      <xdr:spPr bwMode="auto">
        <a:xfrm>
          <a:off x="14011275" y="7115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560C40B-2449-47B5-88E5-15BECE344C9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249</xdr:row>
      <xdr:rowOff>0</xdr:rowOff>
    </xdr:from>
    <xdr:to>
      <xdr:col>23</xdr:col>
      <xdr:colOff>0</xdr:colOff>
      <xdr:row>249</xdr:row>
      <xdr:rowOff>160193</xdr:rowOff>
    </xdr:to>
    <xdr:sp macro="" textlink="AZ250">
      <xdr:nvSpPr>
        <xdr:cNvPr id="450" name="Text Box 1260"/>
        <xdr:cNvSpPr txBox="1">
          <a:spLocks noChangeArrowheads="1" noTextEdit="1"/>
        </xdr:cNvSpPr>
      </xdr:nvSpPr>
      <xdr:spPr bwMode="auto">
        <a:xfrm>
          <a:off x="14011275" y="72771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A7E5BAE9-03CC-4801-AC27-EF2005B6F0C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249</xdr:row>
      <xdr:rowOff>160193</xdr:rowOff>
    </xdr:from>
    <xdr:to>
      <xdr:col>23</xdr:col>
      <xdr:colOff>0</xdr:colOff>
      <xdr:row>250</xdr:row>
      <xdr:rowOff>160193</xdr:rowOff>
    </xdr:to>
    <xdr:sp macro="" textlink="AZ251">
      <xdr:nvSpPr>
        <xdr:cNvPr id="451" name="Text Box 1261"/>
        <xdr:cNvSpPr txBox="1">
          <a:spLocks noChangeArrowheads="1" noTextEdit="1"/>
        </xdr:cNvSpPr>
      </xdr:nvSpPr>
      <xdr:spPr bwMode="auto">
        <a:xfrm>
          <a:off x="14011275" y="74372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940490A-7F11-46D2-90E9-79CC521A32E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250</xdr:row>
      <xdr:rowOff>160193</xdr:rowOff>
    </xdr:from>
    <xdr:to>
      <xdr:col>23</xdr:col>
      <xdr:colOff>0</xdr:colOff>
      <xdr:row>252</xdr:row>
      <xdr:rowOff>0</xdr:rowOff>
    </xdr:to>
    <xdr:sp macro="" textlink="AZ252">
      <xdr:nvSpPr>
        <xdr:cNvPr id="452" name="Text Box 1262"/>
        <xdr:cNvSpPr txBox="1">
          <a:spLocks noChangeArrowheads="1" noTextEdit="1"/>
        </xdr:cNvSpPr>
      </xdr:nvSpPr>
      <xdr:spPr bwMode="auto">
        <a:xfrm>
          <a:off x="14011275" y="75992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1D927343-1A1E-403C-872B-9BCC171E2CB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252</xdr:row>
      <xdr:rowOff>0</xdr:rowOff>
    </xdr:from>
    <xdr:to>
      <xdr:col>23</xdr:col>
      <xdr:colOff>0</xdr:colOff>
      <xdr:row>253</xdr:row>
      <xdr:rowOff>0</xdr:rowOff>
    </xdr:to>
    <xdr:sp macro="" textlink="AZ253">
      <xdr:nvSpPr>
        <xdr:cNvPr id="453" name="Text Box 1263"/>
        <xdr:cNvSpPr txBox="1">
          <a:spLocks noChangeArrowheads="1" noTextEdit="1"/>
        </xdr:cNvSpPr>
      </xdr:nvSpPr>
      <xdr:spPr bwMode="auto">
        <a:xfrm>
          <a:off x="14011275" y="7762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158B48A-1F69-4121-A9CE-8DAA4423F27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253</xdr:row>
      <xdr:rowOff>0</xdr:rowOff>
    </xdr:from>
    <xdr:to>
      <xdr:col>23</xdr:col>
      <xdr:colOff>0</xdr:colOff>
      <xdr:row>254</xdr:row>
      <xdr:rowOff>0</xdr:rowOff>
    </xdr:to>
    <xdr:sp macro="" textlink="AZ254">
      <xdr:nvSpPr>
        <xdr:cNvPr id="454" name="Text Box 1266"/>
        <xdr:cNvSpPr txBox="1">
          <a:spLocks noChangeArrowheads="1" noTextEdit="1"/>
        </xdr:cNvSpPr>
      </xdr:nvSpPr>
      <xdr:spPr bwMode="auto">
        <a:xfrm>
          <a:off x="14011275" y="79248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6A0F7AE-05E0-4B2B-9DAE-9208295FF89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254</xdr:row>
      <xdr:rowOff>1</xdr:rowOff>
    </xdr:from>
    <xdr:to>
      <xdr:col>23</xdr:col>
      <xdr:colOff>0</xdr:colOff>
      <xdr:row>255</xdr:row>
      <xdr:rowOff>0</xdr:rowOff>
    </xdr:to>
    <xdr:sp macro="" textlink="AZ255">
      <xdr:nvSpPr>
        <xdr:cNvPr id="455" name="Text Box 1265"/>
        <xdr:cNvSpPr txBox="1">
          <a:spLocks noChangeArrowheads="1" noTextEdit="1"/>
        </xdr:cNvSpPr>
      </xdr:nvSpPr>
      <xdr:spPr bwMode="auto">
        <a:xfrm>
          <a:off x="14011275" y="80867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35630F6F-C593-48EC-A7E0-A8050064A39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255</xdr:row>
      <xdr:rowOff>0</xdr:rowOff>
    </xdr:from>
    <xdr:to>
      <xdr:col>23</xdr:col>
      <xdr:colOff>0</xdr:colOff>
      <xdr:row>255</xdr:row>
      <xdr:rowOff>160193</xdr:rowOff>
    </xdr:to>
    <xdr:sp macro="" textlink="AZ256">
      <xdr:nvSpPr>
        <xdr:cNvPr id="456" name="Text Box 1267"/>
        <xdr:cNvSpPr txBox="1">
          <a:spLocks noChangeArrowheads="1" noTextEdit="1"/>
        </xdr:cNvSpPr>
      </xdr:nvSpPr>
      <xdr:spPr bwMode="auto">
        <a:xfrm>
          <a:off x="14011275" y="82486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C4D11508-65FA-43B7-9B92-1528BD69079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256</xdr:row>
      <xdr:rowOff>1</xdr:rowOff>
    </xdr:from>
    <xdr:to>
      <xdr:col>23</xdr:col>
      <xdr:colOff>0</xdr:colOff>
      <xdr:row>257</xdr:row>
      <xdr:rowOff>1</xdr:rowOff>
    </xdr:to>
    <xdr:sp macro="" textlink="AZ257">
      <xdr:nvSpPr>
        <xdr:cNvPr id="457" name="Text Box 1268"/>
        <xdr:cNvSpPr txBox="1">
          <a:spLocks noChangeArrowheads="1" noTextEdit="1"/>
        </xdr:cNvSpPr>
      </xdr:nvSpPr>
      <xdr:spPr bwMode="auto">
        <a:xfrm>
          <a:off x="14011275" y="8410576"/>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BEBED0C-A860-4ADC-AC00-06FBAD338C0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257</xdr:row>
      <xdr:rowOff>0</xdr:rowOff>
    </xdr:from>
    <xdr:to>
      <xdr:col>23</xdr:col>
      <xdr:colOff>0</xdr:colOff>
      <xdr:row>258</xdr:row>
      <xdr:rowOff>0</xdr:rowOff>
    </xdr:to>
    <xdr:sp macro="" textlink="AZ258">
      <xdr:nvSpPr>
        <xdr:cNvPr id="458" name="Text Box 1269"/>
        <xdr:cNvSpPr txBox="1">
          <a:spLocks noChangeArrowheads="1" noTextEdit="1"/>
        </xdr:cNvSpPr>
      </xdr:nvSpPr>
      <xdr:spPr bwMode="auto">
        <a:xfrm>
          <a:off x="14011275" y="85725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2D8A26C-E049-4A98-9586-8F290EFD75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258</xdr:row>
      <xdr:rowOff>0</xdr:rowOff>
    </xdr:from>
    <xdr:to>
      <xdr:col>23</xdr:col>
      <xdr:colOff>0</xdr:colOff>
      <xdr:row>259</xdr:row>
      <xdr:rowOff>0</xdr:rowOff>
    </xdr:to>
    <xdr:sp macro="" textlink="AZ259">
      <xdr:nvSpPr>
        <xdr:cNvPr id="459" name="Text Box 1270"/>
        <xdr:cNvSpPr txBox="1">
          <a:spLocks noChangeArrowheads="1" noTextEdit="1"/>
        </xdr:cNvSpPr>
      </xdr:nvSpPr>
      <xdr:spPr bwMode="auto">
        <a:xfrm>
          <a:off x="14011275" y="8734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737D5E7-3D75-4A19-8C81-A520FD8B0E3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259</xdr:row>
      <xdr:rowOff>0</xdr:rowOff>
    </xdr:from>
    <xdr:to>
      <xdr:col>23</xdr:col>
      <xdr:colOff>0</xdr:colOff>
      <xdr:row>260</xdr:row>
      <xdr:rowOff>0</xdr:rowOff>
    </xdr:to>
    <xdr:sp macro="" textlink="AZ260">
      <xdr:nvSpPr>
        <xdr:cNvPr id="460" name="Text Box 1271"/>
        <xdr:cNvSpPr txBox="1">
          <a:spLocks noChangeArrowheads="1" noTextEdit="1"/>
        </xdr:cNvSpPr>
      </xdr:nvSpPr>
      <xdr:spPr bwMode="auto">
        <a:xfrm>
          <a:off x="14011275" y="8896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39E7338-383D-411A-9332-08A0EC21FC0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260</xdr:row>
      <xdr:rowOff>0</xdr:rowOff>
    </xdr:from>
    <xdr:to>
      <xdr:col>23</xdr:col>
      <xdr:colOff>0</xdr:colOff>
      <xdr:row>260</xdr:row>
      <xdr:rowOff>160193</xdr:rowOff>
    </xdr:to>
    <xdr:sp macro="" textlink="AZ261">
      <xdr:nvSpPr>
        <xdr:cNvPr id="461" name="Text Box 1272"/>
        <xdr:cNvSpPr txBox="1">
          <a:spLocks noChangeArrowheads="1" noTextEdit="1"/>
        </xdr:cNvSpPr>
      </xdr:nvSpPr>
      <xdr:spPr bwMode="auto">
        <a:xfrm>
          <a:off x="14011275" y="90582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579DA9A2-3B8E-4941-A3A3-E096D0DDAD8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260</xdr:row>
      <xdr:rowOff>160193</xdr:rowOff>
    </xdr:from>
    <xdr:to>
      <xdr:col>23</xdr:col>
      <xdr:colOff>0</xdr:colOff>
      <xdr:row>261</xdr:row>
      <xdr:rowOff>160193</xdr:rowOff>
    </xdr:to>
    <xdr:sp macro="" textlink="AZ262">
      <xdr:nvSpPr>
        <xdr:cNvPr id="462" name="Text Box 1273"/>
        <xdr:cNvSpPr txBox="1">
          <a:spLocks noChangeArrowheads="1" noTextEdit="1"/>
        </xdr:cNvSpPr>
      </xdr:nvSpPr>
      <xdr:spPr bwMode="auto">
        <a:xfrm>
          <a:off x="14011275" y="92184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6539CAC-9B76-40B6-B49C-6F67B580AC8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261</xdr:row>
      <xdr:rowOff>160193</xdr:rowOff>
    </xdr:from>
    <xdr:to>
      <xdr:col>23</xdr:col>
      <xdr:colOff>0</xdr:colOff>
      <xdr:row>263</xdr:row>
      <xdr:rowOff>0</xdr:rowOff>
    </xdr:to>
    <xdr:sp macro="" textlink="AZ263">
      <xdr:nvSpPr>
        <xdr:cNvPr id="463" name="Text Box 1277"/>
        <xdr:cNvSpPr txBox="1">
          <a:spLocks noChangeArrowheads="1" noTextEdit="1"/>
        </xdr:cNvSpPr>
      </xdr:nvSpPr>
      <xdr:spPr bwMode="auto">
        <a:xfrm>
          <a:off x="14011275" y="93803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FE5FAFE-A5AF-4134-A425-F2DAFF9FC4F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321</xdr:row>
      <xdr:rowOff>160193</xdr:rowOff>
    </xdr:from>
    <xdr:to>
      <xdr:col>23</xdr:col>
      <xdr:colOff>0</xdr:colOff>
      <xdr:row>323</xdr:row>
      <xdr:rowOff>0</xdr:rowOff>
    </xdr:to>
    <xdr:sp macro="" textlink="AZ323">
      <xdr:nvSpPr>
        <xdr:cNvPr id="464" name="Text Box 7260"/>
        <xdr:cNvSpPr txBox="1">
          <a:spLocks noChangeArrowheads="1" noTextEdit="1"/>
        </xdr:cNvSpPr>
      </xdr:nvSpPr>
      <xdr:spPr bwMode="auto">
        <a:xfrm>
          <a:off x="14011275" y="190958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63EC55DC-BD3D-42EB-A762-76510AE99A2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263</xdr:row>
      <xdr:rowOff>0</xdr:rowOff>
    </xdr:from>
    <xdr:to>
      <xdr:col>23</xdr:col>
      <xdr:colOff>0</xdr:colOff>
      <xdr:row>264</xdr:row>
      <xdr:rowOff>0</xdr:rowOff>
    </xdr:to>
    <xdr:sp macro="" textlink="AZ264">
      <xdr:nvSpPr>
        <xdr:cNvPr id="465" name="Text Box 7261"/>
        <xdr:cNvSpPr txBox="1">
          <a:spLocks noChangeArrowheads="1" noTextEdit="1"/>
        </xdr:cNvSpPr>
      </xdr:nvSpPr>
      <xdr:spPr bwMode="auto">
        <a:xfrm>
          <a:off x="14011275" y="95440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98ACB51-F7E8-4C9E-A279-4DFBBCC08EC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264</xdr:row>
      <xdr:rowOff>0</xdr:rowOff>
    </xdr:from>
    <xdr:to>
      <xdr:col>23</xdr:col>
      <xdr:colOff>0</xdr:colOff>
      <xdr:row>265</xdr:row>
      <xdr:rowOff>0</xdr:rowOff>
    </xdr:to>
    <xdr:sp macro="" textlink="AZ265">
      <xdr:nvSpPr>
        <xdr:cNvPr id="466" name="Text Box 7262"/>
        <xdr:cNvSpPr txBox="1">
          <a:spLocks noChangeArrowheads="1" noTextEdit="1"/>
        </xdr:cNvSpPr>
      </xdr:nvSpPr>
      <xdr:spPr bwMode="auto">
        <a:xfrm>
          <a:off x="14011275" y="97059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C5BAFBF-536C-4A5C-AD33-30E1B9BD799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265</xdr:row>
      <xdr:rowOff>0</xdr:rowOff>
    </xdr:from>
    <xdr:to>
      <xdr:col>23</xdr:col>
      <xdr:colOff>0</xdr:colOff>
      <xdr:row>266</xdr:row>
      <xdr:rowOff>0</xdr:rowOff>
    </xdr:to>
    <xdr:sp macro="" textlink="AZ266">
      <xdr:nvSpPr>
        <xdr:cNvPr id="467" name="Text Box 7263"/>
        <xdr:cNvSpPr txBox="1">
          <a:spLocks noChangeArrowheads="1" noTextEdit="1"/>
        </xdr:cNvSpPr>
      </xdr:nvSpPr>
      <xdr:spPr bwMode="auto">
        <a:xfrm>
          <a:off x="14011275" y="9867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6C5F023-0F82-4A1E-939B-6A030FF81D0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266</xdr:row>
      <xdr:rowOff>0</xdr:rowOff>
    </xdr:from>
    <xdr:to>
      <xdr:col>23</xdr:col>
      <xdr:colOff>0</xdr:colOff>
      <xdr:row>266</xdr:row>
      <xdr:rowOff>160193</xdr:rowOff>
    </xdr:to>
    <xdr:sp macro="" textlink="AZ267">
      <xdr:nvSpPr>
        <xdr:cNvPr id="468" name="Text Box 7264"/>
        <xdr:cNvSpPr txBox="1">
          <a:spLocks noChangeArrowheads="1" noTextEdit="1"/>
        </xdr:cNvSpPr>
      </xdr:nvSpPr>
      <xdr:spPr bwMode="auto">
        <a:xfrm>
          <a:off x="14011275" y="100298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03D58692-033D-4F19-8B40-A42C8EE4EAB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266</xdr:row>
      <xdr:rowOff>160193</xdr:rowOff>
    </xdr:from>
    <xdr:to>
      <xdr:col>23</xdr:col>
      <xdr:colOff>0</xdr:colOff>
      <xdr:row>268</xdr:row>
      <xdr:rowOff>0</xdr:rowOff>
    </xdr:to>
    <xdr:sp macro="" textlink="AZ268">
      <xdr:nvSpPr>
        <xdr:cNvPr id="469" name="Text Box 7265"/>
        <xdr:cNvSpPr txBox="1">
          <a:spLocks noChangeArrowheads="1" noTextEdit="1"/>
        </xdr:cNvSpPr>
      </xdr:nvSpPr>
      <xdr:spPr bwMode="auto">
        <a:xfrm>
          <a:off x="14011275" y="101900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21889943-25EA-41BD-AC7F-89BE1D64655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268</xdr:row>
      <xdr:rowOff>0</xdr:rowOff>
    </xdr:from>
    <xdr:to>
      <xdr:col>23</xdr:col>
      <xdr:colOff>0</xdr:colOff>
      <xdr:row>269</xdr:row>
      <xdr:rowOff>0</xdr:rowOff>
    </xdr:to>
    <xdr:sp macro="" textlink="AZ269">
      <xdr:nvSpPr>
        <xdr:cNvPr id="470" name="Text Box 7266"/>
        <xdr:cNvSpPr txBox="1">
          <a:spLocks noChangeArrowheads="1" noTextEdit="1"/>
        </xdr:cNvSpPr>
      </xdr:nvSpPr>
      <xdr:spPr bwMode="auto">
        <a:xfrm>
          <a:off x="14011275" y="103536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A7EDBAC-43E7-46B2-8D8A-BF24660CF6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269</xdr:row>
      <xdr:rowOff>0</xdr:rowOff>
    </xdr:from>
    <xdr:to>
      <xdr:col>23</xdr:col>
      <xdr:colOff>0</xdr:colOff>
      <xdr:row>270</xdr:row>
      <xdr:rowOff>0</xdr:rowOff>
    </xdr:to>
    <xdr:sp macro="" textlink="AZ270">
      <xdr:nvSpPr>
        <xdr:cNvPr id="471" name="Text Box 7267"/>
        <xdr:cNvSpPr txBox="1">
          <a:spLocks noChangeArrowheads="1" noTextEdit="1"/>
        </xdr:cNvSpPr>
      </xdr:nvSpPr>
      <xdr:spPr bwMode="auto">
        <a:xfrm>
          <a:off x="14011275" y="10515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9D4C50A-DB9C-4616-AF01-458B69FC1DA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270</xdr:row>
      <xdr:rowOff>0</xdr:rowOff>
    </xdr:from>
    <xdr:to>
      <xdr:col>23</xdr:col>
      <xdr:colOff>0</xdr:colOff>
      <xdr:row>271</xdr:row>
      <xdr:rowOff>0</xdr:rowOff>
    </xdr:to>
    <xdr:sp macro="" textlink="AZ271">
      <xdr:nvSpPr>
        <xdr:cNvPr id="472" name="Text Box 7268"/>
        <xdr:cNvSpPr txBox="1">
          <a:spLocks noChangeArrowheads="1" noTextEdit="1"/>
        </xdr:cNvSpPr>
      </xdr:nvSpPr>
      <xdr:spPr bwMode="auto">
        <a:xfrm>
          <a:off x="14011275" y="10677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E21E3BC-2A84-47EB-B670-D82CAA624D6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271</xdr:row>
      <xdr:rowOff>0</xdr:rowOff>
    </xdr:from>
    <xdr:to>
      <xdr:col>23</xdr:col>
      <xdr:colOff>0</xdr:colOff>
      <xdr:row>271</xdr:row>
      <xdr:rowOff>160193</xdr:rowOff>
    </xdr:to>
    <xdr:sp macro="" textlink="AZ272">
      <xdr:nvSpPr>
        <xdr:cNvPr id="473" name="Text Box 7269"/>
        <xdr:cNvSpPr txBox="1">
          <a:spLocks noChangeArrowheads="1" noTextEdit="1"/>
        </xdr:cNvSpPr>
      </xdr:nvSpPr>
      <xdr:spPr bwMode="auto">
        <a:xfrm>
          <a:off x="14011275" y="108394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699C0D04-B164-47C4-8D36-0709779688A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271</xdr:row>
      <xdr:rowOff>160193</xdr:rowOff>
    </xdr:from>
    <xdr:to>
      <xdr:col>23</xdr:col>
      <xdr:colOff>0</xdr:colOff>
      <xdr:row>272</xdr:row>
      <xdr:rowOff>160193</xdr:rowOff>
    </xdr:to>
    <xdr:sp macro="" textlink="AZ273">
      <xdr:nvSpPr>
        <xdr:cNvPr id="474" name="Text Box 7270"/>
        <xdr:cNvSpPr txBox="1">
          <a:spLocks noChangeArrowheads="1" noTextEdit="1"/>
        </xdr:cNvSpPr>
      </xdr:nvSpPr>
      <xdr:spPr bwMode="auto">
        <a:xfrm>
          <a:off x="14011275" y="109996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FB75CC8-C383-4C72-938E-A125E0F23CB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272</xdr:row>
      <xdr:rowOff>160193</xdr:rowOff>
    </xdr:from>
    <xdr:to>
      <xdr:col>23</xdr:col>
      <xdr:colOff>0</xdr:colOff>
      <xdr:row>274</xdr:row>
      <xdr:rowOff>0</xdr:rowOff>
    </xdr:to>
    <xdr:sp macro="" textlink="AZ274">
      <xdr:nvSpPr>
        <xdr:cNvPr id="475" name="Text Box 7271"/>
        <xdr:cNvSpPr txBox="1">
          <a:spLocks noChangeArrowheads="1" noTextEdit="1"/>
        </xdr:cNvSpPr>
      </xdr:nvSpPr>
      <xdr:spPr bwMode="auto">
        <a:xfrm>
          <a:off x="14011275" y="111615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B25C95A5-3726-4589-9221-B556A3F739F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274</xdr:row>
      <xdr:rowOff>0</xdr:rowOff>
    </xdr:from>
    <xdr:to>
      <xdr:col>23</xdr:col>
      <xdr:colOff>0</xdr:colOff>
      <xdr:row>275</xdr:row>
      <xdr:rowOff>0</xdr:rowOff>
    </xdr:to>
    <xdr:sp macro="" textlink="AZ275">
      <xdr:nvSpPr>
        <xdr:cNvPr id="476" name="Text Box 7272"/>
        <xdr:cNvSpPr txBox="1">
          <a:spLocks noChangeArrowheads="1" noTextEdit="1"/>
        </xdr:cNvSpPr>
      </xdr:nvSpPr>
      <xdr:spPr bwMode="auto">
        <a:xfrm>
          <a:off x="14011275" y="113252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A1A2D42-15CE-48C0-9518-BDB22D925DEE}" type="TxLink">
            <a:rPr lang="en-US"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21</xdr:col>
      <xdr:colOff>0</xdr:colOff>
      <xdr:row>275</xdr:row>
      <xdr:rowOff>0</xdr:rowOff>
    </xdr:from>
    <xdr:to>
      <xdr:col>23</xdr:col>
      <xdr:colOff>0</xdr:colOff>
      <xdr:row>276</xdr:row>
      <xdr:rowOff>0</xdr:rowOff>
    </xdr:to>
    <xdr:sp macro="" textlink="AZ276">
      <xdr:nvSpPr>
        <xdr:cNvPr id="477" name="Text Box 7273"/>
        <xdr:cNvSpPr txBox="1">
          <a:spLocks noChangeArrowheads="1" noTextEdit="1"/>
        </xdr:cNvSpPr>
      </xdr:nvSpPr>
      <xdr:spPr bwMode="auto">
        <a:xfrm>
          <a:off x="14011275" y="114871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79042A2-64C3-455E-8C82-4CD8617E819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276</xdr:row>
      <xdr:rowOff>0</xdr:rowOff>
    </xdr:from>
    <xdr:to>
      <xdr:col>23</xdr:col>
      <xdr:colOff>0</xdr:colOff>
      <xdr:row>277</xdr:row>
      <xdr:rowOff>0</xdr:rowOff>
    </xdr:to>
    <xdr:sp macro="" textlink="AZ277">
      <xdr:nvSpPr>
        <xdr:cNvPr id="478" name="Text Box 7274"/>
        <xdr:cNvSpPr txBox="1">
          <a:spLocks noChangeArrowheads="1" noTextEdit="1"/>
        </xdr:cNvSpPr>
      </xdr:nvSpPr>
      <xdr:spPr bwMode="auto">
        <a:xfrm>
          <a:off x="14011275" y="11649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47340B0-4039-41BF-80DE-D88C2C2E541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277</xdr:row>
      <xdr:rowOff>0</xdr:rowOff>
    </xdr:from>
    <xdr:to>
      <xdr:col>23</xdr:col>
      <xdr:colOff>0</xdr:colOff>
      <xdr:row>277</xdr:row>
      <xdr:rowOff>160193</xdr:rowOff>
    </xdr:to>
    <xdr:sp macro="" textlink="AZ278">
      <xdr:nvSpPr>
        <xdr:cNvPr id="479" name="Text Box 7275"/>
        <xdr:cNvSpPr txBox="1">
          <a:spLocks noChangeArrowheads="1" noTextEdit="1"/>
        </xdr:cNvSpPr>
      </xdr:nvSpPr>
      <xdr:spPr bwMode="auto">
        <a:xfrm>
          <a:off x="14011275" y="118110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CA6CF8A-4F76-475B-826F-FA10E8B5079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278</xdr:row>
      <xdr:rowOff>1</xdr:rowOff>
    </xdr:from>
    <xdr:to>
      <xdr:col>23</xdr:col>
      <xdr:colOff>0</xdr:colOff>
      <xdr:row>279</xdr:row>
      <xdr:rowOff>0</xdr:rowOff>
    </xdr:to>
    <xdr:sp macro="" textlink="AZ279">
      <xdr:nvSpPr>
        <xdr:cNvPr id="480" name="Text Box 7276"/>
        <xdr:cNvSpPr txBox="1">
          <a:spLocks noChangeArrowheads="1" noTextEdit="1"/>
        </xdr:cNvSpPr>
      </xdr:nvSpPr>
      <xdr:spPr bwMode="auto">
        <a:xfrm>
          <a:off x="14011275" y="119729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989F0E77-12B8-401B-9875-B543508D2BA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279</xdr:row>
      <xdr:rowOff>0</xdr:rowOff>
    </xdr:from>
    <xdr:to>
      <xdr:col>23</xdr:col>
      <xdr:colOff>0</xdr:colOff>
      <xdr:row>280</xdr:row>
      <xdr:rowOff>0</xdr:rowOff>
    </xdr:to>
    <xdr:sp macro="" textlink="AZ280">
      <xdr:nvSpPr>
        <xdr:cNvPr id="481" name="Text Box 7277"/>
        <xdr:cNvSpPr txBox="1">
          <a:spLocks noChangeArrowheads="1" noTextEdit="1"/>
        </xdr:cNvSpPr>
      </xdr:nvSpPr>
      <xdr:spPr bwMode="auto">
        <a:xfrm>
          <a:off x="14011275" y="121348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9ABA427-6142-443B-A5A3-13CDB6D00D0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280</xdr:row>
      <xdr:rowOff>0</xdr:rowOff>
    </xdr:from>
    <xdr:to>
      <xdr:col>23</xdr:col>
      <xdr:colOff>0</xdr:colOff>
      <xdr:row>281</xdr:row>
      <xdr:rowOff>0</xdr:rowOff>
    </xdr:to>
    <xdr:sp macro="" textlink="AZ281">
      <xdr:nvSpPr>
        <xdr:cNvPr id="482" name="Text Box 7278"/>
        <xdr:cNvSpPr txBox="1">
          <a:spLocks noChangeArrowheads="1" noTextEdit="1"/>
        </xdr:cNvSpPr>
      </xdr:nvSpPr>
      <xdr:spPr bwMode="auto">
        <a:xfrm>
          <a:off x="14011275" y="122967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E18FB7E-FDA9-4079-89BF-282D0F82C73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281</xdr:row>
      <xdr:rowOff>0</xdr:rowOff>
    </xdr:from>
    <xdr:to>
      <xdr:col>23</xdr:col>
      <xdr:colOff>0</xdr:colOff>
      <xdr:row>282</xdr:row>
      <xdr:rowOff>0</xdr:rowOff>
    </xdr:to>
    <xdr:sp macro="" textlink="AZ282">
      <xdr:nvSpPr>
        <xdr:cNvPr id="483" name="Text Box 7279"/>
        <xdr:cNvSpPr txBox="1">
          <a:spLocks noChangeArrowheads="1" noTextEdit="1"/>
        </xdr:cNvSpPr>
      </xdr:nvSpPr>
      <xdr:spPr bwMode="auto">
        <a:xfrm>
          <a:off x="14011275" y="124587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834A5EC-61E1-4951-B982-1BAD20FF281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282</xdr:row>
      <xdr:rowOff>0</xdr:rowOff>
    </xdr:from>
    <xdr:to>
      <xdr:col>23</xdr:col>
      <xdr:colOff>0</xdr:colOff>
      <xdr:row>282</xdr:row>
      <xdr:rowOff>160193</xdr:rowOff>
    </xdr:to>
    <xdr:sp macro="" textlink="AZ283">
      <xdr:nvSpPr>
        <xdr:cNvPr id="484" name="Text Box 7280"/>
        <xdr:cNvSpPr txBox="1">
          <a:spLocks noChangeArrowheads="1" noTextEdit="1"/>
        </xdr:cNvSpPr>
      </xdr:nvSpPr>
      <xdr:spPr bwMode="auto">
        <a:xfrm>
          <a:off x="14011275" y="126206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F3F8EDC6-4BAE-4FE4-A4A7-A1F771F12DD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282</xdr:row>
      <xdr:rowOff>160193</xdr:rowOff>
    </xdr:from>
    <xdr:to>
      <xdr:col>23</xdr:col>
      <xdr:colOff>0</xdr:colOff>
      <xdr:row>283</xdr:row>
      <xdr:rowOff>160193</xdr:rowOff>
    </xdr:to>
    <xdr:sp macro="" textlink="AZ284">
      <xdr:nvSpPr>
        <xdr:cNvPr id="485" name="Text Box 7281"/>
        <xdr:cNvSpPr txBox="1">
          <a:spLocks noChangeArrowheads="1" noTextEdit="1"/>
        </xdr:cNvSpPr>
      </xdr:nvSpPr>
      <xdr:spPr bwMode="auto">
        <a:xfrm>
          <a:off x="14011275" y="127808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03AB881-697D-42D6-99AE-569C46131D6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284</xdr:row>
      <xdr:rowOff>1</xdr:rowOff>
    </xdr:from>
    <xdr:to>
      <xdr:col>23</xdr:col>
      <xdr:colOff>0</xdr:colOff>
      <xdr:row>285</xdr:row>
      <xdr:rowOff>0</xdr:rowOff>
    </xdr:to>
    <xdr:sp macro="" textlink="AZ285">
      <xdr:nvSpPr>
        <xdr:cNvPr id="486" name="Text Box 7282"/>
        <xdr:cNvSpPr txBox="1">
          <a:spLocks noChangeArrowheads="1" noTextEdit="1"/>
        </xdr:cNvSpPr>
      </xdr:nvSpPr>
      <xdr:spPr bwMode="auto">
        <a:xfrm>
          <a:off x="14011275" y="1294447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B345478D-AD1A-44C2-8D18-EAE522077BF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285</xdr:row>
      <xdr:rowOff>0</xdr:rowOff>
    </xdr:from>
    <xdr:to>
      <xdr:col>23</xdr:col>
      <xdr:colOff>0</xdr:colOff>
      <xdr:row>286</xdr:row>
      <xdr:rowOff>0</xdr:rowOff>
    </xdr:to>
    <xdr:sp macro="" textlink="AZ286">
      <xdr:nvSpPr>
        <xdr:cNvPr id="487" name="Text Box 7283"/>
        <xdr:cNvSpPr txBox="1">
          <a:spLocks noChangeArrowheads="1" noTextEdit="1"/>
        </xdr:cNvSpPr>
      </xdr:nvSpPr>
      <xdr:spPr bwMode="auto">
        <a:xfrm>
          <a:off x="14011275" y="131064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AFFD5DE-47D6-4A0C-8BA9-025A347A0F6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286</xdr:row>
      <xdr:rowOff>0</xdr:rowOff>
    </xdr:from>
    <xdr:to>
      <xdr:col>23</xdr:col>
      <xdr:colOff>0</xdr:colOff>
      <xdr:row>287</xdr:row>
      <xdr:rowOff>0</xdr:rowOff>
    </xdr:to>
    <xdr:sp macro="" textlink="AZ287">
      <xdr:nvSpPr>
        <xdr:cNvPr id="488" name="Text Box 7284"/>
        <xdr:cNvSpPr txBox="1">
          <a:spLocks noChangeArrowheads="1" noTextEdit="1"/>
        </xdr:cNvSpPr>
      </xdr:nvSpPr>
      <xdr:spPr bwMode="auto">
        <a:xfrm>
          <a:off x="14011275" y="13268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482EC3A-9EB4-4970-A5F1-0C38C6550A8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287</xdr:row>
      <xdr:rowOff>0</xdr:rowOff>
    </xdr:from>
    <xdr:to>
      <xdr:col>23</xdr:col>
      <xdr:colOff>0</xdr:colOff>
      <xdr:row>288</xdr:row>
      <xdr:rowOff>0</xdr:rowOff>
    </xdr:to>
    <xdr:sp macro="" textlink="AZ288">
      <xdr:nvSpPr>
        <xdr:cNvPr id="489" name="Text Box 7285"/>
        <xdr:cNvSpPr txBox="1">
          <a:spLocks noChangeArrowheads="1" noTextEdit="1"/>
        </xdr:cNvSpPr>
      </xdr:nvSpPr>
      <xdr:spPr bwMode="auto">
        <a:xfrm>
          <a:off x="14011275" y="134302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462F69E-92DF-4382-A84B-5DBE126B0D7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288</xdr:row>
      <xdr:rowOff>0</xdr:rowOff>
    </xdr:from>
    <xdr:to>
      <xdr:col>23</xdr:col>
      <xdr:colOff>0</xdr:colOff>
      <xdr:row>288</xdr:row>
      <xdr:rowOff>160193</xdr:rowOff>
    </xdr:to>
    <xdr:sp macro="" textlink="AZ289">
      <xdr:nvSpPr>
        <xdr:cNvPr id="490" name="Text Box 7286"/>
        <xdr:cNvSpPr txBox="1">
          <a:spLocks noChangeArrowheads="1" noTextEdit="1"/>
        </xdr:cNvSpPr>
      </xdr:nvSpPr>
      <xdr:spPr bwMode="auto">
        <a:xfrm>
          <a:off x="14011275" y="135921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12F13C1-3891-43AC-B2F0-47FD59F1DFB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288</xdr:row>
      <xdr:rowOff>160193</xdr:rowOff>
    </xdr:from>
    <xdr:to>
      <xdr:col>23</xdr:col>
      <xdr:colOff>0</xdr:colOff>
      <xdr:row>290</xdr:row>
      <xdr:rowOff>0</xdr:rowOff>
    </xdr:to>
    <xdr:sp macro="" textlink="AZ290">
      <xdr:nvSpPr>
        <xdr:cNvPr id="491" name="Text Box 7287"/>
        <xdr:cNvSpPr txBox="1">
          <a:spLocks noChangeArrowheads="1" noTextEdit="1"/>
        </xdr:cNvSpPr>
      </xdr:nvSpPr>
      <xdr:spPr bwMode="auto">
        <a:xfrm>
          <a:off x="14011275" y="137523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AE3E585-C2A9-43D6-A016-A4AD0CDE0A4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290</xdr:row>
      <xdr:rowOff>0</xdr:rowOff>
    </xdr:from>
    <xdr:to>
      <xdr:col>23</xdr:col>
      <xdr:colOff>0</xdr:colOff>
      <xdr:row>291</xdr:row>
      <xdr:rowOff>0</xdr:rowOff>
    </xdr:to>
    <xdr:sp macro="" textlink="AZ291">
      <xdr:nvSpPr>
        <xdr:cNvPr id="492" name="Text Box 7288"/>
        <xdr:cNvSpPr txBox="1">
          <a:spLocks noChangeArrowheads="1" noTextEdit="1"/>
        </xdr:cNvSpPr>
      </xdr:nvSpPr>
      <xdr:spPr bwMode="auto">
        <a:xfrm>
          <a:off x="14011275" y="139160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D0166F8-6751-419D-8735-AC817F83C33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291</xdr:row>
      <xdr:rowOff>0</xdr:rowOff>
    </xdr:from>
    <xdr:to>
      <xdr:col>23</xdr:col>
      <xdr:colOff>0</xdr:colOff>
      <xdr:row>292</xdr:row>
      <xdr:rowOff>0</xdr:rowOff>
    </xdr:to>
    <xdr:sp macro="" textlink="AZ292">
      <xdr:nvSpPr>
        <xdr:cNvPr id="493" name="Text Box 7289"/>
        <xdr:cNvSpPr txBox="1">
          <a:spLocks noChangeArrowheads="1" noTextEdit="1"/>
        </xdr:cNvSpPr>
      </xdr:nvSpPr>
      <xdr:spPr bwMode="auto">
        <a:xfrm>
          <a:off x="14011275" y="140779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335F3B4-EDB9-483B-870C-5DE482317EB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292</xdr:row>
      <xdr:rowOff>0</xdr:rowOff>
    </xdr:from>
    <xdr:to>
      <xdr:col>23</xdr:col>
      <xdr:colOff>0</xdr:colOff>
      <xdr:row>293</xdr:row>
      <xdr:rowOff>0</xdr:rowOff>
    </xdr:to>
    <xdr:sp macro="" textlink="AZ293">
      <xdr:nvSpPr>
        <xdr:cNvPr id="494" name="Text Box 7290"/>
        <xdr:cNvSpPr txBox="1">
          <a:spLocks noChangeArrowheads="1" noTextEdit="1"/>
        </xdr:cNvSpPr>
      </xdr:nvSpPr>
      <xdr:spPr bwMode="auto">
        <a:xfrm>
          <a:off x="14011275" y="14239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1E9058A-885A-4DDD-9771-569D4F9AA3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293</xdr:row>
      <xdr:rowOff>0</xdr:rowOff>
    </xdr:from>
    <xdr:to>
      <xdr:col>23</xdr:col>
      <xdr:colOff>0</xdr:colOff>
      <xdr:row>293</xdr:row>
      <xdr:rowOff>160193</xdr:rowOff>
    </xdr:to>
    <xdr:sp macro="" textlink="AZ294">
      <xdr:nvSpPr>
        <xdr:cNvPr id="495" name="Text Box 7291"/>
        <xdr:cNvSpPr txBox="1">
          <a:spLocks noChangeArrowheads="1" noTextEdit="1"/>
        </xdr:cNvSpPr>
      </xdr:nvSpPr>
      <xdr:spPr bwMode="auto">
        <a:xfrm>
          <a:off x="14011275" y="144018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C74E8275-19FC-4298-AA13-32D15DCBCE5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293</xdr:row>
      <xdr:rowOff>160193</xdr:rowOff>
    </xdr:from>
    <xdr:to>
      <xdr:col>23</xdr:col>
      <xdr:colOff>0</xdr:colOff>
      <xdr:row>294</xdr:row>
      <xdr:rowOff>160193</xdr:rowOff>
    </xdr:to>
    <xdr:sp macro="" textlink="AZ295">
      <xdr:nvSpPr>
        <xdr:cNvPr id="496" name="Text Box 7292"/>
        <xdr:cNvSpPr txBox="1">
          <a:spLocks noChangeArrowheads="1" noTextEdit="1"/>
        </xdr:cNvSpPr>
      </xdr:nvSpPr>
      <xdr:spPr bwMode="auto">
        <a:xfrm>
          <a:off x="14011275" y="145619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432AD2B-7396-4B5E-ABD4-141B1837D1A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294</xdr:row>
      <xdr:rowOff>160193</xdr:rowOff>
    </xdr:from>
    <xdr:to>
      <xdr:col>23</xdr:col>
      <xdr:colOff>0</xdr:colOff>
      <xdr:row>296</xdr:row>
      <xdr:rowOff>0</xdr:rowOff>
    </xdr:to>
    <xdr:sp macro="" textlink="AZ296">
      <xdr:nvSpPr>
        <xdr:cNvPr id="497" name="Text Box 7293"/>
        <xdr:cNvSpPr txBox="1">
          <a:spLocks noChangeArrowheads="1" noTextEdit="1"/>
        </xdr:cNvSpPr>
      </xdr:nvSpPr>
      <xdr:spPr bwMode="auto">
        <a:xfrm>
          <a:off x="14011275" y="147239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343A2CD4-E8AB-430C-BAFA-0BAD25BA3DB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296</xdr:row>
      <xdr:rowOff>0</xdr:rowOff>
    </xdr:from>
    <xdr:to>
      <xdr:col>23</xdr:col>
      <xdr:colOff>0</xdr:colOff>
      <xdr:row>297</xdr:row>
      <xdr:rowOff>0</xdr:rowOff>
    </xdr:to>
    <xdr:sp macro="" textlink="AZ297">
      <xdr:nvSpPr>
        <xdr:cNvPr id="498" name="Text Box 7294"/>
        <xdr:cNvSpPr txBox="1">
          <a:spLocks noChangeArrowheads="1" noTextEdit="1"/>
        </xdr:cNvSpPr>
      </xdr:nvSpPr>
      <xdr:spPr bwMode="auto">
        <a:xfrm>
          <a:off x="14011275" y="148875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4B4458B-2D35-4B49-BCF4-1906E9EBD8C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297</xdr:row>
      <xdr:rowOff>0</xdr:rowOff>
    </xdr:from>
    <xdr:to>
      <xdr:col>23</xdr:col>
      <xdr:colOff>0</xdr:colOff>
      <xdr:row>298</xdr:row>
      <xdr:rowOff>0</xdr:rowOff>
    </xdr:to>
    <xdr:sp macro="" textlink="AZ298">
      <xdr:nvSpPr>
        <xdr:cNvPr id="499" name="Text Box 7295"/>
        <xdr:cNvSpPr txBox="1">
          <a:spLocks noChangeArrowheads="1" noTextEdit="1"/>
        </xdr:cNvSpPr>
      </xdr:nvSpPr>
      <xdr:spPr bwMode="auto">
        <a:xfrm>
          <a:off x="14011275" y="150495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9F110D2-EBAE-4C36-BEC2-E64AD17B08E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298</xdr:row>
      <xdr:rowOff>0</xdr:rowOff>
    </xdr:from>
    <xdr:to>
      <xdr:col>23</xdr:col>
      <xdr:colOff>0</xdr:colOff>
      <xdr:row>299</xdr:row>
      <xdr:rowOff>0</xdr:rowOff>
    </xdr:to>
    <xdr:sp macro="" textlink="AZ299">
      <xdr:nvSpPr>
        <xdr:cNvPr id="500" name="Text Box 7296"/>
        <xdr:cNvSpPr txBox="1">
          <a:spLocks noChangeArrowheads="1" noTextEdit="1"/>
        </xdr:cNvSpPr>
      </xdr:nvSpPr>
      <xdr:spPr bwMode="auto">
        <a:xfrm>
          <a:off x="14011275" y="15211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A355E94-3CEC-4C5C-ACFF-D747CACD41C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299</xdr:row>
      <xdr:rowOff>0</xdr:rowOff>
    </xdr:from>
    <xdr:to>
      <xdr:col>23</xdr:col>
      <xdr:colOff>0</xdr:colOff>
      <xdr:row>299</xdr:row>
      <xdr:rowOff>160193</xdr:rowOff>
    </xdr:to>
    <xdr:sp macro="" textlink="AZ300">
      <xdr:nvSpPr>
        <xdr:cNvPr id="501" name="Text Box 7297"/>
        <xdr:cNvSpPr txBox="1">
          <a:spLocks noChangeArrowheads="1" noTextEdit="1"/>
        </xdr:cNvSpPr>
      </xdr:nvSpPr>
      <xdr:spPr bwMode="auto">
        <a:xfrm>
          <a:off x="14011275" y="153733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AD3DB8EA-92A9-4823-941E-1A1AA03CDFC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300</xdr:row>
      <xdr:rowOff>1</xdr:rowOff>
    </xdr:from>
    <xdr:to>
      <xdr:col>23</xdr:col>
      <xdr:colOff>0</xdr:colOff>
      <xdr:row>301</xdr:row>
      <xdr:rowOff>0</xdr:rowOff>
    </xdr:to>
    <xdr:sp macro="" textlink="AZ301">
      <xdr:nvSpPr>
        <xdr:cNvPr id="502" name="Text Box 7298"/>
        <xdr:cNvSpPr txBox="1">
          <a:spLocks noChangeArrowheads="1" noTextEdit="1"/>
        </xdr:cNvSpPr>
      </xdr:nvSpPr>
      <xdr:spPr bwMode="auto">
        <a:xfrm>
          <a:off x="14011275" y="1553527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9E9441E0-A69F-4405-99CF-97B603A9EEB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301</xdr:row>
      <xdr:rowOff>0</xdr:rowOff>
    </xdr:from>
    <xdr:to>
      <xdr:col>23</xdr:col>
      <xdr:colOff>0</xdr:colOff>
      <xdr:row>302</xdr:row>
      <xdr:rowOff>0</xdr:rowOff>
    </xdr:to>
    <xdr:sp macro="" textlink="AZ302">
      <xdr:nvSpPr>
        <xdr:cNvPr id="503" name="Text Box 7299"/>
        <xdr:cNvSpPr txBox="1">
          <a:spLocks noChangeArrowheads="1" noTextEdit="1"/>
        </xdr:cNvSpPr>
      </xdr:nvSpPr>
      <xdr:spPr bwMode="auto">
        <a:xfrm>
          <a:off x="14011275" y="156972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4D9A9FB-9934-49C9-9336-B2614F4AD14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302</xdr:row>
      <xdr:rowOff>0</xdr:rowOff>
    </xdr:from>
    <xdr:to>
      <xdr:col>23</xdr:col>
      <xdr:colOff>0</xdr:colOff>
      <xdr:row>303</xdr:row>
      <xdr:rowOff>0</xdr:rowOff>
    </xdr:to>
    <xdr:sp macro="" textlink="AZ303">
      <xdr:nvSpPr>
        <xdr:cNvPr id="504" name="Text Box 7300"/>
        <xdr:cNvSpPr txBox="1">
          <a:spLocks noChangeArrowheads="1" noTextEdit="1"/>
        </xdr:cNvSpPr>
      </xdr:nvSpPr>
      <xdr:spPr bwMode="auto">
        <a:xfrm>
          <a:off x="14011275" y="15859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7EC1FE9-6C30-4847-8622-E27F9BA2EC4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303</xdr:row>
      <xdr:rowOff>0</xdr:rowOff>
    </xdr:from>
    <xdr:to>
      <xdr:col>23</xdr:col>
      <xdr:colOff>0</xdr:colOff>
      <xdr:row>304</xdr:row>
      <xdr:rowOff>0</xdr:rowOff>
    </xdr:to>
    <xdr:sp macro="" textlink="AZ304">
      <xdr:nvSpPr>
        <xdr:cNvPr id="505" name="Text Box 7301"/>
        <xdr:cNvSpPr txBox="1">
          <a:spLocks noChangeArrowheads="1" noTextEdit="1"/>
        </xdr:cNvSpPr>
      </xdr:nvSpPr>
      <xdr:spPr bwMode="auto">
        <a:xfrm>
          <a:off x="14011275" y="160210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80958E3-419A-428B-916D-75D31D35BE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304</xdr:row>
      <xdr:rowOff>0</xdr:rowOff>
    </xdr:from>
    <xdr:to>
      <xdr:col>23</xdr:col>
      <xdr:colOff>0</xdr:colOff>
      <xdr:row>304</xdr:row>
      <xdr:rowOff>160193</xdr:rowOff>
    </xdr:to>
    <xdr:sp macro="" textlink="AZ305">
      <xdr:nvSpPr>
        <xdr:cNvPr id="506" name="Text Box 7302"/>
        <xdr:cNvSpPr txBox="1">
          <a:spLocks noChangeArrowheads="1" noTextEdit="1"/>
        </xdr:cNvSpPr>
      </xdr:nvSpPr>
      <xdr:spPr bwMode="auto">
        <a:xfrm>
          <a:off x="14011275" y="16182975"/>
          <a:ext cx="2305050" cy="160193"/>
        </a:xfrm>
        <a:prstGeom prst="rect">
          <a:avLst/>
        </a:prstGeom>
        <a:noFill/>
        <a:ln w="9525" algn="ctr">
          <a:noFill/>
          <a:miter lim="800000"/>
          <a:headEnd/>
          <a:tailEnd/>
        </a:ln>
        <a:effectLst/>
      </xdr:spPr>
      <xdr:txBody>
        <a:bodyPr vertOverflow="clip" horzOverflow="clip" lIns="72000" anchor="ctr"/>
        <a:lstStyle/>
        <a:p>
          <a:pPr algn="l"/>
          <a:fld id="{2C7621CB-F171-46CA-84BA-2E8281528FC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304</xdr:row>
      <xdr:rowOff>160193</xdr:rowOff>
    </xdr:from>
    <xdr:to>
      <xdr:col>23</xdr:col>
      <xdr:colOff>0</xdr:colOff>
      <xdr:row>305</xdr:row>
      <xdr:rowOff>160193</xdr:rowOff>
    </xdr:to>
    <xdr:sp macro="" textlink="AZ306">
      <xdr:nvSpPr>
        <xdr:cNvPr id="507" name="Text Box 7303"/>
        <xdr:cNvSpPr txBox="1">
          <a:spLocks noChangeArrowheads="1" noTextEdit="1"/>
        </xdr:cNvSpPr>
      </xdr:nvSpPr>
      <xdr:spPr bwMode="auto">
        <a:xfrm>
          <a:off x="14011275" y="163431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4D9ED55-1EEE-498D-AF29-AE7606ED451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305</xdr:row>
      <xdr:rowOff>160193</xdr:rowOff>
    </xdr:from>
    <xdr:to>
      <xdr:col>23</xdr:col>
      <xdr:colOff>0</xdr:colOff>
      <xdr:row>307</xdr:row>
      <xdr:rowOff>0</xdr:rowOff>
    </xdr:to>
    <xdr:sp macro="" textlink="AZ307">
      <xdr:nvSpPr>
        <xdr:cNvPr id="508" name="Text Box 7304"/>
        <xdr:cNvSpPr txBox="1">
          <a:spLocks noChangeArrowheads="1" noTextEdit="1"/>
        </xdr:cNvSpPr>
      </xdr:nvSpPr>
      <xdr:spPr bwMode="auto">
        <a:xfrm>
          <a:off x="14011275" y="165050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7EAA9BE-A351-442F-9F50-7B5F3F1C2E3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307</xdr:row>
      <xdr:rowOff>0</xdr:rowOff>
    </xdr:from>
    <xdr:to>
      <xdr:col>23</xdr:col>
      <xdr:colOff>0</xdr:colOff>
      <xdr:row>308</xdr:row>
      <xdr:rowOff>0</xdr:rowOff>
    </xdr:to>
    <xdr:sp macro="" textlink="AZ308">
      <xdr:nvSpPr>
        <xdr:cNvPr id="509" name="Text Box 7305"/>
        <xdr:cNvSpPr txBox="1">
          <a:spLocks noChangeArrowheads="1" noTextEdit="1"/>
        </xdr:cNvSpPr>
      </xdr:nvSpPr>
      <xdr:spPr bwMode="auto">
        <a:xfrm>
          <a:off x="14011275" y="166687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20C8DC1-7BB4-4785-9126-7743BB8D5FD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308</xdr:row>
      <xdr:rowOff>0</xdr:rowOff>
    </xdr:from>
    <xdr:to>
      <xdr:col>23</xdr:col>
      <xdr:colOff>0</xdr:colOff>
      <xdr:row>309</xdr:row>
      <xdr:rowOff>0</xdr:rowOff>
    </xdr:to>
    <xdr:sp macro="" textlink="AZ309">
      <xdr:nvSpPr>
        <xdr:cNvPr id="510" name="Text Box 7306"/>
        <xdr:cNvSpPr txBox="1">
          <a:spLocks noChangeArrowheads="1" noTextEdit="1"/>
        </xdr:cNvSpPr>
      </xdr:nvSpPr>
      <xdr:spPr bwMode="auto">
        <a:xfrm>
          <a:off x="14011275" y="168306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8AF9D3B-A58C-4F1B-AF39-44D00F63333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309</xdr:row>
      <xdr:rowOff>0</xdr:rowOff>
    </xdr:from>
    <xdr:to>
      <xdr:col>23</xdr:col>
      <xdr:colOff>0</xdr:colOff>
      <xdr:row>310</xdr:row>
      <xdr:rowOff>0</xdr:rowOff>
    </xdr:to>
    <xdr:sp macro="" textlink="AZ310">
      <xdr:nvSpPr>
        <xdr:cNvPr id="511" name="Text Box 7307"/>
        <xdr:cNvSpPr txBox="1">
          <a:spLocks noChangeArrowheads="1" noTextEdit="1"/>
        </xdr:cNvSpPr>
      </xdr:nvSpPr>
      <xdr:spPr bwMode="auto">
        <a:xfrm>
          <a:off x="14011275" y="16992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AF53E64-A794-4FA9-B173-686723DE3BC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310</xdr:row>
      <xdr:rowOff>0</xdr:rowOff>
    </xdr:from>
    <xdr:to>
      <xdr:col>23</xdr:col>
      <xdr:colOff>0</xdr:colOff>
      <xdr:row>310</xdr:row>
      <xdr:rowOff>160193</xdr:rowOff>
    </xdr:to>
    <xdr:sp macro="" textlink="AZ311">
      <xdr:nvSpPr>
        <xdr:cNvPr id="512" name="Text Box 7308"/>
        <xdr:cNvSpPr txBox="1">
          <a:spLocks noChangeArrowheads="1" noTextEdit="1"/>
        </xdr:cNvSpPr>
      </xdr:nvSpPr>
      <xdr:spPr bwMode="auto">
        <a:xfrm>
          <a:off x="14011275" y="171545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146F4C2-DCB7-4315-A7CB-3926AD316EB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310</xdr:row>
      <xdr:rowOff>160193</xdr:rowOff>
    </xdr:from>
    <xdr:to>
      <xdr:col>23</xdr:col>
      <xdr:colOff>0</xdr:colOff>
      <xdr:row>312</xdr:row>
      <xdr:rowOff>0</xdr:rowOff>
    </xdr:to>
    <xdr:sp macro="" textlink="AZ312">
      <xdr:nvSpPr>
        <xdr:cNvPr id="513" name="Text Box 7309"/>
        <xdr:cNvSpPr txBox="1">
          <a:spLocks noChangeArrowheads="1" noTextEdit="1"/>
        </xdr:cNvSpPr>
      </xdr:nvSpPr>
      <xdr:spPr bwMode="auto">
        <a:xfrm>
          <a:off x="14011275" y="173147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047E13F2-34BE-4463-BFCF-10E20913054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312</xdr:row>
      <xdr:rowOff>0</xdr:rowOff>
    </xdr:from>
    <xdr:to>
      <xdr:col>23</xdr:col>
      <xdr:colOff>0</xdr:colOff>
      <xdr:row>313</xdr:row>
      <xdr:rowOff>0</xdr:rowOff>
    </xdr:to>
    <xdr:sp macro="" textlink="AZ313">
      <xdr:nvSpPr>
        <xdr:cNvPr id="514" name="Text Box 7310"/>
        <xdr:cNvSpPr txBox="1">
          <a:spLocks noChangeArrowheads="1" noTextEdit="1"/>
        </xdr:cNvSpPr>
      </xdr:nvSpPr>
      <xdr:spPr bwMode="auto">
        <a:xfrm>
          <a:off x="14011275" y="17478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70A6597-6825-4A38-B3C3-6F87F63B822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313</xdr:row>
      <xdr:rowOff>0</xdr:rowOff>
    </xdr:from>
    <xdr:to>
      <xdr:col>23</xdr:col>
      <xdr:colOff>0</xdr:colOff>
      <xdr:row>314</xdr:row>
      <xdr:rowOff>0</xdr:rowOff>
    </xdr:to>
    <xdr:sp macro="" textlink="AZ314">
      <xdr:nvSpPr>
        <xdr:cNvPr id="515" name="Text Box 7311"/>
        <xdr:cNvSpPr txBox="1">
          <a:spLocks noChangeArrowheads="1" noTextEdit="1"/>
        </xdr:cNvSpPr>
      </xdr:nvSpPr>
      <xdr:spPr bwMode="auto">
        <a:xfrm>
          <a:off x="14011275" y="176403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AF5633C-73A3-4636-A52A-CACEDEC7404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314</xdr:row>
      <xdr:rowOff>0</xdr:rowOff>
    </xdr:from>
    <xdr:to>
      <xdr:col>23</xdr:col>
      <xdr:colOff>0</xdr:colOff>
      <xdr:row>315</xdr:row>
      <xdr:rowOff>0</xdr:rowOff>
    </xdr:to>
    <xdr:sp macro="" textlink="AZ315">
      <xdr:nvSpPr>
        <xdr:cNvPr id="516" name="Text Box 7312"/>
        <xdr:cNvSpPr txBox="1">
          <a:spLocks noChangeArrowheads="1" noTextEdit="1"/>
        </xdr:cNvSpPr>
      </xdr:nvSpPr>
      <xdr:spPr bwMode="auto">
        <a:xfrm>
          <a:off x="14011275" y="178022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23F13DD-AD33-491B-B7DB-453A077432E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315</xdr:row>
      <xdr:rowOff>0</xdr:rowOff>
    </xdr:from>
    <xdr:to>
      <xdr:col>23</xdr:col>
      <xdr:colOff>0</xdr:colOff>
      <xdr:row>315</xdr:row>
      <xdr:rowOff>160193</xdr:rowOff>
    </xdr:to>
    <xdr:sp macro="" textlink="AZ316">
      <xdr:nvSpPr>
        <xdr:cNvPr id="517" name="Text Box 7313"/>
        <xdr:cNvSpPr txBox="1">
          <a:spLocks noChangeArrowheads="1" noTextEdit="1"/>
        </xdr:cNvSpPr>
      </xdr:nvSpPr>
      <xdr:spPr bwMode="auto">
        <a:xfrm>
          <a:off x="14011275" y="179641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BACBD8B-6A7D-4E73-9AFF-9E157087795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315</xdr:row>
      <xdr:rowOff>160193</xdr:rowOff>
    </xdr:from>
    <xdr:to>
      <xdr:col>23</xdr:col>
      <xdr:colOff>0</xdr:colOff>
      <xdr:row>316</xdr:row>
      <xdr:rowOff>160193</xdr:rowOff>
    </xdr:to>
    <xdr:sp macro="" textlink="AZ317">
      <xdr:nvSpPr>
        <xdr:cNvPr id="518" name="Text Box 7314"/>
        <xdr:cNvSpPr txBox="1">
          <a:spLocks noChangeArrowheads="1" noTextEdit="1"/>
        </xdr:cNvSpPr>
      </xdr:nvSpPr>
      <xdr:spPr bwMode="auto">
        <a:xfrm>
          <a:off x="14011275" y="181243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7BCB7B2-0097-400D-BDE7-2F67067D32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316</xdr:row>
      <xdr:rowOff>160193</xdr:rowOff>
    </xdr:from>
    <xdr:to>
      <xdr:col>23</xdr:col>
      <xdr:colOff>0</xdr:colOff>
      <xdr:row>318</xdr:row>
      <xdr:rowOff>0</xdr:rowOff>
    </xdr:to>
    <xdr:sp macro="" textlink="AZ318">
      <xdr:nvSpPr>
        <xdr:cNvPr id="519" name="Text Box 7315"/>
        <xdr:cNvSpPr txBox="1">
          <a:spLocks noChangeArrowheads="1" noTextEdit="1"/>
        </xdr:cNvSpPr>
      </xdr:nvSpPr>
      <xdr:spPr bwMode="auto">
        <a:xfrm>
          <a:off x="14011275" y="182862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4B7E10BD-EBB2-443A-8C67-A503B7BB60A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318</xdr:row>
      <xdr:rowOff>0</xdr:rowOff>
    </xdr:from>
    <xdr:to>
      <xdr:col>23</xdr:col>
      <xdr:colOff>0</xdr:colOff>
      <xdr:row>319</xdr:row>
      <xdr:rowOff>0</xdr:rowOff>
    </xdr:to>
    <xdr:sp macro="" textlink="AZ319">
      <xdr:nvSpPr>
        <xdr:cNvPr id="520" name="Text Box 7316"/>
        <xdr:cNvSpPr txBox="1">
          <a:spLocks noChangeArrowheads="1" noTextEdit="1"/>
        </xdr:cNvSpPr>
      </xdr:nvSpPr>
      <xdr:spPr bwMode="auto">
        <a:xfrm>
          <a:off x="14011275" y="184499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7FBC08D-ADC9-4E8A-A001-32FE389D252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319</xdr:row>
      <xdr:rowOff>0</xdr:rowOff>
    </xdr:from>
    <xdr:to>
      <xdr:col>23</xdr:col>
      <xdr:colOff>0</xdr:colOff>
      <xdr:row>320</xdr:row>
      <xdr:rowOff>0</xdr:rowOff>
    </xdr:to>
    <xdr:sp macro="" textlink="AZ320">
      <xdr:nvSpPr>
        <xdr:cNvPr id="521" name="Text Box 7317"/>
        <xdr:cNvSpPr txBox="1">
          <a:spLocks noChangeArrowheads="1" noTextEdit="1"/>
        </xdr:cNvSpPr>
      </xdr:nvSpPr>
      <xdr:spPr bwMode="auto">
        <a:xfrm>
          <a:off x="14011275" y="186118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47C6B36-7C24-4EE6-BBF8-FCCBB7AE461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20</xdr:col>
      <xdr:colOff>1133475</xdr:colOff>
      <xdr:row>320</xdr:row>
      <xdr:rowOff>9525</xdr:rowOff>
    </xdr:from>
    <xdr:to>
      <xdr:col>22</xdr:col>
      <xdr:colOff>1390650</xdr:colOff>
      <xdr:row>321</xdr:row>
      <xdr:rowOff>9525</xdr:rowOff>
    </xdr:to>
    <xdr:sp macro="" textlink="AZ321">
      <xdr:nvSpPr>
        <xdr:cNvPr id="522" name="Text Box 7318"/>
        <xdr:cNvSpPr txBox="1">
          <a:spLocks noChangeArrowheads="1" noTextEdit="1"/>
        </xdr:cNvSpPr>
      </xdr:nvSpPr>
      <xdr:spPr bwMode="auto">
        <a:xfrm>
          <a:off x="14001750" y="18783300"/>
          <a:ext cx="2295525" cy="161925"/>
        </a:xfrm>
        <a:prstGeom prst="rect">
          <a:avLst/>
        </a:prstGeom>
        <a:noFill/>
        <a:ln w="9525" algn="ctr">
          <a:noFill/>
          <a:miter lim="800000"/>
          <a:headEnd/>
          <a:tailEnd/>
        </a:ln>
        <a:effectLst/>
      </xdr:spPr>
      <xdr:txBody>
        <a:bodyPr vertOverflow="clip" horzOverflow="clip" lIns="72000" tIns="36000" rIns="36000" bIns="36000" anchor="ctr"/>
        <a:lstStyle/>
        <a:p>
          <a:pPr algn="l"/>
          <a:fld id="{113DC9B6-A0E0-4D1F-9AAA-BAAC6B0AE27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321</xdr:row>
      <xdr:rowOff>0</xdr:rowOff>
    </xdr:from>
    <xdr:to>
      <xdr:col>23</xdr:col>
      <xdr:colOff>0</xdr:colOff>
      <xdr:row>321</xdr:row>
      <xdr:rowOff>160193</xdr:rowOff>
    </xdr:to>
    <xdr:sp macro="" textlink="AZ322">
      <xdr:nvSpPr>
        <xdr:cNvPr id="523" name="Text Box 7321"/>
        <xdr:cNvSpPr txBox="1">
          <a:spLocks noChangeArrowheads="1" noTextEdit="1"/>
        </xdr:cNvSpPr>
      </xdr:nvSpPr>
      <xdr:spPr bwMode="auto">
        <a:xfrm>
          <a:off x="14011275" y="189357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1E9D92CB-E5B1-4642-BF2C-DDB519A5DAA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326</xdr:row>
      <xdr:rowOff>0</xdr:rowOff>
    </xdr:from>
    <xdr:to>
      <xdr:col>23</xdr:col>
      <xdr:colOff>0</xdr:colOff>
      <xdr:row>327</xdr:row>
      <xdr:rowOff>0</xdr:rowOff>
    </xdr:to>
    <xdr:sp macro="" textlink="AZ327">
      <xdr:nvSpPr>
        <xdr:cNvPr id="524" name="Text Box 1236"/>
        <xdr:cNvSpPr txBox="1">
          <a:spLocks noChangeArrowheads="1" noTextEdit="1"/>
        </xdr:cNvSpPr>
      </xdr:nvSpPr>
      <xdr:spPr bwMode="auto">
        <a:xfrm>
          <a:off x="14011275" y="19745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6B0855D-6631-47D4-888F-7752F3CB35A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323</xdr:row>
      <xdr:rowOff>0</xdr:rowOff>
    </xdr:from>
    <xdr:to>
      <xdr:col>23</xdr:col>
      <xdr:colOff>0</xdr:colOff>
      <xdr:row>324</xdr:row>
      <xdr:rowOff>0</xdr:rowOff>
    </xdr:to>
    <xdr:sp macro="" textlink="AZ324">
      <xdr:nvSpPr>
        <xdr:cNvPr id="525" name="Text Box 1233"/>
        <xdr:cNvSpPr txBox="1">
          <a:spLocks noChangeArrowheads="1" noTextEdit="1"/>
        </xdr:cNvSpPr>
      </xdr:nvSpPr>
      <xdr:spPr bwMode="auto">
        <a:xfrm>
          <a:off x="14011275" y="19259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2E709EE-5367-48B9-BC4B-565C676497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325</xdr:row>
      <xdr:rowOff>0</xdr:rowOff>
    </xdr:from>
    <xdr:to>
      <xdr:col>23</xdr:col>
      <xdr:colOff>0</xdr:colOff>
      <xdr:row>326</xdr:row>
      <xdr:rowOff>0</xdr:rowOff>
    </xdr:to>
    <xdr:sp macro="" textlink="AZ326">
      <xdr:nvSpPr>
        <xdr:cNvPr id="526" name="Text Box 1235"/>
        <xdr:cNvSpPr txBox="1">
          <a:spLocks noChangeArrowheads="1" noTextEdit="1"/>
        </xdr:cNvSpPr>
      </xdr:nvSpPr>
      <xdr:spPr bwMode="auto">
        <a:xfrm>
          <a:off x="14011275" y="195834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5F5338B-80F4-4E74-BDB4-E12B3F5CF2B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10583</xdr:colOff>
      <xdr:row>324</xdr:row>
      <xdr:rowOff>0</xdr:rowOff>
    </xdr:from>
    <xdr:to>
      <xdr:col>23</xdr:col>
      <xdr:colOff>10583</xdr:colOff>
      <xdr:row>325</xdr:row>
      <xdr:rowOff>0</xdr:rowOff>
    </xdr:to>
    <xdr:sp macro="" textlink="AZ325">
      <xdr:nvSpPr>
        <xdr:cNvPr id="527" name="Text Box 1234"/>
        <xdr:cNvSpPr txBox="1">
          <a:spLocks noChangeArrowheads="1" noTextEdit="1"/>
        </xdr:cNvSpPr>
      </xdr:nvSpPr>
      <xdr:spPr bwMode="auto">
        <a:xfrm>
          <a:off x="14021858" y="19421475"/>
          <a:ext cx="2305050" cy="161925"/>
        </a:xfrm>
        <a:prstGeom prst="rect">
          <a:avLst/>
        </a:prstGeom>
        <a:noFill/>
        <a:ln w="9525" algn="ctr">
          <a:noFill/>
          <a:miter lim="800000"/>
          <a:headEnd/>
          <a:tailEnd/>
        </a:ln>
        <a:effectLst/>
      </xdr:spPr>
      <xdr:txBody>
        <a:bodyPr vertOverflow="clip" horzOverflow="clip" wrap="square" lIns="72000" tIns="36000" rIns="36000" bIns="36000" anchor="ctr"/>
        <a:lstStyle/>
        <a:p>
          <a:pPr algn="l"/>
          <a:fld id="{8FCD2265-9AF2-4D70-BAE6-666088D97ED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327</xdr:row>
      <xdr:rowOff>1</xdr:rowOff>
    </xdr:from>
    <xdr:to>
      <xdr:col>23</xdr:col>
      <xdr:colOff>0</xdr:colOff>
      <xdr:row>328</xdr:row>
      <xdr:rowOff>0</xdr:rowOff>
    </xdr:to>
    <xdr:sp macro="" textlink="AZ328">
      <xdr:nvSpPr>
        <xdr:cNvPr id="528" name="Text Box 1237"/>
        <xdr:cNvSpPr txBox="1">
          <a:spLocks noChangeArrowheads="1" noTextEdit="1"/>
        </xdr:cNvSpPr>
      </xdr:nvSpPr>
      <xdr:spPr bwMode="auto">
        <a:xfrm>
          <a:off x="14011275" y="199072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0291F52F-31E9-42BC-9A65-5DF78529D5F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328</xdr:row>
      <xdr:rowOff>0</xdr:rowOff>
    </xdr:from>
    <xdr:to>
      <xdr:col>23</xdr:col>
      <xdr:colOff>0</xdr:colOff>
      <xdr:row>328</xdr:row>
      <xdr:rowOff>324715</xdr:rowOff>
    </xdr:to>
    <xdr:sp macro="" textlink="AZ329">
      <xdr:nvSpPr>
        <xdr:cNvPr id="529" name="Text Box 1238"/>
        <xdr:cNvSpPr txBox="1">
          <a:spLocks noChangeArrowheads="1" noTextEdit="1"/>
        </xdr:cNvSpPr>
      </xdr:nvSpPr>
      <xdr:spPr bwMode="auto">
        <a:xfrm>
          <a:off x="14011275" y="20069175"/>
          <a:ext cx="2305050" cy="162790"/>
        </a:xfrm>
        <a:prstGeom prst="rect">
          <a:avLst/>
        </a:prstGeom>
        <a:noFill/>
        <a:ln w="9525" algn="ctr">
          <a:noFill/>
          <a:miter lim="800000"/>
          <a:headEnd/>
          <a:tailEnd/>
        </a:ln>
        <a:effectLst/>
      </xdr:spPr>
      <xdr:txBody>
        <a:bodyPr vertOverflow="clip" horzOverflow="clip" lIns="72000" tIns="36000" rIns="36000" bIns="36000" anchor="ctr"/>
        <a:lstStyle/>
        <a:p>
          <a:pPr algn="l"/>
          <a:fld id="{7D27047C-9761-476B-ACD6-BE23C23DC0B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328</xdr:row>
      <xdr:rowOff>324715</xdr:rowOff>
    </xdr:from>
    <xdr:to>
      <xdr:col>23</xdr:col>
      <xdr:colOff>0</xdr:colOff>
      <xdr:row>330</xdr:row>
      <xdr:rowOff>0</xdr:rowOff>
    </xdr:to>
    <xdr:sp macro="" textlink="AZ330">
      <xdr:nvSpPr>
        <xdr:cNvPr id="530" name="Text Box 1239"/>
        <xdr:cNvSpPr txBox="1">
          <a:spLocks noChangeArrowheads="1" noTextEdit="1"/>
        </xdr:cNvSpPr>
      </xdr:nvSpPr>
      <xdr:spPr bwMode="auto">
        <a:xfrm>
          <a:off x="14011275" y="20231965"/>
          <a:ext cx="2305050" cy="161060"/>
        </a:xfrm>
        <a:prstGeom prst="rect">
          <a:avLst/>
        </a:prstGeom>
        <a:noFill/>
        <a:ln w="9525" algn="ctr">
          <a:noFill/>
          <a:miter lim="800000"/>
          <a:headEnd/>
          <a:tailEnd/>
        </a:ln>
        <a:effectLst/>
      </xdr:spPr>
      <xdr:txBody>
        <a:bodyPr vertOverflow="clip" horzOverflow="clip" lIns="72000" tIns="36000" rIns="36000" bIns="36000" anchor="ctr"/>
        <a:lstStyle/>
        <a:p>
          <a:pPr algn="l"/>
          <a:fld id="{FC741CBA-88FD-40EF-8B32-87854FA25C1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330</xdr:row>
      <xdr:rowOff>0</xdr:rowOff>
    </xdr:from>
    <xdr:to>
      <xdr:col>23</xdr:col>
      <xdr:colOff>0</xdr:colOff>
      <xdr:row>331</xdr:row>
      <xdr:rowOff>0</xdr:rowOff>
    </xdr:to>
    <xdr:sp macro="" textlink="AZ331">
      <xdr:nvSpPr>
        <xdr:cNvPr id="531" name="Text Box 1240"/>
        <xdr:cNvSpPr txBox="1">
          <a:spLocks noChangeArrowheads="1" noTextEdit="1"/>
        </xdr:cNvSpPr>
      </xdr:nvSpPr>
      <xdr:spPr bwMode="auto">
        <a:xfrm>
          <a:off x="14011275" y="203930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E7284FE-0138-4BC6-B26B-B4AE58BE30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331</xdr:row>
      <xdr:rowOff>0</xdr:rowOff>
    </xdr:from>
    <xdr:to>
      <xdr:col>23</xdr:col>
      <xdr:colOff>0</xdr:colOff>
      <xdr:row>332</xdr:row>
      <xdr:rowOff>0</xdr:rowOff>
    </xdr:to>
    <xdr:sp macro="" textlink="AZ332">
      <xdr:nvSpPr>
        <xdr:cNvPr id="532" name="Text Box 1241"/>
        <xdr:cNvSpPr txBox="1">
          <a:spLocks noChangeArrowheads="1" noTextEdit="1"/>
        </xdr:cNvSpPr>
      </xdr:nvSpPr>
      <xdr:spPr bwMode="auto">
        <a:xfrm>
          <a:off x="14011275" y="205549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0C18FD7-EC8B-4F27-B53A-33225F0143A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332</xdr:row>
      <xdr:rowOff>0</xdr:rowOff>
    </xdr:from>
    <xdr:to>
      <xdr:col>23</xdr:col>
      <xdr:colOff>0</xdr:colOff>
      <xdr:row>333</xdr:row>
      <xdr:rowOff>0</xdr:rowOff>
    </xdr:to>
    <xdr:sp macro="" textlink="AZ333">
      <xdr:nvSpPr>
        <xdr:cNvPr id="533" name="Text Box 1242"/>
        <xdr:cNvSpPr txBox="1">
          <a:spLocks noChangeArrowheads="1" noTextEdit="1"/>
        </xdr:cNvSpPr>
      </xdr:nvSpPr>
      <xdr:spPr bwMode="auto">
        <a:xfrm>
          <a:off x="14011275" y="20716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E97F735-1F26-4DE6-8573-964E1493296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333</xdr:row>
      <xdr:rowOff>0</xdr:rowOff>
    </xdr:from>
    <xdr:to>
      <xdr:col>23</xdr:col>
      <xdr:colOff>0</xdr:colOff>
      <xdr:row>333</xdr:row>
      <xdr:rowOff>160193</xdr:rowOff>
    </xdr:to>
    <xdr:sp macro="" textlink="AZ334">
      <xdr:nvSpPr>
        <xdr:cNvPr id="534" name="Text Box 1243"/>
        <xdr:cNvSpPr txBox="1">
          <a:spLocks noChangeArrowheads="1" noTextEdit="1"/>
        </xdr:cNvSpPr>
      </xdr:nvSpPr>
      <xdr:spPr bwMode="auto">
        <a:xfrm>
          <a:off x="14011275" y="208788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D1E68A48-B3B0-4E0A-8B50-A29FF151628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334</xdr:row>
      <xdr:rowOff>1</xdr:rowOff>
    </xdr:from>
    <xdr:to>
      <xdr:col>23</xdr:col>
      <xdr:colOff>0</xdr:colOff>
      <xdr:row>335</xdr:row>
      <xdr:rowOff>0</xdr:rowOff>
    </xdr:to>
    <xdr:sp macro="" textlink="AZ335">
      <xdr:nvSpPr>
        <xdr:cNvPr id="535" name="Text Box 1245"/>
        <xdr:cNvSpPr txBox="1">
          <a:spLocks noChangeArrowheads="1" noTextEdit="1"/>
        </xdr:cNvSpPr>
      </xdr:nvSpPr>
      <xdr:spPr bwMode="auto">
        <a:xfrm>
          <a:off x="14011275" y="210407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6EDAE967-5F0C-466F-9CB9-FFE655D60D9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335</xdr:row>
      <xdr:rowOff>0</xdr:rowOff>
    </xdr:from>
    <xdr:to>
      <xdr:col>23</xdr:col>
      <xdr:colOff>0</xdr:colOff>
      <xdr:row>336</xdr:row>
      <xdr:rowOff>0</xdr:rowOff>
    </xdr:to>
    <xdr:sp macro="" textlink="AZ336">
      <xdr:nvSpPr>
        <xdr:cNvPr id="536" name="Text Box 1246"/>
        <xdr:cNvSpPr txBox="1">
          <a:spLocks noChangeArrowheads="1" noTextEdit="1"/>
        </xdr:cNvSpPr>
      </xdr:nvSpPr>
      <xdr:spPr bwMode="auto">
        <a:xfrm>
          <a:off x="14011275" y="21202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DC6F44A-6E41-4DE0-A130-DDD4A5A2D60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336</xdr:row>
      <xdr:rowOff>0</xdr:rowOff>
    </xdr:from>
    <xdr:to>
      <xdr:col>23</xdr:col>
      <xdr:colOff>0</xdr:colOff>
      <xdr:row>337</xdr:row>
      <xdr:rowOff>0</xdr:rowOff>
    </xdr:to>
    <xdr:sp macro="" textlink="AZ337">
      <xdr:nvSpPr>
        <xdr:cNvPr id="537" name="Text Box 1247"/>
        <xdr:cNvSpPr txBox="1">
          <a:spLocks noChangeArrowheads="1" noTextEdit="1"/>
        </xdr:cNvSpPr>
      </xdr:nvSpPr>
      <xdr:spPr bwMode="auto">
        <a:xfrm>
          <a:off x="14011275" y="213645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6F71E03-33F0-45DF-A187-95BA2BFF4BB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337</xdr:row>
      <xdr:rowOff>0</xdr:rowOff>
    </xdr:from>
    <xdr:to>
      <xdr:col>23</xdr:col>
      <xdr:colOff>0</xdr:colOff>
      <xdr:row>338</xdr:row>
      <xdr:rowOff>0</xdr:rowOff>
    </xdr:to>
    <xdr:sp macro="" textlink="AZ338">
      <xdr:nvSpPr>
        <xdr:cNvPr id="538" name="Text Box 1248"/>
        <xdr:cNvSpPr txBox="1">
          <a:spLocks noChangeArrowheads="1" noTextEdit="1"/>
        </xdr:cNvSpPr>
      </xdr:nvSpPr>
      <xdr:spPr bwMode="auto">
        <a:xfrm>
          <a:off x="14011275" y="215265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F72AC32-0A23-4757-8CD1-9208F697BFE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338</xdr:row>
      <xdr:rowOff>0</xdr:rowOff>
    </xdr:from>
    <xdr:to>
      <xdr:col>23</xdr:col>
      <xdr:colOff>0</xdr:colOff>
      <xdr:row>338</xdr:row>
      <xdr:rowOff>160193</xdr:rowOff>
    </xdr:to>
    <xdr:sp macro="" textlink="AZ339">
      <xdr:nvSpPr>
        <xdr:cNvPr id="539" name="Text Box 1249"/>
        <xdr:cNvSpPr txBox="1">
          <a:spLocks noChangeArrowheads="1" noTextEdit="1"/>
        </xdr:cNvSpPr>
      </xdr:nvSpPr>
      <xdr:spPr bwMode="auto">
        <a:xfrm>
          <a:off x="14011275" y="216884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F4200E2-5652-485A-8CC1-DB8D61E77A1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338</xdr:row>
      <xdr:rowOff>160193</xdr:rowOff>
    </xdr:from>
    <xdr:to>
      <xdr:col>23</xdr:col>
      <xdr:colOff>0</xdr:colOff>
      <xdr:row>339</xdr:row>
      <xdr:rowOff>160193</xdr:rowOff>
    </xdr:to>
    <xdr:sp macro="" textlink="AZ340">
      <xdr:nvSpPr>
        <xdr:cNvPr id="540" name="Text Box 1250"/>
        <xdr:cNvSpPr txBox="1">
          <a:spLocks noChangeArrowheads="1" noTextEdit="1"/>
        </xdr:cNvSpPr>
      </xdr:nvSpPr>
      <xdr:spPr bwMode="auto">
        <a:xfrm>
          <a:off x="14011275" y="218486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143BCAE-B1E8-449E-B32E-3AAB18BE7D1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339</xdr:row>
      <xdr:rowOff>160193</xdr:rowOff>
    </xdr:from>
    <xdr:to>
      <xdr:col>23</xdr:col>
      <xdr:colOff>0</xdr:colOff>
      <xdr:row>341</xdr:row>
      <xdr:rowOff>0</xdr:rowOff>
    </xdr:to>
    <xdr:sp macro="" textlink="AZ341">
      <xdr:nvSpPr>
        <xdr:cNvPr id="541" name="Text Box 1251"/>
        <xdr:cNvSpPr txBox="1">
          <a:spLocks noChangeArrowheads="1" noTextEdit="1"/>
        </xdr:cNvSpPr>
      </xdr:nvSpPr>
      <xdr:spPr bwMode="auto">
        <a:xfrm>
          <a:off x="14011275" y="220105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F479A6B2-C45E-4591-8BE8-558F8B45271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341</xdr:row>
      <xdr:rowOff>0</xdr:rowOff>
    </xdr:from>
    <xdr:to>
      <xdr:col>23</xdr:col>
      <xdr:colOff>0</xdr:colOff>
      <xdr:row>342</xdr:row>
      <xdr:rowOff>0</xdr:rowOff>
    </xdr:to>
    <xdr:sp macro="" textlink="AZ342">
      <xdr:nvSpPr>
        <xdr:cNvPr id="542" name="Text Box 1252"/>
        <xdr:cNvSpPr txBox="1">
          <a:spLocks noChangeArrowheads="1" noTextEdit="1"/>
        </xdr:cNvSpPr>
      </xdr:nvSpPr>
      <xdr:spPr bwMode="auto">
        <a:xfrm>
          <a:off x="14011275" y="221742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2D72B72-83D7-46F9-9899-23C12C3CBC4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342</xdr:row>
      <xdr:rowOff>0</xdr:rowOff>
    </xdr:from>
    <xdr:to>
      <xdr:col>23</xdr:col>
      <xdr:colOff>0</xdr:colOff>
      <xdr:row>343</xdr:row>
      <xdr:rowOff>0</xdr:rowOff>
    </xdr:to>
    <xdr:sp macro="" textlink="AZ343">
      <xdr:nvSpPr>
        <xdr:cNvPr id="543" name="Text Box 1253"/>
        <xdr:cNvSpPr txBox="1">
          <a:spLocks noChangeArrowheads="1" noTextEdit="1"/>
        </xdr:cNvSpPr>
      </xdr:nvSpPr>
      <xdr:spPr bwMode="auto">
        <a:xfrm>
          <a:off x="14011275" y="22336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D1319A1-3CE1-4758-A388-9C87B12475D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343</xdr:row>
      <xdr:rowOff>0</xdr:rowOff>
    </xdr:from>
    <xdr:to>
      <xdr:col>23</xdr:col>
      <xdr:colOff>0</xdr:colOff>
      <xdr:row>344</xdr:row>
      <xdr:rowOff>0</xdr:rowOff>
    </xdr:to>
    <xdr:sp macro="" textlink="AZ344">
      <xdr:nvSpPr>
        <xdr:cNvPr id="544" name="Text Box 1254"/>
        <xdr:cNvSpPr txBox="1">
          <a:spLocks noChangeArrowheads="1" noTextEdit="1"/>
        </xdr:cNvSpPr>
      </xdr:nvSpPr>
      <xdr:spPr bwMode="auto">
        <a:xfrm>
          <a:off x="14011275" y="224980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72795CC-5FD1-4B33-849D-52288B4E7AB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344</xdr:row>
      <xdr:rowOff>0</xdr:rowOff>
    </xdr:from>
    <xdr:to>
      <xdr:col>23</xdr:col>
      <xdr:colOff>0</xdr:colOff>
      <xdr:row>344</xdr:row>
      <xdr:rowOff>160193</xdr:rowOff>
    </xdr:to>
    <xdr:sp macro="" textlink="AZ345">
      <xdr:nvSpPr>
        <xdr:cNvPr id="545" name="Text Box 1255"/>
        <xdr:cNvSpPr txBox="1">
          <a:spLocks noChangeArrowheads="1" noTextEdit="1"/>
        </xdr:cNvSpPr>
      </xdr:nvSpPr>
      <xdr:spPr bwMode="auto">
        <a:xfrm>
          <a:off x="14011275" y="226599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C60BB33D-B053-4BBD-9AA1-B52F7E6E0A0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344</xdr:row>
      <xdr:rowOff>160193</xdr:rowOff>
    </xdr:from>
    <xdr:to>
      <xdr:col>23</xdr:col>
      <xdr:colOff>0</xdr:colOff>
      <xdr:row>346</xdr:row>
      <xdr:rowOff>0</xdr:rowOff>
    </xdr:to>
    <xdr:sp macro="" textlink="AZ346">
      <xdr:nvSpPr>
        <xdr:cNvPr id="546" name="Text Box 1256"/>
        <xdr:cNvSpPr txBox="1">
          <a:spLocks noChangeArrowheads="1" noTextEdit="1"/>
        </xdr:cNvSpPr>
      </xdr:nvSpPr>
      <xdr:spPr bwMode="auto">
        <a:xfrm>
          <a:off x="14011275" y="228201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98CE3F2A-2B77-4823-949C-27FD553268A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346</xdr:row>
      <xdr:rowOff>0</xdr:rowOff>
    </xdr:from>
    <xdr:to>
      <xdr:col>23</xdr:col>
      <xdr:colOff>0</xdr:colOff>
      <xdr:row>347</xdr:row>
      <xdr:rowOff>0</xdr:rowOff>
    </xdr:to>
    <xdr:sp macro="" textlink="AZ347">
      <xdr:nvSpPr>
        <xdr:cNvPr id="547" name="Text Box 1257"/>
        <xdr:cNvSpPr txBox="1">
          <a:spLocks noChangeArrowheads="1" noTextEdit="1"/>
        </xdr:cNvSpPr>
      </xdr:nvSpPr>
      <xdr:spPr bwMode="auto">
        <a:xfrm>
          <a:off x="14011275" y="22983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2406EF8-3C81-49A1-BFDB-584398CE67E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347</xdr:row>
      <xdr:rowOff>0</xdr:rowOff>
    </xdr:from>
    <xdr:to>
      <xdr:col>23</xdr:col>
      <xdr:colOff>0</xdr:colOff>
      <xdr:row>348</xdr:row>
      <xdr:rowOff>0</xdr:rowOff>
    </xdr:to>
    <xdr:sp macro="" textlink="AZ348">
      <xdr:nvSpPr>
        <xdr:cNvPr id="548" name="Text Box 1258"/>
        <xdr:cNvSpPr txBox="1">
          <a:spLocks noChangeArrowheads="1" noTextEdit="1"/>
        </xdr:cNvSpPr>
      </xdr:nvSpPr>
      <xdr:spPr bwMode="auto">
        <a:xfrm>
          <a:off x="14011275" y="231457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D18D0FA-A321-44A4-BE20-7641DA3E1DF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348</xdr:row>
      <xdr:rowOff>0</xdr:rowOff>
    </xdr:from>
    <xdr:to>
      <xdr:col>23</xdr:col>
      <xdr:colOff>0</xdr:colOff>
      <xdr:row>349</xdr:row>
      <xdr:rowOff>0</xdr:rowOff>
    </xdr:to>
    <xdr:sp macro="" textlink="AZ349">
      <xdr:nvSpPr>
        <xdr:cNvPr id="549" name="Text Box 1259"/>
        <xdr:cNvSpPr txBox="1">
          <a:spLocks noChangeArrowheads="1" noTextEdit="1"/>
        </xdr:cNvSpPr>
      </xdr:nvSpPr>
      <xdr:spPr bwMode="auto">
        <a:xfrm>
          <a:off x="14011275" y="233076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2EC7B41-FA9C-4874-B21D-4C65F1F64A7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349</xdr:row>
      <xdr:rowOff>0</xdr:rowOff>
    </xdr:from>
    <xdr:to>
      <xdr:col>23</xdr:col>
      <xdr:colOff>0</xdr:colOff>
      <xdr:row>349</xdr:row>
      <xdr:rowOff>160193</xdr:rowOff>
    </xdr:to>
    <xdr:sp macro="" textlink="AZ350">
      <xdr:nvSpPr>
        <xdr:cNvPr id="550" name="Text Box 1260"/>
        <xdr:cNvSpPr txBox="1">
          <a:spLocks noChangeArrowheads="1" noTextEdit="1"/>
        </xdr:cNvSpPr>
      </xdr:nvSpPr>
      <xdr:spPr bwMode="auto">
        <a:xfrm>
          <a:off x="14011275" y="234696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BFBFEAA-F41D-4716-8F0D-59A5F265C78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349</xdr:row>
      <xdr:rowOff>160193</xdr:rowOff>
    </xdr:from>
    <xdr:to>
      <xdr:col>23</xdr:col>
      <xdr:colOff>0</xdr:colOff>
      <xdr:row>350</xdr:row>
      <xdr:rowOff>160193</xdr:rowOff>
    </xdr:to>
    <xdr:sp macro="" textlink="AZ351">
      <xdr:nvSpPr>
        <xdr:cNvPr id="551" name="Text Box 1261"/>
        <xdr:cNvSpPr txBox="1">
          <a:spLocks noChangeArrowheads="1" noTextEdit="1"/>
        </xdr:cNvSpPr>
      </xdr:nvSpPr>
      <xdr:spPr bwMode="auto">
        <a:xfrm>
          <a:off x="14011275" y="236297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16514A7-E14E-47C0-9181-AA0FE2C38EC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350</xdr:row>
      <xdr:rowOff>160193</xdr:rowOff>
    </xdr:from>
    <xdr:to>
      <xdr:col>23</xdr:col>
      <xdr:colOff>0</xdr:colOff>
      <xdr:row>352</xdr:row>
      <xdr:rowOff>0</xdr:rowOff>
    </xdr:to>
    <xdr:sp macro="" textlink="AZ352">
      <xdr:nvSpPr>
        <xdr:cNvPr id="552" name="Text Box 1262"/>
        <xdr:cNvSpPr txBox="1">
          <a:spLocks noChangeArrowheads="1" noTextEdit="1"/>
        </xdr:cNvSpPr>
      </xdr:nvSpPr>
      <xdr:spPr bwMode="auto">
        <a:xfrm>
          <a:off x="14011275" y="237917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863801DF-ECBC-4A37-A4DD-164B553B315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352</xdr:row>
      <xdr:rowOff>0</xdr:rowOff>
    </xdr:from>
    <xdr:to>
      <xdr:col>23</xdr:col>
      <xdr:colOff>0</xdr:colOff>
      <xdr:row>353</xdr:row>
      <xdr:rowOff>0</xdr:rowOff>
    </xdr:to>
    <xdr:sp macro="" textlink="AZ353">
      <xdr:nvSpPr>
        <xdr:cNvPr id="553" name="Text Box 1263"/>
        <xdr:cNvSpPr txBox="1">
          <a:spLocks noChangeArrowheads="1" noTextEdit="1"/>
        </xdr:cNvSpPr>
      </xdr:nvSpPr>
      <xdr:spPr bwMode="auto">
        <a:xfrm>
          <a:off x="14011275" y="23955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6183DCC-BC02-49F9-A411-8192292A619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353</xdr:row>
      <xdr:rowOff>0</xdr:rowOff>
    </xdr:from>
    <xdr:to>
      <xdr:col>23</xdr:col>
      <xdr:colOff>0</xdr:colOff>
      <xdr:row>354</xdr:row>
      <xdr:rowOff>0</xdr:rowOff>
    </xdr:to>
    <xdr:sp macro="" textlink="AZ354">
      <xdr:nvSpPr>
        <xdr:cNvPr id="554" name="Text Box 1266"/>
        <xdr:cNvSpPr txBox="1">
          <a:spLocks noChangeArrowheads="1" noTextEdit="1"/>
        </xdr:cNvSpPr>
      </xdr:nvSpPr>
      <xdr:spPr bwMode="auto">
        <a:xfrm>
          <a:off x="14011275" y="241173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DE423C1-8783-451F-AAFE-EF150FBF703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354</xdr:row>
      <xdr:rowOff>1</xdr:rowOff>
    </xdr:from>
    <xdr:to>
      <xdr:col>23</xdr:col>
      <xdr:colOff>0</xdr:colOff>
      <xdr:row>355</xdr:row>
      <xdr:rowOff>0</xdr:rowOff>
    </xdr:to>
    <xdr:sp macro="" textlink="AZ355">
      <xdr:nvSpPr>
        <xdr:cNvPr id="555" name="Text Box 1265"/>
        <xdr:cNvSpPr txBox="1">
          <a:spLocks noChangeArrowheads="1" noTextEdit="1"/>
        </xdr:cNvSpPr>
      </xdr:nvSpPr>
      <xdr:spPr bwMode="auto">
        <a:xfrm>
          <a:off x="14011275" y="242792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F535CA9E-9958-4A92-A0BA-294BA23922F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355</xdr:row>
      <xdr:rowOff>0</xdr:rowOff>
    </xdr:from>
    <xdr:to>
      <xdr:col>23</xdr:col>
      <xdr:colOff>0</xdr:colOff>
      <xdr:row>355</xdr:row>
      <xdr:rowOff>160193</xdr:rowOff>
    </xdr:to>
    <xdr:sp macro="" textlink="AZ356">
      <xdr:nvSpPr>
        <xdr:cNvPr id="556" name="Text Box 1267"/>
        <xdr:cNvSpPr txBox="1">
          <a:spLocks noChangeArrowheads="1" noTextEdit="1"/>
        </xdr:cNvSpPr>
      </xdr:nvSpPr>
      <xdr:spPr bwMode="auto">
        <a:xfrm>
          <a:off x="14011275" y="244411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7D7E85B-7074-4E5E-866D-D734D25CF8A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356</xdr:row>
      <xdr:rowOff>1</xdr:rowOff>
    </xdr:from>
    <xdr:to>
      <xdr:col>23</xdr:col>
      <xdr:colOff>0</xdr:colOff>
      <xdr:row>357</xdr:row>
      <xdr:rowOff>1</xdr:rowOff>
    </xdr:to>
    <xdr:sp macro="" textlink="AZ357">
      <xdr:nvSpPr>
        <xdr:cNvPr id="557" name="Text Box 1268"/>
        <xdr:cNvSpPr txBox="1">
          <a:spLocks noChangeArrowheads="1" noTextEdit="1"/>
        </xdr:cNvSpPr>
      </xdr:nvSpPr>
      <xdr:spPr bwMode="auto">
        <a:xfrm>
          <a:off x="14011275" y="24603076"/>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8B3979C-DCE7-4C47-8CD3-A607EA2FD46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357</xdr:row>
      <xdr:rowOff>0</xdr:rowOff>
    </xdr:from>
    <xdr:to>
      <xdr:col>23</xdr:col>
      <xdr:colOff>0</xdr:colOff>
      <xdr:row>358</xdr:row>
      <xdr:rowOff>0</xdr:rowOff>
    </xdr:to>
    <xdr:sp macro="" textlink="AZ358">
      <xdr:nvSpPr>
        <xdr:cNvPr id="558" name="Text Box 1269"/>
        <xdr:cNvSpPr txBox="1">
          <a:spLocks noChangeArrowheads="1" noTextEdit="1"/>
        </xdr:cNvSpPr>
      </xdr:nvSpPr>
      <xdr:spPr bwMode="auto">
        <a:xfrm>
          <a:off x="14011275" y="247650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3EECF4E-A0F9-4826-8356-A6248643136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358</xdr:row>
      <xdr:rowOff>0</xdr:rowOff>
    </xdr:from>
    <xdr:to>
      <xdr:col>23</xdr:col>
      <xdr:colOff>0</xdr:colOff>
      <xdr:row>359</xdr:row>
      <xdr:rowOff>0</xdr:rowOff>
    </xdr:to>
    <xdr:sp macro="" textlink="AZ359">
      <xdr:nvSpPr>
        <xdr:cNvPr id="559" name="Text Box 1270"/>
        <xdr:cNvSpPr txBox="1">
          <a:spLocks noChangeArrowheads="1" noTextEdit="1"/>
        </xdr:cNvSpPr>
      </xdr:nvSpPr>
      <xdr:spPr bwMode="auto">
        <a:xfrm>
          <a:off x="14011275" y="249269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179DBE6-FA18-4890-8400-4D0EC64D4A4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359</xdr:row>
      <xdr:rowOff>0</xdr:rowOff>
    </xdr:from>
    <xdr:to>
      <xdr:col>23</xdr:col>
      <xdr:colOff>0</xdr:colOff>
      <xdr:row>360</xdr:row>
      <xdr:rowOff>0</xdr:rowOff>
    </xdr:to>
    <xdr:sp macro="" textlink="AZ360">
      <xdr:nvSpPr>
        <xdr:cNvPr id="560" name="Text Box 1271"/>
        <xdr:cNvSpPr txBox="1">
          <a:spLocks noChangeArrowheads="1" noTextEdit="1"/>
        </xdr:cNvSpPr>
      </xdr:nvSpPr>
      <xdr:spPr bwMode="auto">
        <a:xfrm>
          <a:off x="14011275" y="250888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6C8CA63-8254-471A-98EC-4EE5C5D9CAF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360</xdr:row>
      <xdr:rowOff>0</xdr:rowOff>
    </xdr:from>
    <xdr:to>
      <xdr:col>23</xdr:col>
      <xdr:colOff>0</xdr:colOff>
      <xdr:row>360</xdr:row>
      <xdr:rowOff>160193</xdr:rowOff>
    </xdr:to>
    <xdr:sp macro="" textlink="AZ361">
      <xdr:nvSpPr>
        <xdr:cNvPr id="561" name="Text Box 1272"/>
        <xdr:cNvSpPr txBox="1">
          <a:spLocks noChangeArrowheads="1" noTextEdit="1"/>
        </xdr:cNvSpPr>
      </xdr:nvSpPr>
      <xdr:spPr bwMode="auto">
        <a:xfrm>
          <a:off x="14011275" y="252507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066AC08-44A2-4CF3-91E8-6F52FD1E817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360</xdr:row>
      <xdr:rowOff>160193</xdr:rowOff>
    </xdr:from>
    <xdr:to>
      <xdr:col>23</xdr:col>
      <xdr:colOff>0</xdr:colOff>
      <xdr:row>361</xdr:row>
      <xdr:rowOff>160193</xdr:rowOff>
    </xdr:to>
    <xdr:sp macro="" textlink="AZ362">
      <xdr:nvSpPr>
        <xdr:cNvPr id="562" name="Text Box 1273"/>
        <xdr:cNvSpPr txBox="1">
          <a:spLocks noChangeArrowheads="1" noTextEdit="1"/>
        </xdr:cNvSpPr>
      </xdr:nvSpPr>
      <xdr:spPr bwMode="auto">
        <a:xfrm>
          <a:off x="14011275" y="254109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2E32FA4-632E-48C0-9BA4-4E1397DDEC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361</xdr:row>
      <xdr:rowOff>160193</xdr:rowOff>
    </xdr:from>
    <xdr:to>
      <xdr:col>23</xdr:col>
      <xdr:colOff>0</xdr:colOff>
      <xdr:row>363</xdr:row>
      <xdr:rowOff>0</xdr:rowOff>
    </xdr:to>
    <xdr:sp macro="" textlink="AZ363">
      <xdr:nvSpPr>
        <xdr:cNvPr id="563" name="Text Box 1277"/>
        <xdr:cNvSpPr txBox="1">
          <a:spLocks noChangeArrowheads="1" noTextEdit="1"/>
        </xdr:cNvSpPr>
      </xdr:nvSpPr>
      <xdr:spPr bwMode="auto">
        <a:xfrm>
          <a:off x="14011275" y="255728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FABD49D8-6062-4EDB-9FC1-51BA12664C4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421</xdr:row>
      <xdr:rowOff>160193</xdr:rowOff>
    </xdr:from>
    <xdr:to>
      <xdr:col>23</xdr:col>
      <xdr:colOff>0</xdr:colOff>
      <xdr:row>423</xdr:row>
      <xdr:rowOff>0</xdr:rowOff>
    </xdr:to>
    <xdr:sp macro="" textlink="AZ423">
      <xdr:nvSpPr>
        <xdr:cNvPr id="564" name="Text Box 7260"/>
        <xdr:cNvSpPr txBox="1">
          <a:spLocks noChangeArrowheads="1" noTextEdit="1"/>
        </xdr:cNvSpPr>
      </xdr:nvSpPr>
      <xdr:spPr bwMode="auto">
        <a:xfrm>
          <a:off x="14011275" y="352883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4CC6F69A-EF7B-46F6-9A2D-AC285D895EC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363</xdr:row>
      <xdr:rowOff>0</xdr:rowOff>
    </xdr:from>
    <xdr:to>
      <xdr:col>23</xdr:col>
      <xdr:colOff>0</xdr:colOff>
      <xdr:row>364</xdr:row>
      <xdr:rowOff>0</xdr:rowOff>
    </xdr:to>
    <xdr:sp macro="" textlink="AZ364">
      <xdr:nvSpPr>
        <xdr:cNvPr id="565" name="Text Box 7261"/>
        <xdr:cNvSpPr txBox="1">
          <a:spLocks noChangeArrowheads="1" noTextEdit="1"/>
        </xdr:cNvSpPr>
      </xdr:nvSpPr>
      <xdr:spPr bwMode="auto">
        <a:xfrm>
          <a:off x="14011275" y="25736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AB8EBEB-6B4F-43BB-AF29-E9AE3778996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364</xdr:row>
      <xdr:rowOff>0</xdr:rowOff>
    </xdr:from>
    <xdr:to>
      <xdr:col>23</xdr:col>
      <xdr:colOff>0</xdr:colOff>
      <xdr:row>365</xdr:row>
      <xdr:rowOff>0</xdr:rowOff>
    </xdr:to>
    <xdr:sp macro="" textlink="AZ365">
      <xdr:nvSpPr>
        <xdr:cNvPr id="566" name="Text Box 7262"/>
        <xdr:cNvSpPr txBox="1">
          <a:spLocks noChangeArrowheads="1" noTextEdit="1"/>
        </xdr:cNvSpPr>
      </xdr:nvSpPr>
      <xdr:spPr bwMode="auto">
        <a:xfrm>
          <a:off x="14011275" y="258984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2158E3D-2F01-4409-8E70-0724BC555F4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365</xdr:row>
      <xdr:rowOff>0</xdr:rowOff>
    </xdr:from>
    <xdr:to>
      <xdr:col>23</xdr:col>
      <xdr:colOff>0</xdr:colOff>
      <xdr:row>366</xdr:row>
      <xdr:rowOff>0</xdr:rowOff>
    </xdr:to>
    <xdr:sp macro="" textlink="AZ366">
      <xdr:nvSpPr>
        <xdr:cNvPr id="567" name="Text Box 7263"/>
        <xdr:cNvSpPr txBox="1">
          <a:spLocks noChangeArrowheads="1" noTextEdit="1"/>
        </xdr:cNvSpPr>
      </xdr:nvSpPr>
      <xdr:spPr bwMode="auto">
        <a:xfrm>
          <a:off x="14011275" y="260604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462472D-66FD-4666-ACEC-9806E41329E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366</xdr:row>
      <xdr:rowOff>0</xdr:rowOff>
    </xdr:from>
    <xdr:to>
      <xdr:col>23</xdr:col>
      <xdr:colOff>0</xdr:colOff>
      <xdr:row>366</xdr:row>
      <xdr:rowOff>160193</xdr:rowOff>
    </xdr:to>
    <xdr:sp macro="" textlink="AZ367">
      <xdr:nvSpPr>
        <xdr:cNvPr id="568" name="Text Box 7264"/>
        <xdr:cNvSpPr txBox="1">
          <a:spLocks noChangeArrowheads="1" noTextEdit="1"/>
        </xdr:cNvSpPr>
      </xdr:nvSpPr>
      <xdr:spPr bwMode="auto">
        <a:xfrm>
          <a:off x="14011275" y="262223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6FF5E721-151B-4338-8581-21BA511D25A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366</xdr:row>
      <xdr:rowOff>160193</xdr:rowOff>
    </xdr:from>
    <xdr:to>
      <xdr:col>23</xdr:col>
      <xdr:colOff>0</xdr:colOff>
      <xdr:row>368</xdr:row>
      <xdr:rowOff>0</xdr:rowOff>
    </xdr:to>
    <xdr:sp macro="" textlink="AZ368">
      <xdr:nvSpPr>
        <xdr:cNvPr id="569" name="Text Box 7265"/>
        <xdr:cNvSpPr txBox="1">
          <a:spLocks noChangeArrowheads="1" noTextEdit="1"/>
        </xdr:cNvSpPr>
      </xdr:nvSpPr>
      <xdr:spPr bwMode="auto">
        <a:xfrm>
          <a:off x="14011275" y="263825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A010EF38-7C7F-4F96-AA94-D3EB20FE250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368</xdr:row>
      <xdr:rowOff>0</xdr:rowOff>
    </xdr:from>
    <xdr:to>
      <xdr:col>23</xdr:col>
      <xdr:colOff>0</xdr:colOff>
      <xdr:row>369</xdr:row>
      <xdr:rowOff>0</xdr:rowOff>
    </xdr:to>
    <xdr:sp macro="" textlink="AZ369">
      <xdr:nvSpPr>
        <xdr:cNvPr id="570" name="Text Box 7266"/>
        <xdr:cNvSpPr txBox="1">
          <a:spLocks noChangeArrowheads="1" noTextEdit="1"/>
        </xdr:cNvSpPr>
      </xdr:nvSpPr>
      <xdr:spPr bwMode="auto">
        <a:xfrm>
          <a:off x="14011275" y="26546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F0CB2F5-3499-4D4F-8A28-88EA9ADC8F8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369</xdr:row>
      <xdr:rowOff>0</xdr:rowOff>
    </xdr:from>
    <xdr:to>
      <xdr:col>23</xdr:col>
      <xdr:colOff>0</xdr:colOff>
      <xdr:row>370</xdr:row>
      <xdr:rowOff>0</xdr:rowOff>
    </xdr:to>
    <xdr:sp macro="" textlink="AZ370">
      <xdr:nvSpPr>
        <xdr:cNvPr id="571" name="Text Box 7267"/>
        <xdr:cNvSpPr txBox="1">
          <a:spLocks noChangeArrowheads="1" noTextEdit="1"/>
        </xdr:cNvSpPr>
      </xdr:nvSpPr>
      <xdr:spPr bwMode="auto">
        <a:xfrm>
          <a:off x="14011275" y="267081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2A47EA5-A8CA-432C-B86E-0215EA5C292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370</xdr:row>
      <xdr:rowOff>0</xdr:rowOff>
    </xdr:from>
    <xdr:to>
      <xdr:col>23</xdr:col>
      <xdr:colOff>0</xdr:colOff>
      <xdr:row>371</xdr:row>
      <xdr:rowOff>0</xdr:rowOff>
    </xdr:to>
    <xdr:sp macro="" textlink="AZ371">
      <xdr:nvSpPr>
        <xdr:cNvPr id="572" name="Text Box 7268"/>
        <xdr:cNvSpPr txBox="1">
          <a:spLocks noChangeArrowheads="1" noTextEdit="1"/>
        </xdr:cNvSpPr>
      </xdr:nvSpPr>
      <xdr:spPr bwMode="auto">
        <a:xfrm>
          <a:off x="14011275" y="268700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B270C0B-D41A-49C7-B391-E7072F8548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371</xdr:row>
      <xdr:rowOff>0</xdr:rowOff>
    </xdr:from>
    <xdr:to>
      <xdr:col>23</xdr:col>
      <xdr:colOff>0</xdr:colOff>
      <xdr:row>371</xdr:row>
      <xdr:rowOff>160193</xdr:rowOff>
    </xdr:to>
    <xdr:sp macro="" textlink="AZ372">
      <xdr:nvSpPr>
        <xdr:cNvPr id="573" name="Text Box 7269"/>
        <xdr:cNvSpPr txBox="1">
          <a:spLocks noChangeArrowheads="1" noTextEdit="1"/>
        </xdr:cNvSpPr>
      </xdr:nvSpPr>
      <xdr:spPr bwMode="auto">
        <a:xfrm>
          <a:off x="14011275" y="270319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76AB9A5A-B38C-40A1-BB78-03D9BF884CB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371</xdr:row>
      <xdr:rowOff>160193</xdr:rowOff>
    </xdr:from>
    <xdr:to>
      <xdr:col>23</xdr:col>
      <xdr:colOff>0</xdr:colOff>
      <xdr:row>372</xdr:row>
      <xdr:rowOff>160193</xdr:rowOff>
    </xdr:to>
    <xdr:sp macro="" textlink="AZ373">
      <xdr:nvSpPr>
        <xdr:cNvPr id="574" name="Text Box 7270"/>
        <xdr:cNvSpPr txBox="1">
          <a:spLocks noChangeArrowheads="1" noTextEdit="1"/>
        </xdr:cNvSpPr>
      </xdr:nvSpPr>
      <xdr:spPr bwMode="auto">
        <a:xfrm>
          <a:off x="14011275" y="271921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CBD3A16-80E3-4841-9B9B-7BB9482962D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372</xdr:row>
      <xdr:rowOff>160193</xdr:rowOff>
    </xdr:from>
    <xdr:to>
      <xdr:col>23</xdr:col>
      <xdr:colOff>0</xdr:colOff>
      <xdr:row>374</xdr:row>
      <xdr:rowOff>0</xdr:rowOff>
    </xdr:to>
    <xdr:sp macro="" textlink="AZ374">
      <xdr:nvSpPr>
        <xdr:cNvPr id="575" name="Text Box 7271"/>
        <xdr:cNvSpPr txBox="1">
          <a:spLocks noChangeArrowheads="1" noTextEdit="1"/>
        </xdr:cNvSpPr>
      </xdr:nvSpPr>
      <xdr:spPr bwMode="auto">
        <a:xfrm>
          <a:off x="14011275" y="273540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5AFC550-E3DC-4ABC-9E0F-71608B417A8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374</xdr:row>
      <xdr:rowOff>0</xdr:rowOff>
    </xdr:from>
    <xdr:to>
      <xdr:col>23</xdr:col>
      <xdr:colOff>0</xdr:colOff>
      <xdr:row>375</xdr:row>
      <xdr:rowOff>0</xdr:rowOff>
    </xdr:to>
    <xdr:sp macro="" textlink="AZ375">
      <xdr:nvSpPr>
        <xdr:cNvPr id="576" name="Text Box 7272"/>
        <xdr:cNvSpPr txBox="1">
          <a:spLocks noChangeArrowheads="1" noTextEdit="1"/>
        </xdr:cNvSpPr>
      </xdr:nvSpPr>
      <xdr:spPr bwMode="auto">
        <a:xfrm>
          <a:off x="14011275" y="275177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1546B3D-8916-4226-911E-6FEA877013C5}" type="TxLink">
            <a:rPr lang="en-US"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21</xdr:col>
      <xdr:colOff>0</xdr:colOff>
      <xdr:row>375</xdr:row>
      <xdr:rowOff>0</xdr:rowOff>
    </xdr:from>
    <xdr:to>
      <xdr:col>23</xdr:col>
      <xdr:colOff>0</xdr:colOff>
      <xdr:row>376</xdr:row>
      <xdr:rowOff>0</xdr:rowOff>
    </xdr:to>
    <xdr:sp macro="" textlink="AZ376">
      <xdr:nvSpPr>
        <xdr:cNvPr id="577" name="Text Box 7273"/>
        <xdr:cNvSpPr txBox="1">
          <a:spLocks noChangeArrowheads="1" noTextEdit="1"/>
        </xdr:cNvSpPr>
      </xdr:nvSpPr>
      <xdr:spPr bwMode="auto">
        <a:xfrm>
          <a:off x="14011275" y="27679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84D0802-8A68-4AE5-82FE-3845EA8AC6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376</xdr:row>
      <xdr:rowOff>0</xdr:rowOff>
    </xdr:from>
    <xdr:to>
      <xdr:col>23</xdr:col>
      <xdr:colOff>0</xdr:colOff>
      <xdr:row>377</xdr:row>
      <xdr:rowOff>0</xdr:rowOff>
    </xdr:to>
    <xdr:sp macro="" textlink="AZ377">
      <xdr:nvSpPr>
        <xdr:cNvPr id="578" name="Text Box 7274"/>
        <xdr:cNvSpPr txBox="1">
          <a:spLocks noChangeArrowheads="1" noTextEdit="1"/>
        </xdr:cNvSpPr>
      </xdr:nvSpPr>
      <xdr:spPr bwMode="auto">
        <a:xfrm>
          <a:off x="14011275" y="278415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E7FFCA1-7A06-40AA-9654-85094709C09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377</xdr:row>
      <xdr:rowOff>0</xdr:rowOff>
    </xdr:from>
    <xdr:to>
      <xdr:col>23</xdr:col>
      <xdr:colOff>0</xdr:colOff>
      <xdr:row>377</xdr:row>
      <xdr:rowOff>160193</xdr:rowOff>
    </xdr:to>
    <xdr:sp macro="" textlink="AZ378">
      <xdr:nvSpPr>
        <xdr:cNvPr id="579" name="Text Box 7275"/>
        <xdr:cNvSpPr txBox="1">
          <a:spLocks noChangeArrowheads="1" noTextEdit="1"/>
        </xdr:cNvSpPr>
      </xdr:nvSpPr>
      <xdr:spPr bwMode="auto">
        <a:xfrm>
          <a:off x="14011275" y="280035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04DB0B6-7E0F-4712-93E0-A9D78A24F53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378</xdr:row>
      <xdr:rowOff>1</xdr:rowOff>
    </xdr:from>
    <xdr:to>
      <xdr:col>23</xdr:col>
      <xdr:colOff>0</xdr:colOff>
      <xdr:row>379</xdr:row>
      <xdr:rowOff>0</xdr:rowOff>
    </xdr:to>
    <xdr:sp macro="" textlink="AZ379">
      <xdr:nvSpPr>
        <xdr:cNvPr id="580" name="Text Box 7276"/>
        <xdr:cNvSpPr txBox="1">
          <a:spLocks noChangeArrowheads="1" noTextEdit="1"/>
        </xdr:cNvSpPr>
      </xdr:nvSpPr>
      <xdr:spPr bwMode="auto">
        <a:xfrm>
          <a:off x="14011275" y="281654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2D6E1CE5-DE8D-4692-934A-4180387BFAD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379</xdr:row>
      <xdr:rowOff>0</xdr:rowOff>
    </xdr:from>
    <xdr:to>
      <xdr:col>23</xdr:col>
      <xdr:colOff>0</xdr:colOff>
      <xdr:row>380</xdr:row>
      <xdr:rowOff>0</xdr:rowOff>
    </xdr:to>
    <xdr:sp macro="" textlink="AZ380">
      <xdr:nvSpPr>
        <xdr:cNvPr id="581" name="Text Box 7277"/>
        <xdr:cNvSpPr txBox="1">
          <a:spLocks noChangeArrowheads="1" noTextEdit="1"/>
        </xdr:cNvSpPr>
      </xdr:nvSpPr>
      <xdr:spPr bwMode="auto">
        <a:xfrm>
          <a:off x="14011275" y="28327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7313A53-AF6A-4348-B3F7-251E3B2CEFD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380</xdr:row>
      <xdr:rowOff>0</xdr:rowOff>
    </xdr:from>
    <xdr:to>
      <xdr:col>23</xdr:col>
      <xdr:colOff>0</xdr:colOff>
      <xdr:row>381</xdr:row>
      <xdr:rowOff>0</xdr:rowOff>
    </xdr:to>
    <xdr:sp macro="" textlink="AZ381">
      <xdr:nvSpPr>
        <xdr:cNvPr id="582" name="Text Box 7278"/>
        <xdr:cNvSpPr txBox="1">
          <a:spLocks noChangeArrowheads="1" noTextEdit="1"/>
        </xdr:cNvSpPr>
      </xdr:nvSpPr>
      <xdr:spPr bwMode="auto">
        <a:xfrm>
          <a:off x="14011275" y="284892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E1AAB34-A82F-47B0-B95E-CA670834C55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381</xdr:row>
      <xdr:rowOff>0</xdr:rowOff>
    </xdr:from>
    <xdr:to>
      <xdr:col>23</xdr:col>
      <xdr:colOff>0</xdr:colOff>
      <xdr:row>382</xdr:row>
      <xdr:rowOff>0</xdr:rowOff>
    </xdr:to>
    <xdr:sp macro="" textlink="AZ382">
      <xdr:nvSpPr>
        <xdr:cNvPr id="583" name="Text Box 7279"/>
        <xdr:cNvSpPr txBox="1">
          <a:spLocks noChangeArrowheads="1" noTextEdit="1"/>
        </xdr:cNvSpPr>
      </xdr:nvSpPr>
      <xdr:spPr bwMode="auto">
        <a:xfrm>
          <a:off x="14011275" y="286512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B9A4E84-2A81-476C-9949-AA92F8DAF5C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382</xdr:row>
      <xdr:rowOff>0</xdr:rowOff>
    </xdr:from>
    <xdr:to>
      <xdr:col>23</xdr:col>
      <xdr:colOff>0</xdr:colOff>
      <xdr:row>382</xdr:row>
      <xdr:rowOff>160193</xdr:rowOff>
    </xdr:to>
    <xdr:sp macro="" textlink="AZ383">
      <xdr:nvSpPr>
        <xdr:cNvPr id="584" name="Text Box 7280"/>
        <xdr:cNvSpPr txBox="1">
          <a:spLocks noChangeArrowheads="1" noTextEdit="1"/>
        </xdr:cNvSpPr>
      </xdr:nvSpPr>
      <xdr:spPr bwMode="auto">
        <a:xfrm>
          <a:off x="14011275" y="288131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3F24DBE4-18F4-430F-8B70-181D33E6F69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382</xdr:row>
      <xdr:rowOff>160193</xdr:rowOff>
    </xdr:from>
    <xdr:to>
      <xdr:col>23</xdr:col>
      <xdr:colOff>0</xdr:colOff>
      <xdr:row>383</xdr:row>
      <xdr:rowOff>160193</xdr:rowOff>
    </xdr:to>
    <xdr:sp macro="" textlink="AZ384">
      <xdr:nvSpPr>
        <xdr:cNvPr id="585" name="Text Box 7281"/>
        <xdr:cNvSpPr txBox="1">
          <a:spLocks noChangeArrowheads="1" noTextEdit="1"/>
        </xdr:cNvSpPr>
      </xdr:nvSpPr>
      <xdr:spPr bwMode="auto">
        <a:xfrm>
          <a:off x="14011275" y="289733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0EF8258-C861-41B3-ADE6-70202C4DFA6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384</xdr:row>
      <xdr:rowOff>1</xdr:rowOff>
    </xdr:from>
    <xdr:to>
      <xdr:col>23</xdr:col>
      <xdr:colOff>0</xdr:colOff>
      <xdr:row>385</xdr:row>
      <xdr:rowOff>0</xdr:rowOff>
    </xdr:to>
    <xdr:sp macro="" textlink="AZ385">
      <xdr:nvSpPr>
        <xdr:cNvPr id="586" name="Text Box 7282"/>
        <xdr:cNvSpPr txBox="1">
          <a:spLocks noChangeArrowheads="1" noTextEdit="1"/>
        </xdr:cNvSpPr>
      </xdr:nvSpPr>
      <xdr:spPr bwMode="auto">
        <a:xfrm>
          <a:off x="14011275" y="2913697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9040E1DE-B819-462C-A27A-7EE5F808580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385</xdr:row>
      <xdr:rowOff>0</xdr:rowOff>
    </xdr:from>
    <xdr:to>
      <xdr:col>23</xdr:col>
      <xdr:colOff>0</xdr:colOff>
      <xdr:row>386</xdr:row>
      <xdr:rowOff>0</xdr:rowOff>
    </xdr:to>
    <xdr:sp macro="" textlink="AZ386">
      <xdr:nvSpPr>
        <xdr:cNvPr id="587" name="Text Box 7283"/>
        <xdr:cNvSpPr txBox="1">
          <a:spLocks noChangeArrowheads="1" noTextEdit="1"/>
        </xdr:cNvSpPr>
      </xdr:nvSpPr>
      <xdr:spPr bwMode="auto">
        <a:xfrm>
          <a:off x="14011275" y="29298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47B4D7F-F6B1-4423-AE80-FCAAA0F6579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386</xdr:row>
      <xdr:rowOff>0</xdr:rowOff>
    </xdr:from>
    <xdr:to>
      <xdr:col>23</xdr:col>
      <xdr:colOff>0</xdr:colOff>
      <xdr:row>387</xdr:row>
      <xdr:rowOff>0</xdr:rowOff>
    </xdr:to>
    <xdr:sp macro="" textlink="AZ387">
      <xdr:nvSpPr>
        <xdr:cNvPr id="588" name="Text Box 7284"/>
        <xdr:cNvSpPr txBox="1">
          <a:spLocks noChangeArrowheads="1" noTextEdit="1"/>
        </xdr:cNvSpPr>
      </xdr:nvSpPr>
      <xdr:spPr bwMode="auto">
        <a:xfrm>
          <a:off x="14011275" y="29460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1D22C7A-AA38-4355-BEE7-78E1D5191ED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387</xdr:row>
      <xdr:rowOff>0</xdr:rowOff>
    </xdr:from>
    <xdr:to>
      <xdr:col>23</xdr:col>
      <xdr:colOff>0</xdr:colOff>
      <xdr:row>388</xdr:row>
      <xdr:rowOff>0</xdr:rowOff>
    </xdr:to>
    <xdr:sp macro="" textlink="AZ388">
      <xdr:nvSpPr>
        <xdr:cNvPr id="589" name="Text Box 7285"/>
        <xdr:cNvSpPr txBox="1">
          <a:spLocks noChangeArrowheads="1" noTextEdit="1"/>
        </xdr:cNvSpPr>
      </xdr:nvSpPr>
      <xdr:spPr bwMode="auto">
        <a:xfrm>
          <a:off x="14011275" y="296227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A81610B-01C1-46A8-811D-9E73D8C1108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388</xdr:row>
      <xdr:rowOff>0</xdr:rowOff>
    </xdr:from>
    <xdr:to>
      <xdr:col>23</xdr:col>
      <xdr:colOff>0</xdr:colOff>
      <xdr:row>388</xdr:row>
      <xdr:rowOff>160193</xdr:rowOff>
    </xdr:to>
    <xdr:sp macro="" textlink="AZ389">
      <xdr:nvSpPr>
        <xdr:cNvPr id="590" name="Text Box 7286"/>
        <xdr:cNvSpPr txBox="1">
          <a:spLocks noChangeArrowheads="1" noTextEdit="1"/>
        </xdr:cNvSpPr>
      </xdr:nvSpPr>
      <xdr:spPr bwMode="auto">
        <a:xfrm>
          <a:off x="14011275" y="297846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6B8EA0B6-3709-4DA4-A92B-468C21988A1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388</xdr:row>
      <xdr:rowOff>160193</xdr:rowOff>
    </xdr:from>
    <xdr:to>
      <xdr:col>23</xdr:col>
      <xdr:colOff>0</xdr:colOff>
      <xdr:row>390</xdr:row>
      <xdr:rowOff>0</xdr:rowOff>
    </xdr:to>
    <xdr:sp macro="" textlink="AZ390">
      <xdr:nvSpPr>
        <xdr:cNvPr id="591" name="Text Box 7287"/>
        <xdr:cNvSpPr txBox="1">
          <a:spLocks noChangeArrowheads="1" noTextEdit="1"/>
        </xdr:cNvSpPr>
      </xdr:nvSpPr>
      <xdr:spPr bwMode="auto">
        <a:xfrm>
          <a:off x="14011275" y="299448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BB490326-A2D9-4CEB-94FC-20CCC131C11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390</xdr:row>
      <xdr:rowOff>0</xdr:rowOff>
    </xdr:from>
    <xdr:to>
      <xdr:col>23</xdr:col>
      <xdr:colOff>0</xdr:colOff>
      <xdr:row>391</xdr:row>
      <xdr:rowOff>0</xdr:rowOff>
    </xdr:to>
    <xdr:sp macro="" textlink="AZ391">
      <xdr:nvSpPr>
        <xdr:cNvPr id="592" name="Text Box 7288"/>
        <xdr:cNvSpPr txBox="1">
          <a:spLocks noChangeArrowheads="1" noTextEdit="1"/>
        </xdr:cNvSpPr>
      </xdr:nvSpPr>
      <xdr:spPr bwMode="auto">
        <a:xfrm>
          <a:off x="14011275" y="30108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B5AD7E9-EB37-47AD-9BEC-BFAF0B15373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391</xdr:row>
      <xdr:rowOff>0</xdr:rowOff>
    </xdr:from>
    <xdr:to>
      <xdr:col>23</xdr:col>
      <xdr:colOff>0</xdr:colOff>
      <xdr:row>392</xdr:row>
      <xdr:rowOff>0</xdr:rowOff>
    </xdr:to>
    <xdr:sp macro="" textlink="AZ392">
      <xdr:nvSpPr>
        <xdr:cNvPr id="593" name="Text Box 7289"/>
        <xdr:cNvSpPr txBox="1">
          <a:spLocks noChangeArrowheads="1" noTextEdit="1"/>
        </xdr:cNvSpPr>
      </xdr:nvSpPr>
      <xdr:spPr bwMode="auto">
        <a:xfrm>
          <a:off x="14011275" y="302704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084DED0-AAFF-4A5A-860F-FB4BA0F1980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392</xdr:row>
      <xdr:rowOff>0</xdr:rowOff>
    </xdr:from>
    <xdr:to>
      <xdr:col>23</xdr:col>
      <xdr:colOff>0</xdr:colOff>
      <xdr:row>393</xdr:row>
      <xdr:rowOff>0</xdr:rowOff>
    </xdr:to>
    <xdr:sp macro="" textlink="AZ393">
      <xdr:nvSpPr>
        <xdr:cNvPr id="594" name="Text Box 7290"/>
        <xdr:cNvSpPr txBox="1">
          <a:spLocks noChangeArrowheads="1" noTextEdit="1"/>
        </xdr:cNvSpPr>
      </xdr:nvSpPr>
      <xdr:spPr bwMode="auto">
        <a:xfrm>
          <a:off x="14011275" y="304323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6826182-8054-4A94-BC08-B490197AB20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393</xdr:row>
      <xdr:rowOff>0</xdr:rowOff>
    </xdr:from>
    <xdr:to>
      <xdr:col>23</xdr:col>
      <xdr:colOff>0</xdr:colOff>
      <xdr:row>393</xdr:row>
      <xdr:rowOff>160193</xdr:rowOff>
    </xdr:to>
    <xdr:sp macro="" textlink="AZ394">
      <xdr:nvSpPr>
        <xdr:cNvPr id="595" name="Text Box 7291"/>
        <xdr:cNvSpPr txBox="1">
          <a:spLocks noChangeArrowheads="1" noTextEdit="1"/>
        </xdr:cNvSpPr>
      </xdr:nvSpPr>
      <xdr:spPr bwMode="auto">
        <a:xfrm>
          <a:off x="14011275" y="305943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878DFB91-857A-4B76-98B3-A4C68079090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393</xdr:row>
      <xdr:rowOff>160193</xdr:rowOff>
    </xdr:from>
    <xdr:to>
      <xdr:col>23</xdr:col>
      <xdr:colOff>0</xdr:colOff>
      <xdr:row>394</xdr:row>
      <xdr:rowOff>160193</xdr:rowOff>
    </xdr:to>
    <xdr:sp macro="" textlink="AZ395">
      <xdr:nvSpPr>
        <xdr:cNvPr id="596" name="Text Box 7292"/>
        <xdr:cNvSpPr txBox="1">
          <a:spLocks noChangeArrowheads="1" noTextEdit="1"/>
        </xdr:cNvSpPr>
      </xdr:nvSpPr>
      <xdr:spPr bwMode="auto">
        <a:xfrm>
          <a:off x="14011275" y="307544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F4D711F-102F-4044-BE5E-3FB87323BA8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394</xdr:row>
      <xdr:rowOff>160193</xdr:rowOff>
    </xdr:from>
    <xdr:to>
      <xdr:col>23</xdr:col>
      <xdr:colOff>0</xdr:colOff>
      <xdr:row>396</xdr:row>
      <xdr:rowOff>0</xdr:rowOff>
    </xdr:to>
    <xdr:sp macro="" textlink="AZ396">
      <xdr:nvSpPr>
        <xdr:cNvPr id="597" name="Text Box 7293"/>
        <xdr:cNvSpPr txBox="1">
          <a:spLocks noChangeArrowheads="1" noTextEdit="1"/>
        </xdr:cNvSpPr>
      </xdr:nvSpPr>
      <xdr:spPr bwMode="auto">
        <a:xfrm>
          <a:off x="14011275" y="309164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E29AD2B5-6187-4E50-972C-93F20CA9688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396</xdr:row>
      <xdr:rowOff>0</xdr:rowOff>
    </xdr:from>
    <xdr:to>
      <xdr:col>23</xdr:col>
      <xdr:colOff>0</xdr:colOff>
      <xdr:row>397</xdr:row>
      <xdr:rowOff>0</xdr:rowOff>
    </xdr:to>
    <xdr:sp macro="" textlink="AZ397">
      <xdr:nvSpPr>
        <xdr:cNvPr id="598" name="Text Box 7294"/>
        <xdr:cNvSpPr txBox="1">
          <a:spLocks noChangeArrowheads="1" noTextEdit="1"/>
        </xdr:cNvSpPr>
      </xdr:nvSpPr>
      <xdr:spPr bwMode="auto">
        <a:xfrm>
          <a:off x="14011275" y="31080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0207E4C-9AE6-49DF-902A-BA9BF71A3E9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397</xdr:row>
      <xdr:rowOff>0</xdr:rowOff>
    </xdr:from>
    <xdr:to>
      <xdr:col>23</xdr:col>
      <xdr:colOff>0</xdr:colOff>
      <xdr:row>398</xdr:row>
      <xdr:rowOff>0</xdr:rowOff>
    </xdr:to>
    <xdr:sp macro="" textlink="AZ398">
      <xdr:nvSpPr>
        <xdr:cNvPr id="599" name="Text Box 7295"/>
        <xdr:cNvSpPr txBox="1">
          <a:spLocks noChangeArrowheads="1" noTextEdit="1"/>
        </xdr:cNvSpPr>
      </xdr:nvSpPr>
      <xdr:spPr bwMode="auto">
        <a:xfrm>
          <a:off x="14011275" y="312420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121D246-ED8E-402D-A406-45E945AE235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398</xdr:row>
      <xdr:rowOff>0</xdr:rowOff>
    </xdr:from>
    <xdr:to>
      <xdr:col>23</xdr:col>
      <xdr:colOff>0</xdr:colOff>
      <xdr:row>399</xdr:row>
      <xdr:rowOff>0</xdr:rowOff>
    </xdr:to>
    <xdr:sp macro="" textlink="AZ399">
      <xdr:nvSpPr>
        <xdr:cNvPr id="600" name="Text Box 7296"/>
        <xdr:cNvSpPr txBox="1">
          <a:spLocks noChangeArrowheads="1" noTextEdit="1"/>
        </xdr:cNvSpPr>
      </xdr:nvSpPr>
      <xdr:spPr bwMode="auto">
        <a:xfrm>
          <a:off x="14011275" y="314039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D1F71E5-C8D4-43DA-87B7-744EA34DBB0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399</xdr:row>
      <xdr:rowOff>0</xdr:rowOff>
    </xdr:from>
    <xdr:to>
      <xdr:col>23</xdr:col>
      <xdr:colOff>0</xdr:colOff>
      <xdr:row>399</xdr:row>
      <xdr:rowOff>160193</xdr:rowOff>
    </xdr:to>
    <xdr:sp macro="" textlink="AZ400">
      <xdr:nvSpPr>
        <xdr:cNvPr id="601" name="Text Box 7297"/>
        <xdr:cNvSpPr txBox="1">
          <a:spLocks noChangeArrowheads="1" noTextEdit="1"/>
        </xdr:cNvSpPr>
      </xdr:nvSpPr>
      <xdr:spPr bwMode="auto">
        <a:xfrm>
          <a:off x="14011275" y="315658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63E9EFF7-D5E8-4C3D-8410-43B4869CA1A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400</xdr:row>
      <xdr:rowOff>1</xdr:rowOff>
    </xdr:from>
    <xdr:to>
      <xdr:col>23</xdr:col>
      <xdr:colOff>0</xdr:colOff>
      <xdr:row>401</xdr:row>
      <xdr:rowOff>0</xdr:rowOff>
    </xdr:to>
    <xdr:sp macro="" textlink="AZ401">
      <xdr:nvSpPr>
        <xdr:cNvPr id="602" name="Text Box 7298"/>
        <xdr:cNvSpPr txBox="1">
          <a:spLocks noChangeArrowheads="1" noTextEdit="1"/>
        </xdr:cNvSpPr>
      </xdr:nvSpPr>
      <xdr:spPr bwMode="auto">
        <a:xfrm>
          <a:off x="14011275" y="3172777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EEB19190-17DF-4CCE-BD99-595C846BA72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401</xdr:row>
      <xdr:rowOff>0</xdr:rowOff>
    </xdr:from>
    <xdr:to>
      <xdr:col>23</xdr:col>
      <xdr:colOff>0</xdr:colOff>
      <xdr:row>402</xdr:row>
      <xdr:rowOff>0</xdr:rowOff>
    </xdr:to>
    <xdr:sp macro="" textlink="AZ402">
      <xdr:nvSpPr>
        <xdr:cNvPr id="603" name="Text Box 7299"/>
        <xdr:cNvSpPr txBox="1">
          <a:spLocks noChangeArrowheads="1" noTextEdit="1"/>
        </xdr:cNvSpPr>
      </xdr:nvSpPr>
      <xdr:spPr bwMode="auto">
        <a:xfrm>
          <a:off x="14011275" y="318897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FCB8F3C-A1DB-4F4D-B685-96C59789CFC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402</xdr:row>
      <xdr:rowOff>0</xdr:rowOff>
    </xdr:from>
    <xdr:to>
      <xdr:col>23</xdr:col>
      <xdr:colOff>0</xdr:colOff>
      <xdr:row>403</xdr:row>
      <xdr:rowOff>0</xdr:rowOff>
    </xdr:to>
    <xdr:sp macro="" textlink="AZ403">
      <xdr:nvSpPr>
        <xdr:cNvPr id="604" name="Text Box 7300"/>
        <xdr:cNvSpPr txBox="1">
          <a:spLocks noChangeArrowheads="1" noTextEdit="1"/>
        </xdr:cNvSpPr>
      </xdr:nvSpPr>
      <xdr:spPr bwMode="auto">
        <a:xfrm>
          <a:off x="14011275" y="320516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9751251-B8E3-4BCB-B014-A6681F28CFF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403</xdr:row>
      <xdr:rowOff>0</xdr:rowOff>
    </xdr:from>
    <xdr:to>
      <xdr:col>23</xdr:col>
      <xdr:colOff>0</xdr:colOff>
      <xdr:row>404</xdr:row>
      <xdr:rowOff>0</xdr:rowOff>
    </xdr:to>
    <xdr:sp macro="" textlink="AZ404">
      <xdr:nvSpPr>
        <xdr:cNvPr id="605" name="Text Box 7301"/>
        <xdr:cNvSpPr txBox="1">
          <a:spLocks noChangeArrowheads="1" noTextEdit="1"/>
        </xdr:cNvSpPr>
      </xdr:nvSpPr>
      <xdr:spPr bwMode="auto">
        <a:xfrm>
          <a:off x="14011275" y="322135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E2DB055-E7BF-405F-AB49-89ADCA4A80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404</xdr:row>
      <xdr:rowOff>0</xdr:rowOff>
    </xdr:from>
    <xdr:to>
      <xdr:col>23</xdr:col>
      <xdr:colOff>0</xdr:colOff>
      <xdr:row>404</xdr:row>
      <xdr:rowOff>160193</xdr:rowOff>
    </xdr:to>
    <xdr:sp macro="" textlink="AZ405">
      <xdr:nvSpPr>
        <xdr:cNvPr id="606" name="Text Box 7302"/>
        <xdr:cNvSpPr txBox="1">
          <a:spLocks noChangeArrowheads="1" noTextEdit="1"/>
        </xdr:cNvSpPr>
      </xdr:nvSpPr>
      <xdr:spPr bwMode="auto">
        <a:xfrm>
          <a:off x="14011275" y="32375475"/>
          <a:ext cx="2305050" cy="160193"/>
        </a:xfrm>
        <a:prstGeom prst="rect">
          <a:avLst/>
        </a:prstGeom>
        <a:noFill/>
        <a:ln w="9525" algn="ctr">
          <a:noFill/>
          <a:miter lim="800000"/>
          <a:headEnd/>
          <a:tailEnd/>
        </a:ln>
        <a:effectLst/>
      </xdr:spPr>
      <xdr:txBody>
        <a:bodyPr vertOverflow="clip" horzOverflow="clip" lIns="72000" anchor="ctr"/>
        <a:lstStyle/>
        <a:p>
          <a:pPr algn="l"/>
          <a:fld id="{48D0E971-F088-4D0C-8411-9E83392BA64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404</xdr:row>
      <xdr:rowOff>160193</xdr:rowOff>
    </xdr:from>
    <xdr:to>
      <xdr:col>23</xdr:col>
      <xdr:colOff>0</xdr:colOff>
      <xdr:row>405</xdr:row>
      <xdr:rowOff>160193</xdr:rowOff>
    </xdr:to>
    <xdr:sp macro="" textlink="AZ406">
      <xdr:nvSpPr>
        <xdr:cNvPr id="607" name="Text Box 7303"/>
        <xdr:cNvSpPr txBox="1">
          <a:spLocks noChangeArrowheads="1" noTextEdit="1"/>
        </xdr:cNvSpPr>
      </xdr:nvSpPr>
      <xdr:spPr bwMode="auto">
        <a:xfrm>
          <a:off x="14011275" y="325356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8E0C6C7-B060-439D-AD51-0F5A66DC577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405</xdr:row>
      <xdr:rowOff>160193</xdr:rowOff>
    </xdr:from>
    <xdr:to>
      <xdr:col>23</xdr:col>
      <xdr:colOff>0</xdr:colOff>
      <xdr:row>407</xdr:row>
      <xdr:rowOff>0</xdr:rowOff>
    </xdr:to>
    <xdr:sp macro="" textlink="AZ407">
      <xdr:nvSpPr>
        <xdr:cNvPr id="608" name="Text Box 7304"/>
        <xdr:cNvSpPr txBox="1">
          <a:spLocks noChangeArrowheads="1" noTextEdit="1"/>
        </xdr:cNvSpPr>
      </xdr:nvSpPr>
      <xdr:spPr bwMode="auto">
        <a:xfrm>
          <a:off x="14011275" y="326975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FA4A21AC-0F5F-4F8D-85EF-B28AB56A89E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407</xdr:row>
      <xdr:rowOff>0</xdr:rowOff>
    </xdr:from>
    <xdr:to>
      <xdr:col>23</xdr:col>
      <xdr:colOff>0</xdr:colOff>
      <xdr:row>408</xdr:row>
      <xdr:rowOff>0</xdr:rowOff>
    </xdr:to>
    <xdr:sp macro="" textlink="AZ408">
      <xdr:nvSpPr>
        <xdr:cNvPr id="609" name="Text Box 7305"/>
        <xdr:cNvSpPr txBox="1">
          <a:spLocks noChangeArrowheads="1" noTextEdit="1"/>
        </xdr:cNvSpPr>
      </xdr:nvSpPr>
      <xdr:spPr bwMode="auto">
        <a:xfrm>
          <a:off x="14011275" y="328612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9CC0436-1701-40C6-A386-E17F3D574ED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408</xdr:row>
      <xdr:rowOff>0</xdr:rowOff>
    </xdr:from>
    <xdr:to>
      <xdr:col>23</xdr:col>
      <xdr:colOff>0</xdr:colOff>
      <xdr:row>409</xdr:row>
      <xdr:rowOff>0</xdr:rowOff>
    </xdr:to>
    <xdr:sp macro="" textlink="AZ409">
      <xdr:nvSpPr>
        <xdr:cNvPr id="610" name="Text Box 7306"/>
        <xdr:cNvSpPr txBox="1">
          <a:spLocks noChangeArrowheads="1" noTextEdit="1"/>
        </xdr:cNvSpPr>
      </xdr:nvSpPr>
      <xdr:spPr bwMode="auto">
        <a:xfrm>
          <a:off x="14011275" y="33023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18C524D-A0A2-432F-9FF1-033AF7311C3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409</xdr:row>
      <xdr:rowOff>0</xdr:rowOff>
    </xdr:from>
    <xdr:to>
      <xdr:col>23</xdr:col>
      <xdr:colOff>0</xdr:colOff>
      <xdr:row>410</xdr:row>
      <xdr:rowOff>0</xdr:rowOff>
    </xdr:to>
    <xdr:sp macro="" textlink="AZ410">
      <xdr:nvSpPr>
        <xdr:cNvPr id="611" name="Text Box 7307"/>
        <xdr:cNvSpPr txBox="1">
          <a:spLocks noChangeArrowheads="1" noTextEdit="1"/>
        </xdr:cNvSpPr>
      </xdr:nvSpPr>
      <xdr:spPr bwMode="auto">
        <a:xfrm>
          <a:off x="14011275" y="331851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9F08053-D95A-42F8-9531-D07229192F4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410</xdr:row>
      <xdr:rowOff>0</xdr:rowOff>
    </xdr:from>
    <xdr:to>
      <xdr:col>23</xdr:col>
      <xdr:colOff>0</xdr:colOff>
      <xdr:row>410</xdr:row>
      <xdr:rowOff>160193</xdr:rowOff>
    </xdr:to>
    <xdr:sp macro="" textlink="AZ411">
      <xdr:nvSpPr>
        <xdr:cNvPr id="612" name="Text Box 7308"/>
        <xdr:cNvSpPr txBox="1">
          <a:spLocks noChangeArrowheads="1" noTextEdit="1"/>
        </xdr:cNvSpPr>
      </xdr:nvSpPr>
      <xdr:spPr bwMode="auto">
        <a:xfrm>
          <a:off x="14011275" y="333470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61271F9-FC9B-4265-8B9F-16905C9E168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410</xdr:row>
      <xdr:rowOff>160193</xdr:rowOff>
    </xdr:from>
    <xdr:to>
      <xdr:col>23</xdr:col>
      <xdr:colOff>0</xdr:colOff>
      <xdr:row>412</xdr:row>
      <xdr:rowOff>0</xdr:rowOff>
    </xdr:to>
    <xdr:sp macro="" textlink="AZ412">
      <xdr:nvSpPr>
        <xdr:cNvPr id="613" name="Text Box 7309"/>
        <xdr:cNvSpPr txBox="1">
          <a:spLocks noChangeArrowheads="1" noTextEdit="1"/>
        </xdr:cNvSpPr>
      </xdr:nvSpPr>
      <xdr:spPr bwMode="auto">
        <a:xfrm>
          <a:off x="14011275" y="335072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48847F3D-BACB-474C-8FDA-CE0F45277D9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412</xdr:row>
      <xdr:rowOff>0</xdr:rowOff>
    </xdr:from>
    <xdr:to>
      <xdr:col>23</xdr:col>
      <xdr:colOff>0</xdr:colOff>
      <xdr:row>413</xdr:row>
      <xdr:rowOff>0</xdr:rowOff>
    </xdr:to>
    <xdr:sp macro="" textlink="AZ413">
      <xdr:nvSpPr>
        <xdr:cNvPr id="614" name="Text Box 7310"/>
        <xdr:cNvSpPr txBox="1">
          <a:spLocks noChangeArrowheads="1" noTextEdit="1"/>
        </xdr:cNvSpPr>
      </xdr:nvSpPr>
      <xdr:spPr bwMode="auto">
        <a:xfrm>
          <a:off x="14011275" y="33670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E39AF1D-3372-467F-AE1A-B73493EBB70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413</xdr:row>
      <xdr:rowOff>0</xdr:rowOff>
    </xdr:from>
    <xdr:to>
      <xdr:col>23</xdr:col>
      <xdr:colOff>0</xdr:colOff>
      <xdr:row>414</xdr:row>
      <xdr:rowOff>0</xdr:rowOff>
    </xdr:to>
    <xdr:sp macro="" textlink="AZ414">
      <xdr:nvSpPr>
        <xdr:cNvPr id="615" name="Text Box 7311"/>
        <xdr:cNvSpPr txBox="1">
          <a:spLocks noChangeArrowheads="1" noTextEdit="1"/>
        </xdr:cNvSpPr>
      </xdr:nvSpPr>
      <xdr:spPr bwMode="auto">
        <a:xfrm>
          <a:off x="14011275" y="338328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2E8636D-6609-48E9-BDD7-5883D03DC0B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414</xdr:row>
      <xdr:rowOff>0</xdr:rowOff>
    </xdr:from>
    <xdr:to>
      <xdr:col>23</xdr:col>
      <xdr:colOff>0</xdr:colOff>
      <xdr:row>415</xdr:row>
      <xdr:rowOff>0</xdr:rowOff>
    </xdr:to>
    <xdr:sp macro="" textlink="AZ415">
      <xdr:nvSpPr>
        <xdr:cNvPr id="616" name="Text Box 7312"/>
        <xdr:cNvSpPr txBox="1">
          <a:spLocks noChangeArrowheads="1" noTextEdit="1"/>
        </xdr:cNvSpPr>
      </xdr:nvSpPr>
      <xdr:spPr bwMode="auto">
        <a:xfrm>
          <a:off x="14011275" y="339947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F1E3F72-21B9-4AA8-89C8-BB7E720DBC1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415</xdr:row>
      <xdr:rowOff>0</xdr:rowOff>
    </xdr:from>
    <xdr:to>
      <xdr:col>23</xdr:col>
      <xdr:colOff>0</xdr:colOff>
      <xdr:row>415</xdr:row>
      <xdr:rowOff>160193</xdr:rowOff>
    </xdr:to>
    <xdr:sp macro="" textlink="AZ416">
      <xdr:nvSpPr>
        <xdr:cNvPr id="617" name="Text Box 7313"/>
        <xdr:cNvSpPr txBox="1">
          <a:spLocks noChangeArrowheads="1" noTextEdit="1"/>
        </xdr:cNvSpPr>
      </xdr:nvSpPr>
      <xdr:spPr bwMode="auto">
        <a:xfrm>
          <a:off x="14011275" y="341566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C4511862-C13B-43DE-A237-6BFEDC9C081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415</xdr:row>
      <xdr:rowOff>160193</xdr:rowOff>
    </xdr:from>
    <xdr:to>
      <xdr:col>23</xdr:col>
      <xdr:colOff>0</xdr:colOff>
      <xdr:row>416</xdr:row>
      <xdr:rowOff>160193</xdr:rowOff>
    </xdr:to>
    <xdr:sp macro="" textlink="AZ417">
      <xdr:nvSpPr>
        <xdr:cNvPr id="618" name="Text Box 7314"/>
        <xdr:cNvSpPr txBox="1">
          <a:spLocks noChangeArrowheads="1" noTextEdit="1"/>
        </xdr:cNvSpPr>
      </xdr:nvSpPr>
      <xdr:spPr bwMode="auto">
        <a:xfrm>
          <a:off x="14011275" y="343168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DCB9686-9827-4D57-B15B-047B354136E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416</xdr:row>
      <xdr:rowOff>160193</xdr:rowOff>
    </xdr:from>
    <xdr:to>
      <xdr:col>23</xdr:col>
      <xdr:colOff>0</xdr:colOff>
      <xdr:row>418</xdr:row>
      <xdr:rowOff>0</xdr:rowOff>
    </xdr:to>
    <xdr:sp macro="" textlink="AZ418">
      <xdr:nvSpPr>
        <xdr:cNvPr id="619" name="Text Box 7315"/>
        <xdr:cNvSpPr txBox="1">
          <a:spLocks noChangeArrowheads="1" noTextEdit="1"/>
        </xdr:cNvSpPr>
      </xdr:nvSpPr>
      <xdr:spPr bwMode="auto">
        <a:xfrm>
          <a:off x="14011275" y="344787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BF603FC-700B-424E-A4BC-F00FE3C5691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418</xdr:row>
      <xdr:rowOff>0</xdr:rowOff>
    </xdr:from>
    <xdr:to>
      <xdr:col>23</xdr:col>
      <xdr:colOff>0</xdr:colOff>
      <xdr:row>419</xdr:row>
      <xdr:rowOff>0</xdr:rowOff>
    </xdr:to>
    <xdr:sp macro="" textlink="AZ419">
      <xdr:nvSpPr>
        <xdr:cNvPr id="620" name="Text Box 7316"/>
        <xdr:cNvSpPr txBox="1">
          <a:spLocks noChangeArrowheads="1" noTextEdit="1"/>
        </xdr:cNvSpPr>
      </xdr:nvSpPr>
      <xdr:spPr bwMode="auto">
        <a:xfrm>
          <a:off x="14011275" y="34642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41D6EB3-6A90-476B-B421-E741B53A761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419</xdr:row>
      <xdr:rowOff>0</xdr:rowOff>
    </xdr:from>
    <xdr:to>
      <xdr:col>23</xdr:col>
      <xdr:colOff>0</xdr:colOff>
      <xdr:row>420</xdr:row>
      <xdr:rowOff>0</xdr:rowOff>
    </xdr:to>
    <xdr:sp macro="" textlink="AZ420">
      <xdr:nvSpPr>
        <xdr:cNvPr id="621" name="Text Box 7317"/>
        <xdr:cNvSpPr txBox="1">
          <a:spLocks noChangeArrowheads="1" noTextEdit="1"/>
        </xdr:cNvSpPr>
      </xdr:nvSpPr>
      <xdr:spPr bwMode="auto">
        <a:xfrm>
          <a:off x="14011275" y="34804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FBD7648-F5F0-4CA8-AC8B-5123BC1AE8A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20</xdr:col>
      <xdr:colOff>1133475</xdr:colOff>
      <xdr:row>420</xdr:row>
      <xdr:rowOff>9525</xdr:rowOff>
    </xdr:from>
    <xdr:to>
      <xdr:col>22</xdr:col>
      <xdr:colOff>1390650</xdr:colOff>
      <xdr:row>421</xdr:row>
      <xdr:rowOff>9525</xdr:rowOff>
    </xdr:to>
    <xdr:sp macro="" textlink="AZ421">
      <xdr:nvSpPr>
        <xdr:cNvPr id="622" name="Text Box 7318"/>
        <xdr:cNvSpPr txBox="1">
          <a:spLocks noChangeArrowheads="1" noTextEdit="1"/>
        </xdr:cNvSpPr>
      </xdr:nvSpPr>
      <xdr:spPr bwMode="auto">
        <a:xfrm>
          <a:off x="14001750" y="34975800"/>
          <a:ext cx="2295525" cy="161925"/>
        </a:xfrm>
        <a:prstGeom prst="rect">
          <a:avLst/>
        </a:prstGeom>
        <a:noFill/>
        <a:ln w="9525" algn="ctr">
          <a:noFill/>
          <a:miter lim="800000"/>
          <a:headEnd/>
          <a:tailEnd/>
        </a:ln>
        <a:effectLst/>
      </xdr:spPr>
      <xdr:txBody>
        <a:bodyPr vertOverflow="clip" horzOverflow="clip" lIns="72000" tIns="36000" rIns="36000" bIns="36000" anchor="ctr"/>
        <a:lstStyle/>
        <a:p>
          <a:pPr algn="l"/>
          <a:fld id="{CF712451-B333-4490-933E-B8D02B865A8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421</xdr:row>
      <xdr:rowOff>0</xdr:rowOff>
    </xdr:from>
    <xdr:to>
      <xdr:col>23</xdr:col>
      <xdr:colOff>0</xdr:colOff>
      <xdr:row>421</xdr:row>
      <xdr:rowOff>160193</xdr:rowOff>
    </xdr:to>
    <xdr:sp macro="" textlink="AZ422">
      <xdr:nvSpPr>
        <xdr:cNvPr id="623" name="Text Box 7321"/>
        <xdr:cNvSpPr txBox="1">
          <a:spLocks noChangeArrowheads="1" noTextEdit="1"/>
        </xdr:cNvSpPr>
      </xdr:nvSpPr>
      <xdr:spPr bwMode="auto">
        <a:xfrm>
          <a:off x="14011275" y="351282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DE6FDE8C-CC61-415D-B338-7B852E38398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426</xdr:row>
      <xdr:rowOff>0</xdr:rowOff>
    </xdr:from>
    <xdr:to>
      <xdr:col>23</xdr:col>
      <xdr:colOff>0</xdr:colOff>
      <xdr:row>427</xdr:row>
      <xdr:rowOff>0</xdr:rowOff>
    </xdr:to>
    <xdr:sp macro="" textlink="AZ427">
      <xdr:nvSpPr>
        <xdr:cNvPr id="624" name="Text Box 1236"/>
        <xdr:cNvSpPr txBox="1">
          <a:spLocks noChangeArrowheads="1" noTextEdit="1"/>
        </xdr:cNvSpPr>
      </xdr:nvSpPr>
      <xdr:spPr bwMode="auto">
        <a:xfrm>
          <a:off x="14011275" y="526161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5A5BFA8-2246-47DA-98D4-B869F5C0020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423</xdr:row>
      <xdr:rowOff>0</xdr:rowOff>
    </xdr:from>
    <xdr:to>
      <xdr:col>23</xdr:col>
      <xdr:colOff>0</xdr:colOff>
      <xdr:row>424</xdr:row>
      <xdr:rowOff>0</xdr:rowOff>
    </xdr:to>
    <xdr:sp macro="" textlink="AZ424">
      <xdr:nvSpPr>
        <xdr:cNvPr id="625" name="Text Box 1233"/>
        <xdr:cNvSpPr txBox="1">
          <a:spLocks noChangeArrowheads="1" noTextEdit="1"/>
        </xdr:cNvSpPr>
      </xdr:nvSpPr>
      <xdr:spPr bwMode="auto">
        <a:xfrm>
          <a:off x="14011275" y="52130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3F5E28C-19B6-4E3E-8FCD-09F2A8B31BE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425</xdr:row>
      <xdr:rowOff>0</xdr:rowOff>
    </xdr:from>
    <xdr:to>
      <xdr:col>23</xdr:col>
      <xdr:colOff>0</xdr:colOff>
      <xdr:row>426</xdr:row>
      <xdr:rowOff>0</xdr:rowOff>
    </xdr:to>
    <xdr:sp macro="" textlink="AZ426">
      <xdr:nvSpPr>
        <xdr:cNvPr id="626" name="Text Box 1235"/>
        <xdr:cNvSpPr txBox="1">
          <a:spLocks noChangeArrowheads="1" noTextEdit="1"/>
        </xdr:cNvSpPr>
      </xdr:nvSpPr>
      <xdr:spPr bwMode="auto">
        <a:xfrm>
          <a:off x="14011275" y="52454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2977098-05E8-4359-A020-6C9A7B2F1E5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10583</xdr:colOff>
      <xdr:row>424</xdr:row>
      <xdr:rowOff>0</xdr:rowOff>
    </xdr:from>
    <xdr:to>
      <xdr:col>23</xdr:col>
      <xdr:colOff>10583</xdr:colOff>
      <xdr:row>425</xdr:row>
      <xdr:rowOff>0</xdr:rowOff>
    </xdr:to>
    <xdr:sp macro="" textlink="AZ425">
      <xdr:nvSpPr>
        <xdr:cNvPr id="627" name="Text Box 1234"/>
        <xdr:cNvSpPr txBox="1">
          <a:spLocks noChangeArrowheads="1" noTextEdit="1"/>
        </xdr:cNvSpPr>
      </xdr:nvSpPr>
      <xdr:spPr bwMode="auto">
        <a:xfrm>
          <a:off x="14021858" y="52292250"/>
          <a:ext cx="2305050" cy="161925"/>
        </a:xfrm>
        <a:prstGeom prst="rect">
          <a:avLst/>
        </a:prstGeom>
        <a:noFill/>
        <a:ln w="9525" algn="ctr">
          <a:noFill/>
          <a:miter lim="800000"/>
          <a:headEnd/>
          <a:tailEnd/>
        </a:ln>
        <a:effectLst/>
      </xdr:spPr>
      <xdr:txBody>
        <a:bodyPr vertOverflow="clip" horzOverflow="clip" wrap="square" lIns="72000" tIns="36000" rIns="36000" bIns="36000" anchor="ctr"/>
        <a:lstStyle/>
        <a:p>
          <a:pPr algn="l"/>
          <a:fld id="{60ED625B-5FA6-4CF7-A0C7-C93FEF6B529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427</xdr:row>
      <xdr:rowOff>1</xdr:rowOff>
    </xdr:from>
    <xdr:to>
      <xdr:col>23</xdr:col>
      <xdr:colOff>0</xdr:colOff>
      <xdr:row>428</xdr:row>
      <xdr:rowOff>0</xdr:rowOff>
    </xdr:to>
    <xdr:sp macro="" textlink="AZ428">
      <xdr:nvSpPr>
        <xdr:cNvPr id="628" name="Text Box 1237"/>
        <xdr:cNvSpPr txBox="1">
          <a:spLocks noChangeArrowheads="1" noTextEdit="1"/>
        </xdr:cNvSpPr>
      </xdr:nvSpPr>
      <xdr:spPr bwMode="auto">
        <a:xfrm>
          <a:off x="14011275" y="52778026"/>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A2EC14C7-8238-41BE-8B68-C9D12B0602D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428</xdr:row>
      <xdr:rowOff>0</xdr:rowOff>
    </xdr:from>
    <xdr:to>
      <xdr:col>23</xdr:col>
      <xdr:colOff>0</xdr:colOff>
      <xdr:row>428</xdr:row>
      <xdr:rowOff>324715</xdr:rowOff>
    </xdr:to>
    <xdr:sp macro="" textlink="AZ429">
      <xdr:nvSpPr>
        <xdr:cNvPr id="629" name="Text Box 1238"/>
        <xdr:cNvSpPr txBox="1">
          <a:spLocks noChangeArrowheads="1" noTextEdit="1"/>
        </xdr:cNvSpPr>
      </xdr:nvSpPr>
      <xdr:spPr bwMode="auto">
        <a:xfrm>
          <a:off x="14011275" y="52939950"/>
          <a:ext cx="2305050" cy="162790"/>
        </a:xfrm>
        <a:prstGeom prst="rect">
          <a:avLst/>
        </a:prstGeom>
        <a:noFill/>
        <a:ln w="9525" algn="ctr">
          <a:noFill/>
          <a:miter lim="800000"/>
          <a:headEnd/>
          <a:tailEnd/>
        </a:ln>
        <a:effectLst/>
      </xdr:spPr>
      <xdr:txBody>
        <a:bodyPr vertOverflow="clip" horzOverflow="clip" lIns="72000" tIns="36000" rIns="36000" bIns="36000" anchor="ctr"/>
        <a:lstStyle/>
        <a:p>
          <a:pPr algn="l"/>
          <a:fld id="{DDA17D5C-A6DB-4512-8508-E970AFD9B26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428</xdr:row>
      <xdr:rowOff>324715</xdr:rowOff>
    </xdr:from>
    <xdr:to>
      <xdr:col>23</xdr:col>
      <xdr:colOff>0</xdr:colOff>
      <xdr:row>430</xdr:row>
      <xdr:rowOff>0</xdr:rowOff>
    </xdr:to>
    <xdr:sp macro="" textlink="AZ430">
      <xdr:nvSpPr>
        <xdr:cNvPr id="630" name="Text Box 1239"/>
        <xdr:cNvSpPr txBox="1">
          <a:spLocks noChangeArrowheads="1" noTextEdit="1"/>
        </xdr:cNvSpPr>
      </xdr:nvSpPr>
      <xdr:spPr bwMode="auto">
        <a:xfrm>
          <a:off x="14011275" y="53102740"/>
          <a:ext cx="2305050" cy="161060"/>
        </a:xfrm>
        <a:prstGeom prst="rect">
          <a:avLst/>
        </a:prstGeom>
        <a:noFill/>
        <a:ln w="9525" algn="ctr">
          <a:noFill/>
          <a:miter lim="800000"/>
          <a:headEnd/>
          <a:tailEnd/>
        </a:ln>
        <a:effectLst/>
      </xdr:spPr>
      <xdr:txBody>
        <a:bodyPr vertOverflow="clip" horzOverflow="clip" lIns="72000" tIns="36000" rIns="36000" bIns="36000" anchor="ctr"/>
        <a:lstStyle/>
        <a:p>
          <a:pPr algn="l"/>
          <a:fld id="{2FD0790F-F39D-46BA-9DA6-A17BEB5D31F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430</xdr:row>
      <xdr:rowOff>0</xdr:rowOff>
    </xdr:from>
    <xdr:to>
      <xdr:col>23</xdr:col>
      <xdr:colOff>0</xdr:colOff>
      <xdr:row>431</xdr:row>
      <xdr:rowOff>0</xdr:rowOff>
    </xdr:to>
    <xdr:sp macro="" textlink="AZ431">
      <xdr:nvSpPr>
        <xdr:cNvPr id="631" name="Text Box 1240"/>
        <xdr:cNvSpPr txBox="1">
          <a:spLocks noChangeArrowheads="1" noTextEdit="1"/>
        </xdr:cNvSpPr>
      </xdr:nvSpPr>
      <xdr:spPr bwMode="auto">
        <a:xfrm>
          <a:off x="14011275" y="532638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48B017B-66E0-42BC-8EC6-006E7B1F7EE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431</xdr:row>
      <xdr:rowOff>0</xdr:rowOff>
    </xdr:from>
    <xdr:to>
      <xdr:col>23</xdr:col>
      <xdr:colOff>0</xdr:colOff>
      <xdr:row>432</xdr:row>
      <xdr:rowOff>0</xdr:rowOff>
    </xdr:to>
    <xdr:sp macro="" textlink="AZ432">
      <xdr:nvSpPr>
        <xdr:cNvPr id="632" name="Text Box 1241"/>
        <xdr:cNvSpPr txBox="1">
          <a:spLocks noChangeArrowheads="1" noTextEdit="1"/>
        </xdr:cNvSpPr>
      </xdr:nvSpPr>
      <xdr:spPr bwMode="auto">
        <a:xfrm>
          <a:off x="14011275" y="534257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EBBAF8C-F108-4EB1-8B15-EDC9C5B0E9F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432</xdr:row>
      <xdr:rowOff>0</xdr:rowOff>
    </xdr:from>
    <xdr:to>
      <xdr:col>23</xdr:col>
      <xdr:colOff>0</xdr:colOff>
      <xdr:row>433</xdr:row>
      <xdr:rowOff>0</xdr:rowOff>
    </xdr:to>
    <xdr:sp macro="" textlink="AZ433">
      <xdr:nvSpPr>
        <xdr:cNvPr id="633" name="Text Box 1242"/>
        <xdr:cNvSpPr txBox="1">
          <a:spLocks noChangeArrowheads="1" noTextEdit="1"/>
        </xdr:cNvSpPr>
      </xdr:nvSpPr>
      <xdr:spPr bwMode="auto">
        <a:xfrm>
          <a:off x="14011275" y="53587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A03076A-7E3F-4D6D-90D8-BFC45531254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433</xdr:row>
      <xdr:rowOff>0</xdr:rowOff>
    </xdr:from>
    <xdr:to>
      <xdr:col>23</xdr:col>
      <xdr:colOff>0</xdr:colOff>
      <xdr:row>433</xdr:row>
      <xdr:rowOff>160193</xdr:rowOff>
    </xdr:to>
    <xdr:sp macro="" textlink="AZ434">
      <xdr:nvSpPr>
        <xdr:cNvPr id="634" name="Text Box 1243"/>
        <xdr:cNvSpPr txBox="1">
          <a:spLocks noChangeArrowheads="1" noTextEdit="1"/>
        </xdr:cNvSpPr>
      </xdr:nvSpPr>
      <xdr:spPr bwMode="auto">
        <a:xfrm>
          <a:off x="14011275" y="537495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288051D1-B497-4BD0-8F1E-BEB95A8C71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434</xdr:row>
      <xdr:rowOff>1</xdr:rowOff>
    </xdr:from>
    <xdr:to>
      <xdr:col>23</xdr:col>
      <xdr:colOff>0</xdr:colOff>
      <xdr:row>435</xdr:row>
      <xdr:rowOff>0</xdr:rowOff>
    </xdr:to>
    <xdr:sp macro="" textlink="AZ435">
      <xdr:nvSpPr>
        <xdr:cNvPr id="635" name="Text Box 1245"/>
        <xdr:cNvSpPr txBox="1">
          <a:spLocks noChangeArrowheads="1" noTextEdit="1"/>
        </xdr:cNvSpPr>
      </xdr:nvSpPr>
      <xdr:spPr bwMode="auto">
        <a:xfrm>
          <a:off x="14011275" y="5391150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DE4DB77F-A02B-4D65-9362-55AC49F76D2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435</xdr:row>
      <xdr:rowOff>0</xdr:rowOff>
    </xdr:from>
    <xdr:to>
      <xdr:col>23</xdr:col>
      <xdr:colOff>0</xdr:colOff>
      <xdr:row>436</xdr:row>
      <xdr:rowOff>0</xdr:rowOff>
    </xdr:to>
    <xdr:sp macro="" textlink="AZ436">
      <xdr:nvSpPr>
        <xdr:cNvPr id="636" name="Text Box 1246"/>
        <xdr:cNvSpPr txBox="1">
          <a:spLocks noChangeArrowheads="1" noTextEdit="1"/>
        </xdr:cNvSpPr>
      </xdr:nvSpPr>
      <xdr:spPr bwMode="auto">
        <a:xfrm>
          <a:off x="14011275" y="54073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F1A5AB3-9004-47BC-ADDA-644FA0EE32C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436</xdr:row>
      <xdr:rowOff>0</xdr:rowOff>
    </xdr:from>
    <xdr:to>
      <xdr:col>23</xdr:col>
      <xdr:colOff>0</xdr:colOff>
      <xdr:row>437</xdr:row>
      <xdr:rowOff>0</xdr:rowOff>
    </xdr:to>
    <xdr:sp macro="" textlink="AZ437">
      <xdr:nvSpPr>
        <xdr:cNvPr id="637" name="Text Box 1247"/>
        <xdr:cNvSpPr txBox="1">
          <a:spLocks noChangeArrowheads="1" noTextEdit="1"/>
        </xdr:cNvSpPr>
      </xdr:nvSpPr>
      <xdr:spPr bwMode="auto">
        <a:xfrm>
          <a:off x="14011275" y="54235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138ED71-5DB1-4014-B23A-7550E19D4EE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437</xdr:row>
      <xdr:rowOff>0</xdr:rowOff>
    </xdr:from>
    <xdr:to>
      <xdr:col>23</xdr:col>
      <xdr:colOff>0</xdr:colOff>
      <xdr:row>438</xdr:row>
      <xdr:rowOff>0</xdr:rowOff>
    </xdr:to>
    <xdr:sp macro="" textlink="AZ438">
      <xdr:nvSpPr>
        <xdr:cNvPr id="638" name="Text Box 1248"/>
        <xdr:cNvSpPr txBox="1">
          <a:spLocks noChangeArrowheads="1" noTextEdit="1"/>
        </xdr:cNvSpPr>
      </xdr:nvSpPr>
      <xdr:spPr bwMode="auto">
        <a:xfrm>
          <a:off x="14011275" y="543972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4426173-F1AA-4EA8-B9D5-E50C14B5B18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438</xdr:row>
      <xdr:rowOff>0</xdr:rowOff>
    </xdr:from>
    <xdr:to>
      <xdr:col>23</xdr:col>
      <xdr:colOff>0</xdr:colOff>
      <xdr:row>438</xdr:row>
      <xdr:rowOff>160193</xdr:rowOff>
    </xdr:to>
    <xdr:sp macro="" textlink="AZ439">
      <xdr:nvSpPr>
        <xdr:cNvPr id="639" name="Text Box 1249"/>
        <xdr:cNvSpPr txBox="1">
          <a:spLocks noChangeArrowheads="1" noTextEdit="1"/>
        </xdr:cNvSpPr>
      </xdr:nvSpPr>
      <xdr:spPr bwMode="auto">
        <a:xfrm>
          <a:off x="14011275" y="545592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2A993C4-AEE7-41E6-8CB3-80681FF25E6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438</xdr:row>
      <xdr:rowOff>160193</xdr:rowOff>
    </xdr:from>
    <xdr:to>
      <xdr:col>23</xdr:col>
      <xdr:colOff>0</xdr:colOff>
      <xdr:row>439</xdr:row>
      <xdr:rowOff>160193</xdr:rowOff>
    </xdr:to>
    <xdr:sp macro="" textlink="AZ440">
      <xdr:nvSpPr>
        <xdr:cNvPr id="640" name="Text Box 1250"/>
        <xdr:cNvSpPr txBox="1">
          <a:spLocks noChangeArrowheads="1" noTextEdit="1"/>
        </xdr:cNvSpPr>
      </xdr:nvSpPr>
      <xdr:spPr bwMode="auto">
        <a:xfrm>
          <a:off x="14011275" y="547193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47BC709-0049-4B7B-B896-29F605F2938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439</xdr:row>
      <xdr:rowOff>160193</xdr:rowOff>
    </xdr:from>
    <xdr:to>
      <xdr:col>23</xdr:col>
      <xdr:colOff>0</xdr:colOff>
      <xdr:row>441</xdr:row>
      <xdr:rowOff>0</xdr:rowOff>
    </xdr:to>
    <xdr:sp macro="" textlink="AZ441">
      <xdr:nvSpPr>
        <xdr:cNvPr id="641" name="Text Box 1251"/>
        <xdr:cNvSpPr txBox="1">
          <a:spLocks noChangeArrowheads="1" noTextEdit="1"/>
        </xdr:cNvSpPr>
      </xdr:nvSpPr>
      <xdr:spPr bwMode="auto">
        <a:xfrm>
          <a:off x="14011275" y="5488131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6D2FE40C-DC51-4E1D-ACAC-D41864D377C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441</xdr:row>
      <xdr:rowOff>0</xdr:rowOff>
    </xdr:from>
    <xdr:to>
      <xdr:col>23</xdr:col>
      <xdr:colOff>0</xdr:colOff>
      <xdr:row>442</xdr:row>
      <xdr:rowOff>0</xdr:rowOff>
    </xdr:to>
    <xdr:sp macro="" textlink="AZ442">
      <xdr:nvSpPr>
        <xdr:cNvPr id="642" name="Text Box 1252"/>
        <xdr:cNvSpPr txBox="1">
          <a:spLocks noChangeArrowheads="1" noTextEdit="1"/>
        </xdr:cNvSpPr>
      </xdr:nvSpPr>
      <xdr:spPr bwMode="auto">
        <a:xfrm>
          <a:off x="14011275" y="550449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8E1FE40-AB14-4221-9FA7-57810A3B5D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442</xdr:row>
      <xdr:rowOff>0</xdr:rowOff>
    </xdr:from>
    <xdr:to>
      <xdr:col>23</xdr:col>
      <xdr:colOff>0</xdr:colOff>
      <xdr:row>443</xdr:row>
      <xdr:rowOff>0</xdr:rowOff>
    </xdr:to>
    <xdr:sp macro="" textlink="AZ443">
      <xdr:nvSpPr>
        <xdr:cNvPr id="643" name="Text Box 1253"/>
        <xdr:cNvSpPr txBox="1">
          <a:spLocks noChangeArrowheads="1" noTextEdit="1"/>
        </xdr:cNvSpPr>
      </xdr:nvSpPr>
      <xdr:spPr bwMode="auto">
        <a:xfrm>
          <a:off x="14011275" y="552069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BAEADEA-01E4-4B11-9512-BB0E75ED50E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443</xdr:row>
      <xdr:rowOff>0</xdr:rowOff>
    </xdr:from>
    <xdr:to>
      <xdr:col>23</xdr:col>
      <xdr:colOff>0</xdr:colOff>
      <xdr:row>444</xdr:row>
      <xdr:rowOff>0</xdr:rowOff>
    </xdr:to>
    <xdr:sp macro="" textlink="AZ444">
      <xdr:nvSpPr>
        <xdr:cNvPr id="644" name="Text Box 1254"/>
        <xdr:cNvSpPr txBox="1">
          <a:spLocks noChangeArrowheads="1" noTextEdit="1"/>
        </xdr:cNvSpPr>
      </xdr:nvSpPr>
      <xdr:spPr bwMode="auto">
        <a:xfrm>
          <a:off x="14011275" y="553688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D5919E0-FDE7-4463-BE40-9513D6434CF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444</xdr:row>
      <xdr:rowOff>0</xdr:rowOff>
    </xdr:from>
    <xdr:to>
      <xdr:col>23</xdr:col>
      <xdr:colOff>0</xdr:colOff>
      <xdr:row>444</xdr:row>
      <xdr:rowOff>160193</xdr:rowOff>
    </xdr:to>
    <xdr:sp macro="" textlink="AZ445">
      <xdr:nvSpPr>
        <xdr:cNvPr id="645" name="Text Box 1255"/>
        <xdr:cNvSpPr txBox="1">
          <a:spLocks noChangeArrowheads="1" noTextEdit="1"/>
        </xdr:cNvSpPr>
      </xdr:nvSpPr>
      <xdr:spPr bwMode="auto">
        <a:xfrm>
          <a:off x="14011275" y="555307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9C17F04-7521-49BF-BC9E-5977F10C044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444</xdr:row>
      <xdr:rowOff>160193</xdr:rowOff>
    </xdr:from>
    <xdr:to>
      <xdr:col>23</xdr:col>
      <xdr:colOff>0</xdr:colOff>
      <xdr:row>446</xdr:row>
      <xdr:rowOff>0</xdr:rowOff>
    </xdr:to>
    <xdr:sp macro="" textlink="AZ446">
      <xdr:nvSpPr>
        <xdr:cNvPr id="646" name="Text Box 1256"/>
        <xdr:cNvSpPr txBox="1">
          <a:spLocks noChangeArrowheads="1" noTextEdit="1"/>
        </xdr:cNvSpPr>
      </xdr:nvSpPr>
      <xdr:spPr bwMode="auto">
        <a:xfrm>
          <a:off x="14011275" y="556909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E44AC910-82B8-41EE-BFA9-75AAAF6D45F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446</xdr:row>
      <xdr:rowOff>0</xdr:rowOff>
    </xdr:from>
    <xdr:to>
      <xdr:col>23</xdr:col>
      <xdr:colOff>0</xdr:colOff>
      <xdr:row>447</xdr:row>
      <xdr:rowOff>0</xdr:rowOff>
    </xdr:to>
    <xdr:sp macro="" textlink="AZ447">
      <xdr:nvSpPr>
        <xdr:cNvPr id="647" name="Text Box 1257"/>
        <xdr:cNvSpPr txBox="1">
          <a:spLocks noChangeArrowheads="1" noTextEdit="1"/>
        </xdr:cNvSpPr>
      </xdr:nvSpPr>
      <xdr:spPr bwMode="auto">
        <a:xfrm>
          <a:off x="14011275" y="55854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0140C31-7335-4F09-81F4-F6D9084350C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447</xdr:row>
      <xdr:rowOff>0</xdr:rowOff>
    </xdr:from>
    <xdr:to>
      <xdr:col>23</xdr:col>
      <xdr:colOff>0</xdr:colOff>
      <xdr:row>448</xdr:row>
      <xdr:rowOff>0</xdr:rowOff>
    </xdr:to>
    <xdr:sp macro="" textlink="AZ448">
      <xdr:nvSpPr>
        <xdr:cNvPr id="648" name="Text Box 1258"/>
        <xdr:cNvSpPr txBox="1">
          <a:spLocks noChangeArrowheads="1" noTextEdit="1"/>
        </xdr:cNvSpPr>
      </xdr:nvSpPr>
      <xdr:spPr bwMode="auto">
        <a:xfrm>
          <a:off x="14011275" y="56016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F2D52A7-F9FD-463E-9D2D-12F07446D0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448</xdr:row>
      <xdr:rowOff>0</xdr:rowOff>
    </xdr:from>
    <xdr:to>
      <xdr:col>23</xdr:col>
      <xdr:colOff>0</xdr:colOff>
      <xdr:row>449</xdr:row>
      <xdr:rowOff>0</xdr:rowOff>
    </xdr:to>
    <xdr:sp macro="" textlink="AZ449">
      <xdr:nvSpPr>
        <xdr:cNvPr id="649" name="Text Box 1259"/>
        <xdr:cNvSpPr txBox="1">
          <a:spLocks noChangeArrowheads="1" noTextEdit="1"/>
        </xdr:cNvSpPr>
      </xdr:nvSpPr>
      <xdr:spPr bwMode="auto">
        <a:xfrm>
          <a:off x="14011275" y="561784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EF9D17F-1758-4D17-B5CE-A463C889D6A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449</xdr:row>
      <xdr:rowOff>0</xdr:rowOff>
    </xdr:from>
    <xdr:to>
      <xdr:col>23</xdr:col>
      <xdr:colOff>0</xdr:colOff>
      <xdr:row>449</xdr:row>
      <xdr:rowOff>160193</xdr:rowOff>
    </xdr:to>
    <xdr:sp macro="" textlink="AZ450">
      <xdr:nvSpPr>
        <xdr:cNvPr id="650" name="Text Box 1260"/>
        <xdr:cNvSpPr txBox="1">
          <a:spLocks noChangeArrowheads="1" noTextEdit="1"/>
        </xdr:cNvSpPr>
      </xdr:nvSpPr>
      <xdr:spPr bwMode="auto">
        <a:xfrm>
          <a:off x="14011275" y="563403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FAAA2DB-4AF6-417E-B39D-BDDD0332D92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449</xdr:row>
      <xdr:rowOff>160193</xdr:rowOff>
    </xdr:from>
    <xdr:to>
      <xdr:col>23</xdr:col>
      <xdr:colOff>0</xdr:colOff>
      <xdr:row>450</xdr:row>
      <xdr:rowOff>160193</xdr:rowOff>
    </xdr:to>
    <xdr:sp macro="" textlink="AZ451">
      <xdr:nvSpPr>
        <xdr:cNvPr id="651" name="Text Box 1261"/>
        <xdr:cNvSpPr txBox="1">
          <a:spLocks noChangeArrowheads="1" noTextEdit="1"/>
        </xdr:cNvSpPr>
      </xdr:nvSpPr>
      <xdr:spPr bwMode="auto">
        <a:xfrm>
          <a:off x="14011275" y="565005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E20F567-152E-4533-AD1A-EA4E056431C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450</xdr:row>
      <xdr:rowOff>160193</xdr:rowOff>
    </xdr:from>
    <xdr:to>
      <xdr:col>23</xdr:col>
      <xdr:colOff>0</xdr:colOff>
      <xdr:row>452</xdr:row>
      <xdr:rowOff>0</xdr:rowOff>
    </xdr:to>
    <xdr:sp macro="" textlink="AZ452">
      <xdr:nvSpPr>
        <xdr:cNvPr id="652" name="Text Box 1262"/>
        <xdr:cNvSpPr txBox="1">
          <a:spLocks noChangeArrowheads="1" noTextEdit="1"/>
        </xdr:cNvSpPr>
      </xdr:nvSpPr>
      <xdr:spPr bwMode="auto">
        <a:xfrm>
          <a:off x="14011275" y="566624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8EC0A99D-A5E6-4C40-BEAC-05A85E18FF6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452</xdr:row>
      <xdr:rowOff>0</xdr:rowOff>
    </xdr:from>
    <xdr:to>
      <xdr:col>23</xdr:col>
      <xdr:colOff>0</xdr:colOff>
      <xdr:row>453</xdr:row>
      <xdr:rowOff>0</xdr:rowOff>
    </xdr:to>
    <xdr:sp macro="" textlink="AZ453">
      <xdr:nvSpPr>
        <xdr:cNvPr id="653" name="Text Box 1263"/>
        <xdr:cNvSpPr txBox="1">
          <a:spLocks noChangeArrowheads="1" noTextEdit="1"/>
        </xdr:cNvSpPr>
      </xdr:nvSpPr>
      <xdr:spPr bwMode="auto">
        <a:xfrm>
          <a:off x="14011275" y="568261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F4CDB51-E36F-4B38-AA90-80FF65C0EAE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453</xdr:row>
      <xdr:rowOff>0</xdr:rowOff>
    </xdr:from>
    <xdr:to>
      <xdr:col>23</xdr:col>
      <xdr:colOff>0</xdr:colOff>
      <xdr:row>454</xdr:row>
      <xdr:rowOff>0</xdr:rowOff>
    </xdr:to>
    <xdr:sp macro="" textlink="AZ454">
      <xdr:nvSpPr>
        <xdr:cNvPr id="654" name="Text Box 1266"/>
        <xdr:cNvSpPr txBox="1">
          <a:spLocks noChangeArrowheads="1" noTextEdit="1"/>
        </xdr:cNvSpPr>
      </xdr:nvSpPr>
      <xdr:spPr bwMode="auto">
        <a:xfrm>
          <a:off x="14011275" y="569880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9622E2C-25B5-4D88-8F5E-94C489EFAA0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454</xdr:row>
      <xdr:rowOff>1</xdr:rowOff>
    </xdr:from>
    <xdr:to>
      <xdr:col>23</xdr:col>
      <xdr:colOff>0</xdr:colOff>
      <xdr:row>455</xdr:row>
      <xdr:rowOff>0</xdr:rowOff>
    </xdr:to>
    <xdr:sp macro="" textlink="AZ455">
      <xdr:nvSpPr>
        <xdr:cNvPr id="655" name="Text Box 1265"/>
        <xdr:cNvSpPr txBox="1">
          <a:spLocks noChangeArrowheads="1" noTextEdit="1"/>
        </xdr:cNvSpPr>
      </xdr:nvSpPr>
      <xdr:spPr bwMode="auto">
        <a:xfrm>
          <a:off x="14011275" y="5715000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2C24926A-A868-496C-9B9B-B5DD090B0D0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455</xdr:row>
      <xdr:rowOff>0</xdr:rowOff>
    </xdr:from>
    <xdr:to>
      <xdr:col>23</xdr:col>
      <xdr:colOff>0</xdr:colOff>
      <xdr:row>455</xdr:row>
      <xdr:rowOff>160193</xdr:rowOff>
    </xdr:to>
    <xdr:sp macro="" textlink="AZ456">
      <xdr:nvSpPr>
        <xdr:cNvPr id="656" name="Text Box 1267"/>
        <xdr:cNvSpPr txBox="1">
          <a:spLocks noChangeArrowheads="1" noTextEdit="1"/>
        </xdr:cNvSpPr>
      </xdr:nvSpPr>
      <xdr:spPr bwMode="auto">
        <a:xfrm>
          <a:off x="14011275" y="573119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49AF39AB-A643-4ED5-ADF2-F06EC6905A1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456</xdr:row>
      <xdr:rowOff>1</xdr:rowOff>
    </xdr:from>
    <xdr:to>
      <xdr:col>23</xdr:col>
      <xdr:colOff>0</xdr:colOff>
      <xdr:row>457</xdr:row>
      <xdr:rowOff>1</xdr:rowOff>
    </xdr:to>
    <xdr:sp macro="" textlink="AZ457">
      <xdr:nvSpPr>
        <xdr:cNvPr id="657" name="Text Box 1268"/>
        <xdr:cNvSpPr txBox="1">
          <a:spLocks noChangeArrowheads="1" noTextEdit="1"/>
        </xdr:cNvSpPr>
      </xdr:nvSpPr>
      <xdr:spPr bwMode="auto">
        <a:xfrm>
          <a:off x="14011275" y="57473851"/>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8D398ED-B610-4404-9317-3741BECE8A5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457</xdr:row>
      <xdr:rowOff>0</xdr:rowOff>
    </xdr:from>
    <xdr:to>
      <xdr:col>23</xdr:col>
      <xdr:colOff>0</xdr:colOff>
      <xdr:row>458</xdr:row>
      <xdr:rowOff>0</xdr:rowOff>
    </xdr:to>
    <xdr:sp macro="" textlink="AZ458">
      <xdr:nvSpPr>
        <xdr:cNvPr id="658" name="Text Box 1269"/>
        <xdr:cNvSpPr txBox="1">
          <a:spLocks noChangeArrowheads="1" noTextEdit="1"/>
        </xdr:cNvSpPr>
      </xdr:nvSpPr>
      <xdr:spPr bwMode="auto">
        <a:xfrm>
          <a:off x="14011275" y="576357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BB32771-E1B7-4E3B-8BD6-6BE6908913F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458</xdr:row>
      <xdr:rowOff>0</xdr:rowOff>
    </xdr:from>
    <xdr:to>
      <xdr:col>23</xdr:col>
      <xdr:colOff>0</xdr:colOff>
      <xdr:row>459</xdr:row>
      <xdr:rowOff>0</xdr:rowOff>
    </xdr:to>
    <xdr:sp macro="" textlink="AZ459">
      <xdr:nvSpPr>
        <xdr:cNvPr id="659" name="Text Box 1270"/>
        <xdr:cNvSpPr txBox="1">
          <a:spLocks noChangeArrowheads="1" noTextEdit="1"/>
        </xdr:cNvSpPr>
      </xdr:nvSpPr>
      <xdr:spPr bwMode="auto">
        <a:xfrm>
          <a:off x="14011275" y="577977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B741569-E81C-4068-8504-82350B542F0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459</xdr:row>
      <xdr:rowOff>0</xdr:rowOff>
    </xdr:from>
    <xdr:to>
      <xdr:col>23</xdr:col>
      <xdr:colOff>0</xdr:colOff>
      <xdr:row>460</xdr:row>
      <xdr:rowOff>0</xdr:rowOff>
    </xdr:to>
    <xdr:sp macro="" textlink="AZ460">
      <xdr:nvSpPr>
        <xdr:cNvPr id="660" name="Text Box 1271"/>
        <xdr:cNvSpPr txBox="1">
          <a:spLocks noChangeArrowheads="1" noTextEdit="1"/>
        </xdr:cNvSpPr>
      </xdr:nvSpPr>
      <xdr:spPr bwMode="auto">
        <a:xfrm>
          <a:off x="14011275" y="579596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864D70F-85E4-400B-B491-8F20D33E83C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460</xdr:row>
      <xdr:rowOff>0</xdr:rowOff>
    </xdr:from>
    <xdr:to>
      <xdr:col>23</xdr:col>
      <xdr:colOff>0</xdr:colOff>
      <xdr:row>460</xdr:row>
      <xdr:rowOff>160193</xdr:rowOff>
    </xdr:to>
    <xdr:sp macro="" textlink="AZ461">
      <xdr:nvSpPr>
        <xdr:cNvPr id="661" name="Text Box 1272"/>
        <xdr:cNvSpPr txBox="1">
          <a:spLocks noChangeArrowheads="1" noTextEdit="1"/>
        </xdr:cNvSpPr>
      </xdr:nvSpPr>
      <xdr:spPr bwMode="auto">
        <a:xfrm>
          <a:off x="14011275" y="581215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3AE36C87-6595-4E2D-89DD-91071DE2C5F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460</xdr:row>
      <xdr:rowOff>160193</xdr:rowOff>
    </xdr:from>
    <xdr:to>
      <xdr:col>23</xdr:col>
      <xdr:colOff>0</xdr:colOff>
      <xdr:row>461</xdr:row>
      <xdr:rowOff>160193</xdr:rowOff>
    </xdr:to>
    <xdr:sp macro="" textlink="AZ462">
      <xdr:nvSpPr>
        <xdr:cNvPr id="662" name="Text Box 1273"/>
        <xdr:cNvSpPr txBox="1">
          <a:spLocks noChangeArrowheads="1" noTextEdit="1"/>
        </xdr:cNvSpPr>
      </xdr:nvSpPr>
      <xdr:spPr bwMode="auto">
        <a:xfrm>
          <a:off x="14011275" y="582817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2ED4556-81F6-4E40-A173-DB8C50852E5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461</xdr:row>
      <xdr:rowOff>160193</xdr:rowOff>
    </xdr:from>
    <xdr:to>
      <xdr:col>23</xdr:col>
      <xdr:colOff>0</xdr:colOff>
      <xdr:row>463</xdr:row>
      <xdr:rowOff>0</xdr:rowOff>
    </xdr:to>
    <xdr:sp macro="" textlink="AZ463">
      <xdr:nvSpPr>
        <xdr:cNvPr id="663" name="Text Box 1277"/>
        <xdr:cNvSpPr txBox="1">
          <a:spLocks noChangeArrowheads="1" noTextEdit="1"/>
        </xdr:cNvSpPr>
      </xdr:nvSpPr>
      <xdr:spPr bwMode="auto">
        <a:xfrm>
          <a:off x="14011275" y="584436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DF75F45F-33E8-494D-BEA1-9FD1865A9CA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521</xdr:row>
      <xdr:rowOff>160193</xdr:rowOff>
    </xdr:from>
    <xdr:to>
      <xdr:col>23</xdr:col>
      <xdr:colOff>0</xdr:colOff>
      <xdr:row>523</xdr:row>
      <xdr:rowOff>0</xdr:rowOff>
    </xdr:to>
    <xdr:sp macro="" textlink="AZ523">
      <xdr:nvSpPr>
        <xdr:cNvPr id="664" name="Text Box 7260"/>
        <xdr:cNvSpPr txBox="1">
          <a:spLocks noChangeArrowheads="1" noTextEdit="1"/>
        </xdr:cNvSpPr>
      </xdr:nvSpPr>
      <xdr:spPr bwMode="auto">
        <a:xfrm>
          <a:off x="14011275" y="681591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70D5AD75-ADAC-419A-9E03-611B394566A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463</xdr:row>
      <xdr:rowOff>0</xdr:rowOff>
    </xdr:from>
    <xdr:to>
      <xdr:col>23</xdr:col>
      <xdr:colOff>0</xdr:colOff>
      <xdr:row>464</xdr:row>
      <xdr:rowOff>0</xdr:rowOff>
    </xdr:to>
    <xdr:sp macro="" textlink="AZ464">
      <xdr:nvSpPr>
        <xdr:cNvPr id="665" name="Text Box 7261"/>
        <xdr:cNvSpPr txBox="1">
          <a:spLocks noChangeArrowheads="1" noTextEdit="1"/>
        </xdr:cNvSpPr>
      </xdr:nvSpPr>
      <xdr:spPr bwMode="auto">
        <a:xfrm>
          <a:off x="14011275" y="58607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2A3B12E5-A02D-473C-9B57-C4B91359EEE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464</xdr:row>
      <xdr:rowOff>0</xdr:rowOff>
    </xdr:from>
    <xdr:to>
      <xdr:col>23</xdr:col>
      <xdr:colOff>0</xdr:colOff>
      <xdr:row>465</xdr:row>
      <xdr:rowOff>0</xdr:rowOff>
    </xdr:to>
    <xdr:sp macro="" textlink="AZ465">
      <xdr:nvSpPr>
        <xdr:cNvPr id="666" name="Text Box 7262"/>
        <xdr:cNvSpPr txBox="1">
          <a:spLocks noChangeArrowheads="1" noTextEdit="1"/>
        </xdr:cNvSpPr>
      </xdr:nvSpPr>
      <xdr:spPr bwMode="auto">
        <a:xfrm>
          <a:off x="14011275" y="587692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079B609-1562-492C-A8E8-B223141C511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465</xdr:row>
      <xdr:rowOff>0</xdr:rowOff>
    </xdr:from>
    <xdr:to>
      <xdr:col>23</xdr:col>
      <xdr:colOff>0</xdr:colOff>
      <xdr:row>466</xdr:row>
      <xdr:rowOff>0</xdr:rowOff>
    </xdr:to>
    <xdr:sp macro="" textlink="AZ466">
      <xdr:nvSpPr>
        <xdr:cNvPr id="667" name="Text Box 7263"/>
        <xdr:cNvSpPr txBox="1">
          <a:spLocks noChangeArrowheads="1" noTextEdit="1"/>
        </xdr:cNvSpPr>
      </xdr:nvSpPr>
      <xdr:spPr bwMode="auto">
        <a:xfrm>
          <a:off x="14011275" y="589311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DB045F7-23AA-4A4F-907B-5B85627ADF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466</xdr:row>
      <xdr:rowOff>0</xdr:rowOff>
    </xdr:from>
    <xdr:to>
      <xdr:col>23</xdr:col>
      <xdr:colOff>0</xdr:colOff>
      <xdr:row>466</xdr:row>
      <xdr:rowOff>160193</xdr:rowOff>
    </xdr:to>
    <xdr:sp macro="" textlink="AZ467">
      <xdr:nvSpPr>
        <xdr:cNvPr id="668" name="Text Box 7264"/>
        <xdr:cNvSpPr txBox="1">
          <a:spLocks noChangeArrowheads="1" noTextEdit="1"/>
        </xdr:cNvSpPr>
      </xdr:nvSpPr>
      <xdr:spPr bwMode="auto">
        <a:xfrm>
          <a:off x="14011275" y="590931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9E076CB-16D9-477D-A069-6911CD64C97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466</xdr:row>
      <xdr:rowOff>160193</xdr:rowOff>
    </xdr:from>
    <xdr:to>
      <xdr:col>23</xdr:col>
      <xdr:colOff>0</xdr:colOff>
      <xdr:row>468</xdr:row>
      <xdr:rowOff>0</xdr:rowOff>
    </xdr:to>
    <xdr:sp macro="" textlink="AZ468">
      <xdr:nvSpPr>
        <xdr:cNvPr id="669" name="Text Box 7265"/>
        <xdr:cNvSpPr txBox="1">
          <a:spLocks noChangeArrowheads="1" noTextEdit="1"/>
        </xdr:cNvSpPr>
      </xdr:nvSpPr>
      <xdr:spPr bwMode="auto">
        <a:xfrm>
          <a:off x="14011275" y="592532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D3C74710-3EC8-414F-89B1-93266F65C02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468</xdr:row>
      <xdr:rowOff>0</xdr:rowOff>
    </xdr:from>
    <xdr:to>
      <xdr:col>23</xdr:col>
      <xdr:colOff>0</xdr:colOff>
      <xdr:row>469</xdr:row>
      <xdr:rowOff>0</xdr:rowOff>
    </xdr:to>
    <xdr:sp macro="" textlink="AZ469">
      <xdr:nvSpPr>
        <xdr:cNvPr id="670" name="Text Box 7266"/>
        <xdr:cNvSpPr txBox="1">
          <a:spLocks noChangeArrowheads="1" noTextEdit="1"/>
        </xdr:cNvSpPr>
      </xdr:nvSpPr>
      <xdr:spPr bwMode="auto">
        <a:xfrm>
          <a:off x="14011275" y="594169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A5F15F6-1884-49AA-8894-74F532B177C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469</xdr:row>
      <xdr:rowOff>0</xdr:rowOff>
    </xdr:from>
    <xdr:to>
      <xdr:col>23</xdr:col>
      <xdr:colOff>0</xdr:colOff>
      <xdr:row>470</xdr:row>
      <xdr:rowOff>0</xdr:rowOff>
    </xdr:to>
    <xdr:sp macro="" textlink="AZ470">
      <xdr:nvSpPr>
        <xdr:cNvPr id="671" name="Text Box 7267"/>
        <xdr:cNvSpPr txBox="1">
          <a:spLocks noChangeArrowheads="1" noTextEdit="1"/>
        </xdr:cNvSpPr>
      </xdr:nvSpPr>
      <xdr:spPr bwMode="auto">
        <a:xfrm>
          <a:off x="14011275" y="59578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E260003-30BA-45F7-8D8C-95FC1EC1C4F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470</xdr:row>
      <xdr:rowOff>0</xdr:rowOff>
    </xdr:from>
    <xdr:to>
      <xdr:col>23</xdr:col>
      <xdr:colOff>0</xdr:colOff>
      <xdr:row>471</xdr:row>
      <xdr:rowOff>0</xdr:rowOff>
    </xdr:to>
    <xdr:sp macro="" textlink="AZ471">
      <xdr:nvSpPr>
        <xdr:cNvPr id="672" name="Text Box 7268"/>
        <xdr:cNvSpPr txBox="1">
          <a:spLocks noChangeArrowheads="1" noTextEdit="1"/>
        </xdr:cNvSpPr>
      </xdr:nvSpPr>
      <xdr:spPr bwMode="auto">
        <a:xfrm>
          <a:off x="14011275" y="597408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81D0CEF-EF4A-4105-97A9-B13276A0276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471</xdr:row>
      <xdr:rowOff>0</xdr:rowOff>
    </xdr:from>
    <xdr:to>
      <xdr:col>23</xdr:col>
      <xdr:colOff>0</xdr:colOff>
      <xdr:row>471</xdr:row>
      <xdr:rowOff>160193</xdr:rowOff>
    </xdr:to>
    <xdr:sp macro="" textlink="AZ472">
      <xdr:nvSpPr>
        <xdr:cNvPr id="673" name="Text Box 7269"/>
        <xdr:cNvSpPr txBox="1">
          <a:spLocks noChangeArrowheads="1" noTextEdit="1"/>
        </xdr:cNvSpPr>
      </xdr:nvSpPr>
      <xdr:spPr bwMode="auto">
        <a:xfrm>
          <a:off x="14011275" y="599027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16D3CB98-E021-4CA8-9266-E5ABBBA04C7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471</xdr:row>
      <xdr:rowOff>160193</xdr:rowOff>
    </xdr:from>
    <xdr:to>
      <xdr:col>23</xdr:col>
      <xdr:colOff>0</xdr:colOff>
      <xdr:row>472</xdr:row>
      <xdr:rowOff>160193</xdr:rowOff>
    </xdr:to>
    <xdr:sp macro="" textlink="AZ473">
      <xdr:nvSpPr>
        <xdr:cNvPr id="674" name="Text Box 7270"/>
        <xdr:cNvSpPr txBox="1">
          <a:spLocks noChangeArrowheads="1" noTextEdit="1"/>
        </xdr:cNvSpPr>
      </xdr:nvSpPr>
      <xdr:spPr bwMode="auto">
        <a:xfrm>
          <a:off x="14011275" y="600629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1EC35A4-EDA3-45B1-A7B8-3E98E6EDF2D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472</xdr:row>
      <xdr:rowOff>160193</xdr:rowOff>
    </xdr:from>
    <xdr:to>
      <xdr:col>23</xdr:col>
      <xdr:colOff>0</xdr:colOff>
      <xdr:row>474</xdr:row>
      <xdr:rowOff>0</xdr:rowOff>
    </xdr:to>
    <xdr:sp macro="" textlink="AZ474">
      <xdr:nvSpPr>
        <xdr:cNvPr id="675" name="Text Box 7271"/>
        <xdr:cNvSpPr txBox="1">
          <a:spLocks noChangeArrowheads="1" noTextEdit="1"/>
        </xdr:cNvSpPr>
      </xdr:nvSpPr>
      <xdr:spPr bwMode="auto">
        <a:xfrm>
          <a:off x="14011275" y="602248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9D4B8C6-F925-4A57-8746-18B4B5B8F4C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474</xdr:row>
      <xdr:rowOff>0</xdr:rowOff>
    </xdr:from>
    <xdr:to>
      <xdr:col>23</xdr:col>
      <xdr:colOff>0</xdr:colOff>
      <xdr:row>475</xdr:row>
      <xdr:rowOff>0</xdr:rowOff>
    </xdr:to>
    <xdr:sp macro="" textlink="AZ475">
      <xdr:nvSpPr>
        <xdr:cNvPr id="676" name="Text Box 7272"/>
        <xdr:cNvSpPr txBox="1">
          <a:spLocks noChangeArrowheads="1" noTextEdit="1"/>
        </xdr:cNvSpPr>
      </xdr:nvSpPr>
      <xdr:spPr bwMode="auto">
        <a:xfrm>
          <a:off x="14011275" y="603885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B2987F6-4B55-4054-A00F-C59635C6237C}" type="TxLink">
            <a:rPr lang="en-US" sz="1000" b="1" i="1" u="none" strike="noStrike">
              <a:solidFill>
                <a:srgbClr val="FF0000"/>
              </a:solidFill>
              <a:latin typeface="Arial"/>
              <a:cs typeface="Arial"/>
            </a:rPr>
            <a:pPr algn="l"/>
            <a:t> </a:t>
          </a:fld>
          <a:endParaRPr lang="en-AU" b="1" i="1" u="none">
            <a:solidFill>
              <a:srgbClr val="FF0000"/>
            </a:solidFill>
          </a:endParaRPr>
        </a:p>
      </xdr:txBody>
    </xdr:sp>
    <xdr:clientData/>
  </xdr:twoCellAnchor>
  <xdr:twoCellAnchor>
    <xdr:from>
      <xdr:col>21</xdr:col>
      <xdr:colOff>0</xdr:colOff>
      <xdr:row>475</xdr:row>
      <xdr:rowOff>0</xdr:rowOff>
    </xdr:from>
    <xdr:to>
      <xdr:col>23</xdr:col>
      <xdr:colOff>0</xdr:colOff>
      <xdr:row>476</xdr:row>
      <xdr:rowOff>0</xdr:rowOff>
    </xdr:to>
    <xdr:sp macro="" textlink="AZ476">
      <xdr:nvSpPr>
        <xdr:cNvPr id="677" name="Text Box 7273"/>
        <xdr:cNvSpPr txBox="1">
          <a:spLocks noChangeArrowheads="1" noTextEdit="1"/>
        </xdr:cNvSpPr>
      </xdr:nvSpPr>
      <xdr:spPr bwMode="auto">
        <a:xfrm>
          <a:off x="14011275" y="605504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6C2C9DB-D904-439D-9770-FA74BA90271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476</xdr:row>
      <xdr:rowOff>0</xdr:rowOff>
    </xdr:from>
    <xdr:to>
      <xdr:col>23</xdr:col>
      <xdr:colOff>0</xdr:colOff>
      <xdr:row>477</xdr:row>
      <xdr:rowOff>0</xdr:rowOff>
    </xdr:to>
    <xdr:sp macro="" textlink="AZ477">
      <xdr:nvSpPr>
        <xdr:cNvPr id="678" name="Text Box 7274"/>
        <xdr:cNvSpPr txBox="1">
          <a:spLocks noChangeArrowheads="1" noTextEdit="1"/>
        </xdr:cNvSpPr>
      </xdr:nvSpPr>
      <xdr:spPr bwMode="auto">
        <a:xfrm>
          <a:off x="14011275" y="607123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6B42403B-F469-413B-8AFB-0B1845AF4A3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477</xdr:row>
      <xdr:rowOff>0</xdr:rowOff>
    </xdr:from>
    <xdr:to>
      <xdr:col>23</xdr:col>
      <xdr:colOff>0</xdr:colOff>
      <xdr:row>477</xdr:row>
      <xdr:rowOff>160193</xdr:rowOff>
    </xdr:to>
    <xdr:sp macro="" textlink="AZ478">
      <xdr:nvSpPr>
        <xdr:cNvPr id="679" name="Text Box 7275"/>
        <xdr:cNvSpPr txBox="1">
          <a:spLocks noChangeArrowheads="1" noTextEdit="1"/>
        </xdr:cNvSpPr>
      </xdr:nvSpPr>
      <xdr:spPr bwMode="auto">
        <a:xfrm>
          <a:off x="14011275" y="608742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1092897F-4E22-4499-B68C-CD1A05F439A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478</xdr:row>
      <xdr:rowOff>1</xdr:rowOff>
    </xdr:from>
    <xdr:to>
      <xdr:col>23</xdr:col>
      <xdr:colOff>0</xdr:colOff>
      <xdr:row>479</xdr:row>
      <xdr:rowOff>0</xdr:rowOff>
    </xdr:to>
    <xdr:sp macro="" textlink="AZ479">
      <xdr:nvSpPr>
        <xdr:cNvPr id="680" name="Text Box 7276"/>
        <xdr:cNvSpPr txBox="1">
          <a:spLocks noChangeArrowheads="1" noTextEdit="1"/>
        </xdr:cNvSpPr>
      </xdr:nvSpPr>
      <xdr:spPr bwMode="auto">
        <a:xfrm>
          <a:off x="14011275" y="6103620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19DEEE5E-DE28-4364-B2B5-592B1C83CFB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479</xdr:row>
      <xdr:rowOff>0</xdr:rowOff>
    </xdr:from>
    <xdr:to>
      <xdr:col>23</xdr:col>
      <xdr:colOff>0</xdr:colOff>
      <xdr:row>480</xdr:row>
      <xdr:rowOff>0</xdr:rowOff>
    </xdr:to>
    <xdr:sp macro="" textlink="AZ480">
      <xdr:nvSpPr>
        <xdr:cNvPr id="681" name="Text Box 7277"/>
        <xdr:cNvSpPr txBox="1">
          <a:spLocks noChangeArrowheads="1" noTextEdit="1"/>
        </xdr:cNvSpPr>
      </xdr:nvSpPr>
      <xdr:spPr bwMode="auto">
        <a:xfrm>
          <a:off x="14011275" y="61198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CE23A4C-7703-4CC3-A767-7B2C9A29D60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480</xdr:row>
      <xdr:rowOff>0</xdr:rowOff>
    </xdr:from>
    <xdr:to>
      <xdr:col>23</xdr:col>
      <xdr:colOff>0</xdr:colOff>
      <xdr:row>481</xdr:row>
      <xdr:rowOff>0</xdr:rowOff>
    </xdr:to>
    <xdr:sp macro="" textlink="AZ481">
      <xdr:nvSpPr>
        <xdr:cNvPr id="682" name="Text Box 7278"/>
        <xdr:cNvSpPr txBox="1">
          <a:spLocks noChangeArrowheads="1" noTextEdit="1"/>
        </xdr:cNvSpPr>
      </xdr:nvSpPr>
      <xdr:spPr bwMode="auto">
        <a:xfrm>
          <a:off x="14011275" y="613600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6EA5CF4-12EF-4B8C-977A-0B36D12BC11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481</xdr:row>
      <xdr:rowOff>0</xdr:rowOff>
    </xdr:from>
    <xdr:to>
      <xdr:col>23</xdr:col>
      <xdr:colOff>0</xdr:colOff>
      <xdr:row>482</xdr:row>
      <xdr:rowOff>0</xdr:rowOff>
    </xdr:to>
    <xdr:sp macro="" textlink="AZ482">
      <xdr:nvSpPr>
        <xdr:cNvPr id="683" name="Text Box 7279"/>
        <xdr:cNvSpPr txBox="1">
          <a:spLocks noChangeArrowheads="1" noTextEdit="1"/>
        </xdr:cNvSpPr>
      </xdr:nvSpPr>
      <xdr:spPr bwMode="auto">
        <a:xfrm>
          <a:off x="14011275" y="615219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D7D4F84C-3089-409F-BA52-5F63FAE85E8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482</xdr:row>
      <xdr:rowOff>0</xdr:rowOff>
    </xdr:from>
    <xdr:to>
      <xdr:col>23</xdr:col>
      <xdr:colOff>0</xdr:colOff>
      <xdr:row>482</xdr:row>
      <xdr:rowOff>160193</xdr:rowOff>
    </xdr:to>
    <xdr:sp macro="" textlink="AZ483">
      <xdr:nvSpPr>
        <xdr:cNvPr id="684" name="Text Box 7280"/>
        <xdr:cNvSpPr txBox="1">
          <a:spLocks noChangeArrowheads="1" noTextEdit="1"/>
        </xdr:cNvSpPr>
      </xdr:nvSpPr>
      <xdr:spPr bwMode="auto">
        <a:xfrm>
          <a:off x="14011275" y="616839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67289B50-EBE6-4162-8C08-B5987CBB61B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482</xdr:row>
      <xdr:rowOff>160193</xdr:rowOff>
    </xdr:from>
    <xdr:to>
      <xdr:col>23</xdr:col>
      <xdr:colOff>0</xdr:colOff>
      <xdr:row>483</xdr:row>
      <xdr:rowOff>160193</xdr:rowOff>
    </xdr:to>
    <xdr:sp macro="" textlink="AZ484">
      <xdr:nvSpPr>
        <xdr:cNvPr id="685" name="Text Box 7281"/>
        <xdr:cNvSpPr txBox="1">
          <a:spLocks noChangeArrowheads="1" noTextEdit="1"/>
        </xdr:cNvSpPr>
      </xdr:nvSpPr>
      <xdr:spPr bwMode="auto">
        <a:xfrm>
          <a:off x="14011275" y="6184409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D689B11-0443-47C7-B36B-202CA83407F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484</xdr:row>
      <xdr:rowOff>1</xdr:rowOff>
    </xdr:from>
    <xdr:to>
      <xdr:col>23</xdr:col>
      <xdr:colOff>0</xdr:colOff>
      <xdr:row>485</xdr:row>
      <xdr:rowOff>0</xdr:rowOff>
    </xdr:to>
    <xdr:sp macro="" textlink="AZ485">
      <xdr:nvSpPr>
        <xdr:cNvPr id="686" name="Text Box 7282"/>
        <xdr:cNvSpPr txBox="1">
          <a:spLocks noChangeArrowheads="1" noTextEdit="1"/>
        </xdr:cNvSpPr>
      </xdr:nvSpPr>
      <xdr:spPr bwMode="auto">
        <a:xfrm>
          <a:off x="14011275" y="620077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AEA63334-9B5B-49C6-9F67-2AE4C7A56BE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485</xdr:row>
      <xdr:rowOff>0</xdr:rowOff>
    </xdr:from>
    <xdr:to>
      <xdr:col>23</xdr:col>
      <xdr:colOff>0</xdr:colOff>
      <xdr:row>486</xdr:row>
      <xdr:rowOff>0</xdr:rowOff>
    </xdr:to>
    <xdr:sp macro="" textlink="AZ486">
      <xdr:nvSpPr>
        <xdr:cNvPr id="687" name="Text Box 7283"/>
        <xdr:cNvSpPr txBox="1">
          <a:spLocks noChangeArrowheads="1" noTextEdit="1"/>
        </xdr:cNvSpPr>
      </xdr:nvSpPr>
      <xdr:spPr bwMode="auto">
        <a:xfrm>
          <a:off x="14011275" y="621696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13BD034-83B3-461B-84C5-375F02E92277}"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486</xdr:row>
      <xdr:rowOff>0</xdr:rowOff>
    </xdr:from>
    <xdr:to>
      <xdr:col>23</xdr:col>
      <xdr:colOff>0</xdr:colOff>
      <xdr:row>487</xdr:row>
      <xdr:rowOff>0</xdr:rowOff>
    </xdr:to>
    <xdr:sp macro="" textlink="AZ487">
      <xdr:nvSpPr>
        <xdr:cNvPr id="688" name="Text Box 7284"/>
        <xdr:cNvSpPr txBox="1">
          <a:spLocks noChangeArrowheads="1" noTextEdit="1"/>
        </xdr:cNvSpPr>
      </xdr:nvSpPr>
      <xdr:spPr bwMode="auto">
        <a:xfrm>
          <a:off x="14011275" y="623316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46323D08-BD7B-4F7D-8F8A-9C2490630C1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487</xdr:row>
      <xdr:rowOff>0</xdr:rowOff>
    </xdr:from>
    <xdr:to>
      <xdr:col>23</xdr:col>
      <xdr:colOff>0</xdr:colOff>
      <xdr:row>488</xdr:row>
      <xdr:rowOff>0</xdr:rowOff>
    </xdr:to>
    <xdr:sp macro="" textlink="AZ488">
      <xdr:nvSpPr>
        <xdr:cNvPr id="689" name="Text Box 7285"/>
        <xdr:cNvSpPr txBox="1">
          <a:spLocks noChangeArrowheads="1" noTextEdit="1"/>
        </xdr:cNvSpPr>
      </xdr:nvSpPr>
      <xdr:spPr bwMode="auto">
        <a:xfrm>
          <a:off x="14011275" y="624935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2A10532-096A-4B5B-9730-C9B84B9D1F1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488</xdr:row>
      <xdr:rowOff>0</xdr:rowOff>
    </xdr:from>
    <xdr:to>
      <xdr:col>23</xdr:col>
      <xdr:colOff>0</xdr:colOff>
      <xdr:row>488</xdr:row>
      <xdr:rowOff>160193</xdr:rowOff>
    </xdr:to>
    <xdr:sp macro="" textlink="AZ489">
      <xdr:nvSpPr>
        <xdr:cNvPr id="690" name="Text Box 7286"/>
        <xdr:cNvSpPr txBox="1">
          <a:spLocks noChangeArrowheads="1" noTextEdit="1"/>
        </xdr:cNvSpPr>
      </xdr:nvSpPr>
      <xdr:spPr bwMode="auto">
        <a:xfrm>
          <a:off x="14011275" y="6265545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1B9DC46-6B8A-4CBC-9A8F-30B4D6E856E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488</xdr:row>
      <xdr:rowOff>160193</xdr:rowOff>
    </xdr:from>
    <xdr:to>
      <xdr:col>23</xdr:col>
      <xdr:colOff>0</xdr:colOff>
      <xdr:row>490</xdr:row>
      <xdr:rowOff>0</xdr:rowOff>
    </xdr:to>
    <xdr:sp macro="" textlink="AZ490">
      <xdr:nvSpPr>
        <xdr:cNvPr id="691" name="Text Box 7287"/>
        <xdr:cNvSpPr txBox="1">
          <a:spLocks noChangeArrowheads="1" noTextEdit="1"/>
        </xdr:cNvSpPr>
      </xdr:nvSpPr>
      <xdr:spPr bwMode="auto">
        <a:xfrm>
          <a:off x="14011275" y="628156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5DAE08E2-02C4-4D0E-A219-EA643F947AC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490</xdr:row>
      <xdr:rowOff>0</xdr:rowOff>
    </xdr:from>
    <xdr:to>
      <xdr:col>23</xdr:col>
      <xdr:colOff>0</xdr:colOff>
      <xdr:row>491</xdr:row>
      <xdr:rowOff>0</xdr:rowOff>
    </xdr:to>
    <xdr:sp macro="" textlink="AZ491">
      <xdr:nvSpPr>
        <xdr:cNvPr id="692" name="Text Box 7288"/>
        <xdr:cNvSpPr txBox="1">
          <a:spLocks noChangeArrowheads="1" noTextEdit="1"/>
        </xdr:cNvSpPr>
      </xdr:nvSpPr>
      <xdr:spPr bwMode="auto">
        <a:xfrm>
          <a:off x="14011275" y="629793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E5559C2-6E49-4601-A641-4248104DAC5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491</xdr:row>
      <xdr:rowOff>0</xdr:rowOff>
    </xdr:from>
    <xdr:to>
      <xdr:col>23</xdr:col>
      <xdr:colOff>0</xdr:colOff>
      <xdr:row>492</xdr:row>
      <xdr:rowOff>0</xdr:rowOff>
    </xdr:to>
    <xdr:sp macro="" textlink="AZ492">
      <xdr:nvSpPr>
        <xdr:cNvPr id="693" name="Text Box 7289"/>
        <xdr:cNvSpPr txBox="1">
          <a:spLocks noChangeArrowheads="1" noTextEdit="1"/>
        </xdr:cNvSpPr>
      </xdr:nvSpPr>
      <xdr:spPr bwMode="auto">
        <a:xfrm>
          <a:off x="14011275" y="631412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5D5097CF-6162-48E8-AB3D-89E6A9D848D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492</xdr:row>
      <xdr:rowOff>0</xdr:rowOff>
    </xdr:from>
    <xdr:to>
      <xdr:col>23</xdr:col>
      <xdr:colOff>0</xdr:colOff>
      <xdr:row>493</xdr:row>
      <xdr:rowOff>0</xdr:rowOff>
    </xdr:to>
    <xdr:sp macro="" textlink="AZ493">
      <xdr:nvSpPr>
        <xdr:cNvPr id="694" name="Text Box 7290"/>
        <xdr:cNvSpPr txBox="1">
          <a:spLocks noChangeArrowheads="1" noTextEdit="1"/>
        </xdr:cNvSpPr>
      </xdr:nvSpPr>
      <xdr:spPr bwMode="auto">
        <a:xfrm>
          <a:off x="14011275" y="633031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37B6529A-D418-48E0-BF06-BE9E73BB939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493</xdr:row>
      <xdr:rowOff>0</xdr:rowOff>
    </xdr:from>
    <xdr:to>
      <xdr:col>23</xdr:col>
      <xdr:colOff>0</xdr:colOff>
      <xdr:row>493</xdr:row>
      <xdr:rowOff>160193</xdr:rowOff>
    </xdr:to>
    <xdr:sp macro="" textlink="AZ494">
      <xdr:nvSpPr>
        <xdr:cNvPr id="695" name="Text Box 7291"/>
        <xdr:cNvSpPr txBox="1">
          <a:spLocks noChangeArrowheads="1" noTextEdit="1"/>
        </xdr:cNvSpPr>
      </xdr:nvSpPr>
      <xdr:spPr bwMode="auto">
        <a:xfrm>
          <a:off x="14011275" y="634650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F91E63C4-BF55-49D4-8F1A-0043EAAF143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493</xdr:row>
      <xdr:rowOff>160193</xdr:rowOff>
    </xdr:from>
    <xdr:to>
      <xdr:col>23</xdr:col>
      <xdr:colOff>0</xdr:colOff>
      <xdr:row>494</xdr:row>
      <xdr:rowOff>160193</xdr:rowOff>
    </xdr:to>
    <xdr:sp macro="" textlink="AZ495">
      <xdr:nvSpPr>
        <xdr:cNvPr id="696" name="Text Box 7292"/>
        <xdr:cNvSpPr txBox="1">
          <a:spLocks noChangeArrowheads="1" noTextEdit="1"/>
        </xdr:cNvSpPr>
      </xdr:nvSpPr>
      <xdr:spPr bwMode="auto">
        <a:xfrm>
          <a:off x="14011275" y="6362526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AA7674E0-17A6-4179-8A56-91189D9D926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494</xdr:row>
      <xdr:rowOff>160193</xdr:rowOff>
    </xdr:from>
    <xdr:to>
      <xdr:col>23</xdr:col>
      <xdr:colOff>0</xdr:colOff>
      <xdr:row>496</xdr:row>
      <xdr:rowOff>0</xdr:rowOff>
    </xdr:to>
    <xdr:sp macro="" textlink="AZ496">
      <xdr:nvSpPr>
        <xdr:cNvPr id="697" name="Text Box 7293"/>
        <xdr:cNvSpPr txBox="1">
          <a:spLocks noChangeArrowheads="1" noTextEdit="1"/>
        </xdr:cNvSpPr>
      </xdr:nvSpPr>
      <xdr:spPr bwMode="auto">
        <a:xfrm>
          <a:off x="14011275" y="637871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64C01ADA-8C0A-4416-B6F7-20EC25B7E0B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496</xdr:row>
      <xdr:rowOff>0</xdr:rowOff>
    </xdr:from>
    <xdr:to>
      <xdr:col>23</xdr:col>
      <xdr:colOff>0</xdr:colOff>
      <xdr:row>497</xdr:row>
      <xdr:rowOff>0</xdr:rowOff>
    </xdr:to>
    <xdr:sp macro="" textlink="AZ497">
      <xdr:nvSpPr>
        <xdr:cNvPr id="698" name="Text Box 7294"/>
        <xdr:cNvSpPr txBox="1">
          <a:spLocks noChangeArrowheads="1" noTextEdit="1"/>
        </xdr:cNvSpPr>
      </xdr:nvSpPr>
      <xdr:spPr bwMode="auto">
        <a:xfrm>
          <a:off x="14011275" y="639508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8DE0F8EE-91C6-451B-9AA6-8D7379E7D8E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497</xdr:row>
      <xdr:rowOff>0</xdr:rowOff>
    </xdr:from>
    <xdr:to>
      <xdr:col>23</xdr:col>
      <xdr:colOff>0</xdr:colOff>
      <xdr:row>498</xdr:row>
      <xdr:rowOff>0</xdr:rowOff>
    </xdr:to>
    <xdr:sp macro="" textlink="AZ498">
      <xdr:nvSpPr>
        <xdr:cNvPr id="699" name="Text Box 7295"/>
        <xdr:cNvSpPr txBox="1">
          <a:spLocks noChangeArrowheads="1" noTextEdit="1"/>
        </xdr:cNvSpPr>
      </xdr:nvSpPr>
      <xdr:spPr bwMode="auto">
        <a:xfrm>
          <a:off x="14011275" y="641127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EC6BE4DC-55E7-45EC-95E9-F13AE76F123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498</xdr:row>
      <xdr:rowOff>0</xdr:rowOff>
    </xdr:from>
    <xdr:to>
      <xdr:col>23</xdr:col>
      <xdr:colOff>0</xdr:colOff>
      <xdr:row>499</xdr:row>
      <xdr:rowOff>0</xdr:rowOff>
    </xdr:to>
    <xdr:sp macro="" textlink="AZ499">
      <xdr:nvSpPr>
        <xdr:cNvPr id="700" name="Text Box 7296"/>
        <xdr:cNvSpPr txBox="1">
          <a:spLocks noChangeArrowheads="1" noTextEdit="1"/>
        </xdr:cNvSpPr>
      </xdr:nvSpPr>
      <xdr:spPr bwMode="auto">
        <a:xfrm>
          <a:off x="14011275" y="642747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A4C0CFE-6AE4-48C2-9043-8F8B05C71C4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499</xdr:row>
      <xdr:rowOff>0</xdr:rowOff>
    </xdr:from>
    <xdr:to>
      <xdr:col>23</xdr:col>
      <xdr:colOff>0</xdr:colOff>
      <xdr:row>499</xdr:row>
      <xdr:rowOff>160193</xdr:rowOff>
    </xdr:to>
    <xdr:sp macro="" textlink="AZ500">
      <xdr:nvSpPr>
        <xdr:cNvPr id="701" name="Text Box 7297"/>
        <xdr:cNvSpPr txBox="1">
          <a:spLocks noChangeArrowheads="1" noTextEdit="1"/>
        </xdr:cNvSpPr>
      </xdr:nvSpPr>
      <xdr:spPr bwMode="auto">
        <a:xfrm>
          <a:off x="14011275" y="644366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B8ACD13A-A6ED-445A-8D4F-83AE6959E190}"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500</xdr:row>
      <xdr:rowOff>1</xdr:rowOff>
    </xdr:from>
    <xdr:to>
      <xdr:col>23</xdr:col>
      <xdr:colOff>0</xdr:colOff>
      <xdr:row>501</xdr:row>
      <xdr:rowOff>0</xdr:rowOff>
    </xdr:to>
    <xdr:sp macro="" textlink="AZ501">
      <xdr:nvSpPr>
        <xdr:cNvPr id="702" name="Text Box 7298"/>
        <xdr:cNvSpPr txBox="1">
          <a:spLocks noChangeArrowheads="1" noTextEdit="1"/>
        </xdr:cNvSpPr>
      </xdr:nvSpPr>
      <xdr:spPr bwMode="auto">
        <a:xfrm>
          <a:off x="14011275" y="64598551"/>
          <a:ext cx="2305050" cy="161924"/>
        </a:xfrm>
        <a:prstGeom prst="rect">
          <a:avLst/>
        </a:prstGeom>
        <a:noFill/>
        <a:ln w="9525" algn="ctr">
          <a:noFill/>
          <a:miter lim="800000"/>
          <a:headEnd/>
          <a:tailEnd/>
        </a:ln>
        <a:effectLst/>
      </xdr:spPr>
      <xdr:txBody>
        <a:bodyPr vertOverflow="clip" horzOverflow="clip" lIns="72000" tIns="36000" rIns="36000" bIns="36000" anchor="ctr"/>
        <a:lstStyle/>
        <a:p>
          <a:pPr algn="l"/>
          <a:fld id="{07D6ACE4-DE2E-4BB3-AC7A-29B5E48605C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501</xdr:row>
      <xdr:rowOff>0</xdr:rowOff>
    </xdr:from>
    <xdr:to>
      <xdr:col>23</xdr:col>
      <xdr:colOff>0</xdr:colOff>
      <xdr:row>502</xdr:row>
      <xdr:rowOff>0</xdr:rowOff>
    </xdr:to>
    <xdr:sp macro="" textlink="AZ502">
      <xdr:nvSpPr>
        <xdr:cNvPr id="703" name="Text Box 7299"/>
        <xdr:cNvSpPr txBox="1">
          <a:spLocks noChangeArrowheads="1" noTextEdit="1"/>
        </xdr:cNvSpPr>
      </xdr:nvSpPr>
      <xdr:spPr bwMode="auto">
        <a:xfrm>
          <a:off x="14011275" y="647604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1480E33F-225F-4772-BFFB-8B0D88D3F52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502</xdr:row>
      <xdr:rowOff>0</xdr:rowOff>
    </xdr:from>
    <xdr:to>
      <xdr:col>23</xdr:col>
      <xdr:colOff>0</xdr:colOff>
      <xdr:row>503</xdr:row>
      <xdr:rowOff>0</xdr:rowOff>
    </xdr:to>
    <xdr:sp macro="" textlink="AZ503">
      <xdr:nvSpPr>
        <xdr:cNvPr id="704" name="Text Box 7300"/>
        <xdr:cNvSpPr txBox="1">
          <a:spLocks noChangeArrowheads="1" noTextEdit="1"/>
        </xdr:cNvSpPr>
      </xdr:nvSpPr>
      <xdr:spPr bwMode="auto">
        <a:xfrm>
          <a:off x="14011275" y="649224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AF1F383-AE34-4929-AF38-229FEF8D823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503</xdr:row>
      <xdr:rowOff>0</xdr:rowOff>
    </xdr:from>
    <xdr:to>
      <xdr:col>23</xdr:col>
      <xdr:colOff>0</xdr:colOff>
      <xdr:row>504</xdr:row>
      <xdr:rowOff>0</xdr:rowOff>
    </xdr:to>
    <xdr:sp macro="" textlink="AZ504">
      <xdr:nvSpPr>
        <xdr:cNvPr id="705" name="Text Box 7301"/>
        <xdr:cNvSpPr txBox="1">
          <a:spLocks noChangeArrowheads="1" noTextEdit="1"/>
        </xdr:cNvSpPr>
      </xdr:nvSpPr>
      <xdr:spPr bwMode="auto">
        <a:xfrm>
          <a:off x="14011275" y="650843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A9EE5BD-6F7E-428F-B3A1-3A527C2DCB5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504</xdr:row>
      <xdr:rowOff>0</xdr:rowOff>
    </xdr:from>
    <xdr:to>
      <xdr:col>23</xdr:col>
      <xdr:colOff>0</xdr:colOff>
      <xdr:row>504</xdr:row>
      <xdr:rowOff>160193</xdr:rowOff>
    </xdr:to>
    <xdr:sp macro="" textlink="AZ505">
      <xdr:nvSpPr>
        <xdr:cNvPr id="706" name="Text Box 7302"/>
        <xdr:cNvSpPr txBox="1">
          <a:spLocks noChangeArrowheads="1" noTextEdit="1"/>
        </xdr:cNvSpPr>
      </xdr:nvSpPr>
      <xdr:spPr bwMode="auto">
        <a:xfrm>
          <a:off x="14011275" y="65246250"/>
          <a:ext cx="2305050" cy="160193"/>
        </a:xfrm>
        <a:prstGeom prst="rect">
          <a:avLst/>
        </a:prstGeom>
        <a:noFill/>
        <a:ln w="9525" algn="ctr">
          <a:noFill/>
          <a:miter lim="800000"/>
          <a:headEnd/>
          <a:tailEnd/>
        </a:ln>
        <a:effectLst/>
      </xdr:spPr>
      <xdr:txBody>
        <a:bodyPr vertOverflow="clip" horzOverflow="clip" lIns="72000" anchor="ctr"/>
        <a:lstStyle/>
        <a:p>
          <a:pPr algn="l"/>
          <a:fld id="{573F24AF-D6F3-4637-AC9A-99A2770EEED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504</xdr:row>
      <xdr:rowOff>160193</xdr:rowOff>
    </xdr:from>
    <xdr:to>
      <xdr:col>23</xdr:col>
      <xdr:colOff>0</xdr:colOff>
      <xdr:row>505</xdr:row>
      <xdr:rowOff>160193</xdr:rowOff>
    </xdr:to>
    <xdr:sp macro="" textlink="AZ506">
      <xdr:nvSpPr>
        <xdr:cNvPr id="707" name="Text Box 7303"/>
        <xdr:cNvSpPr txBox="1">
          <a:spLocks noChangeArrowheads="1" noTextEdit="1"/>
        </xdr:cNvSpPr>
      </xdr:nvSpPr>
      <xdr:spPr bwMode="auto">
        <a:xfrm>
          <a:off x="14011275" y="65406443"/>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204C4B7-142C-428A-862D-A44977E913AE}"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505</xdr:row>
      <xdr:rowOff>160193</xdr:rowOff>
    </xdr:from>
    <xdr:to>
      <xdr:col>23</xdr:col>
      <xdr:colOff>0</xdr:colOff>
      <xdr:row>507</xdr:row>
      <xdr:rowOff>0</xdr:rowOff>
    </xdr:to>
    <xdr:sp macro="" textlink="AZ507">
      <xdr:nvSpPr>
        <xdr:cNvPr id="708" name="Text Box 7304"/>
        <xdr:cNvSpPr txBox="1">
          <a:spLocks noChangeArrowheads="1" noTextEdit="1"/>
        </xdr:cNvSpPr>
      </xdr:nvSpPr>
      <xdr:spPr bwMode="auto">
        <a:xfrm>
          <a:off x="14011275" y="65568368"/>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EDC63101-B8FA-4E2E-8A21-CAEA64B7EA19}"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507</xdr:row>
      <xdr:rowOff>0</xdr:rowOff>
    </xdr:from>
    <xdr:to>
      <xdr:col>23</xdr:col>
      <xdr:colOff>0</xdr:colOff>
      <xdr:row>508</xdr:row>
      <xdr:rowOff>0</xdr:rowOff>
    </xdr:to>
    <xdr:sp macro="" textlink="AZ508">
      <xdr:nvSpPr>
        <xdr:cNvPr id="709" name="Text Box 7305"/>
        <xdr:cNvSpPr txBox="1">
          <a:spLocks noChangeArrowheads="1" noTextEdit="1"/>
        </xdr:cNvSpPr>
      </xdr:nvSpPr>
      <xdr:spPr bwMode="auto">
        <a:xfrm>
          <a:off x="14011275" y="657320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C0A8E17-28E2-44C0-96DB-D2542DE17078}"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508</xdr:row>
      <xdr:rowOff>0</xdr:rowOff>
    </xdr:from>
    <xdr:to>
      <xdr:col>23</xdr:col>
      <xdr:colOff>0</xdr:colOff>
      <xdr:row>509</xdr:row>
      <xdr:rowOff>0</xdr:rowOff>
    </xdr:to>
    <xdr:sp macro="" textlink="AZ509">
      <xdr:nvSpPr>
        <xdr:cNvPr id="710" name="Text Box 7306"/>
        <xdr:cNvSpPr txBox="1">
          <a:spLocks noChangeArrowheads="1" noTextEdit="1"/>
        </xdr:cNvSpPr>
      </xdr:nvSpPr>
      <xdr:spPr bwMode="auto">
        <a:xfrm>
          <a:off x="14011275" y="658939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7945C7C-86B6-419F-85AA-2A007BD0565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509</xdr:row>
      <xdr:rowOff>0</xdr:rowOff>
    </xdr:from>
    <xdr:to>
      <xdr:col>23</xdr:col>
      <xdr:colOff>0</xdr:colOff>
      <xdr:row>510</xdr:row>
      <xdr:rowOff>0</xdr:rowOff>
    </xdr:to>
    <xdr:sp macro="" textlink="AZ510">
      <xdr:nvSpPr>
        <xdr:cNvPr id="711" name="Text Box 7307"/>
        <xdr:cNvSpPr txBox="1">
          <a:spLocks noChangeArrowheads="1" noTextEdit="1"/>
        </xdr:cNvSpPr>
      </xdr:nvSpPr>
      <xdr:spPr bwMode="auto">
        <a:xfrm>
          <a:off x="14011275" y="660558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0276B904-B1E1-4643-8E93-50452848DA0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510</xdr:row>
      <xdr:rowOff>0</xdr:rowOff>
    </xdr:from>
    <xdr:to>
      <xdr:col>23</xdr:col>
      <xdr:colOff>0</xdr:colOff>
      <xdr:row>510</xdr:row>
      <xdr:rowOff>160193</xdr:rowOff>
    </xdr:to>
    <xdr:sp macro="" textlink="AZ511">
      <xdr:nvSpPr>
        <xdr:cNvPr id="712" name="Text Box 7308"/>
        <xdr:cNvSpPr txBox="1">
          <a:spLocks noChangeArrowheads="1" noTextEdit="1"/>
        </xdr:cNvSpPr>
      </xdr:nvSpPr>
      <xdr:spPr bwMode="auto">
        <a:xfrm>
          <a:off x="14011275" y="66217800"/>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94D816AF-AC72-40FF-A712-47A634687313}"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510</xdr:row>
      <xdr:rowOff>160193</xdr:rowOff>
    </xdr:from>
    <xdr:to>
      <xdr:col>23</xdr:col>
      <xdr:colOff>0</xdr:colOff>
      <xdr:row>512</xdr:row>
      <xdr:rowOff>0</xdr:rowOff>
    </xdr:to>
    <xdr:sp macro="" textlink="AZ512">
      <xdr:nvSpPr>
        <xdr:cNvPr id="713" name="Text Box 7309"/>
        <xdr:cNvSpPr txBox="1">
          <a:spLocks noChangeArrowheads="1" noTextEdit="1"/>
        </xdr:cNvSpPr>
      </xdr:nvSpPr>
      <xdr:spPr bwMode="auto">
        <a:xfrm>
          <a:off x="14011275" y="6637799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378CE5E0-B85B-4AA8-93AD-D79E3CF0A33F}"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512</xdr:row>
      <xdr:rowOff>0</xdr:rowOff>
    </xdr:from>
    <xdr:to>
      <xdr:col>23</xdr:col>
      <xdr:colOff>0</xdr:colOff>
      <xdr:row>513</xdr:row>
      <xdr:rowOff>0</xdr:rowOff>
    </xdr:to>
    <xdr:sp macro="" textlink="AZ513">
      <xdr:nvSpPr>
        <xdr:cNvPr id="714" name="Text Box 7310"/>
        <xdr:cNvSpPr txBox="1">
          <a:spLocks noChangeArrowheads="1" noTextEdit="1"/>
        </xdr:cNvSpPr>
      </xdr:nvSpPr>
      <xdr:spPr bwMode="auto">
        <a:xfrm>
          <a:off x="14011275" y="6654165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C45BD5DC-5A70-47EB-9591-4329784F8391}"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513</xdr:row>
      <xdr:rowOff>0</xdr:rowOff>
    </xdr:from>
    <xdr:to>
      <xdr:col>23</xdr:col>
      <xdr:colOff>0</xdr:colOff>
      <xdr:row>514</xdr:row>
      <xdr:rowOff>0</xdr:rowOff>
    </xdr:to>
    <xdr:sp macro="" textlink="AZ514">
      <xdr:nvSpPr>
        <xdr:cNvPr id="715" name="Text Box 7311"/>
        <xdr:cNvSpPr txBox="1">
          <a:spLocks noChangeArrowheads="1" noTextEdit="1"/>
        </xdr:cNvSpPr>
      </xdr:nvSpPr>
      <xdr:spPr bwMode="auto">
        <a:xfrm>
          <a:off x="14011275" y="6670357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CAA1295-F8AD-4210-97A8-DAEF00F30C02}"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514</xdr:row>
      <xdr:rowOff>0</xdr:rowOff>
    </xdr:from>
    <xdr:to>
      <xdr:col>23</xdr:col>
      <xdr:colOff>0</xdr:colOff>
      <xdr:row>515</xdr:row>
      <xdr:rowOff>0</xdr:rowOff>
    </xdr:to>
    <xdr:sp macro="" textlink="AZ515">
      <xdr:nvSpPr>
        <xdr:cNvPr id="716" name="Text Box 7312"/>
        <xdr:cNvSpPr txBox="1">
          <a:spLocks noChangeArrowheads="1" noTextEdit="1"/>
        </xdr:cNvSpPr>
      </xdr:nvSpPr>
      <xdr:spPr bwMode="auto">
        <a:xfrm>
          <a:off x="14011275" y="668655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B10F59C8-0C0E-4955-A0CA-2808CCC5E3E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515</xdr:row>
      <xdr:rowOff>0</xdr:rowOff>
    </xdr:from>
    <xdr:to>
      <xdr:col>23</xdr:col>
      <xdr:colOff>0</xdr:colOff>
      <xdr:row>515</xdr:row>
      <xdr:rowOff>160193</xdr:rowOff>
    </xdr:to>
    <xdr:sp macro="" textlink="AZ516">
      <xdr:nvSpPr>
        <xdr:cNvPr id="717" name="Text Box 7313"/>
        <xdr:cNvSpPr txBox="1">
          <a:spLocks noChangeArrowheads="1" noTextEdit="1"/>
        </xdr:cNvSpPr>
      </xdr:nvSpPr>
      <xdr:spPr bwMode="auto">
        <a:xfrm>
          <a:off x="14011275" y="6702742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F74908F-3BFD-46BA-9B8D-C8697E83C274}"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515</xdr:row>
      <xdr:rowOff>160193</xdr:rowOff>
    </xdr:from>
    <xdr:to>
      <xdr:col>23</xdr:col>
      <xdr:colOff>0</xdr:colOff>
      <xdr:row>516</xdr:row>
      <xdr:rowOff>160193</xdr:rowOff>
    </xdr:to>
    <xdr:sp macro="" textlink="AZ516">
      <xdr:nvSpPr>
        <xdr:cNvPr id="718" name="Text Box 7314"/>
        <xdr:cNvSpPr txBox="1">
          <a:spLocks noChangeArrowheads="1" noTextEdit="1"/>
        </xdr:cNvSpPr>
      </xdr:nvSpPr>
      <xdr:spPr bwMode="auto">
        <a:xfrm>
          <a:off x="14011275" y="67187618"/>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9A5FBB8B-737C-4456-99F6-024F53E77FA6}"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516</xdr:row>
      <xdr:rowOff>160193</xdr:rowOff>
    </xdr:from>
    <xdr:to>
      <xdr:col>23</xdr:col>
      <xdr:colOff>0</xdr:colOff>
      <xdr:row>518</xdr:row>
      <xdr:rowOff>0</xdr:rowOff>
    </xdr:to>
    <xdr:sp macro="" textlink="AZ517">
      <xdr:nvSpPr>
        <xdr:cNvPr id="719" name="Text Box 7315"/>
        <xdr:cNvSpPr txBox="1">
          <a:spLocks noChangeArrowheads="1" noTextEdit="1"/>
        </xdr:cNvSpPr>
      </xdr:nvSpPr>
      <xdr:spPr bwMode="auto">
        <a:xfrm>
          <a:off x="14011275" y="67349543"/>
          <a:ext cx="2305050" cy="163657"/>
        </a:xfrm>
        <a:prstGeom prst="rect">
          <a:avLst/>
        </a:prstGeom>
        <a:noFill/>
        <a:ln w="9525" algn="ctr">
          <a:noFill/>
          <a:miter lim="800000"/>
          <a:headEnd/>
          <a:tailEnd/>
        </a:ln>
        <a:effectLst/>
      </xdr:spPr>
      <xdr:txBody>
        <a:bodyPr vertOverflow="clip" horzOverflow="clip" lIns="72000" tIns="36000" rIns="36000" bIns="36000" anchor="ctr"/>
        <a:lstStyle/>
        <a:p>
          <a:pPr algn="l"/>
          <a:fld id="{7488A66D-D847-4DF9-B8BC-E995EB650B8D}"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518</xdr:row>
      <xdr:rowOff>0</xdr:rowOff>
    </xdr:from>
    <xdr:to>
      <xdr:col>23</xdr:col>
      <xdr:colOff>0</xdr:colOff>
      <xdr:row>519</xdr:row>
      <xdr:rowOff>0</xdr:rowOff>
    </xdr:to>
    <xdr:sp macro="" textlink="AZ519">
      <xdr:nvSpPr>
        <xdr:cNvPr id="720" name="Text Box 7316"/>
        <xdr:cNvSpPr txBox="1">
          <a:spLocks noChangeArrowheads="1" noTextEdit="1"/>
        </xdr:cNvSpPr>
      </xdr:nvSpPr>
      <xdr:spPr bwMode="auto">
        <a:xfrm>
          <a:off x="14011275" y="67513200"/>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FDCAC4EB-F89D-4EE7-BAE1-326F6BC5432C}"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519</xdr:row>
      <xdr:rowOff>0</xdr:rowOff>
    </xdr:from>
    <xdr:to>
      <xdr:col>23</xdr:col>
      <xdr:colOff>0</xdr:colOff>
      <xdr:row>520</xdr:row>
      <xdr:rowOff>0</xdr:rowOff>
    </xdr:to>
    <xdr:sp macro="" textlink="AZ520">
      <xdr:nvSpPr>
        <xdr:cNvPr id="721" name="Text Box 7317"/>
        <xdr:cNvSpPr txBox="1">
          <a:spLocks noChangeArrowheads="1" noTextEdit="1"/>
        </xdr:cNvSpPr>
      </xdr:nvSpPr>
      <xdr:spPr bwMode="auto">
        <a:xfrm>
          <a:off x="14011275" y="67675125"/>
          <a:ext cx="2305050" cy="161925"/>
        </a:xfrm>
        <a:prstGeom prst="rect">
          <a:avLst/>
        </a:prstGeom>
        <a:noFill/>
        <a:ln w="9525" algn="ctr">
          <a:noFill/>
          <a:miter lim="800000"/>
          <a:headEnd/>
          <a:tailEnd/>
        </a:ln>
        <a:effectLst/>
      </xdr:spPr>
      <xdr:txBody>
        <a:bodyPr vertOverflow="clip" horzOverflow="clip" lIns="72000" tIns="36000" rIns="36000" bIns="36000" anchor="ctr"/>
        <a:lstStyle/>
        <a:p>
          <a:pPr algn="l"/>
          <a:fld id="{7BCBE5BC-EA19-4D99-8FE5-D02F981A4DAB}"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20</xdr:col>
      <xdr:colOff>1133475</xdr:colOff>
      <xdr:row>520</xdr:row>
      <xdr:rowOff>9525</xdr:rowOff>
    </xdr:from>
    <xdr:to>
      <xdr:col>22</xdr:col>
      <xdr:colOff>1390650</xdr:colOff>
      <xdr:row>521</xdr:row>
      <xdr:rowOff>9525</xdr:rowOff>
    </xdr:to>
    <xdr:sp macro="" textlink="AZ521">
      <xdr:nvSpPr>
        <xdr:cNvPr id="722" name="Text Box 7318"/>
        <xdr:cNvSpPr txBox="1">
          <a:spLocks noChangeArrowheads="1" noTextEdit="1"/>
        </xdr:cNvSpPr>
      </xdr:nvSpPr>
      <xdr:spPr bwMode="auto">
        <a:xfrm>
          <a:off x="14001750" y="67846575"/>
          <a:ext cx="2295525" cy="161925"/>
        </a:xfrm>
        <a:prstGeom prst="rect">
          <a:avLst/>
        </a:prstGeom>
        <a:noFill/>
        <a:ln w="9525" algn="ctr">
          <a:noFill/>
          <a:miter lim="800000"/>
          <a:headEnd/>
          <a:tailEnd/>
        </a:ln>
        <a:effectLst/>
      </xdr:spPr>
      <xdr:txBody>
        <a:bodyPr vertOverflow="clip" horzOverflow="clip" lIns="72000" tIns="36000" rIns="36000" bIns="36000" anchor="ctr"/>
        <a:lstStyle/>
        <a:p>
          <a:pPr algn="l"/>
          <a:fld id="{7329EDCB-742B-4973-8A6D-DB452BDD229A}"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21</xdr:col>
      <xdr:colOff>0</xdr:colOff>
      <xdr:row>521</xdr:row>
      <xdr:rowOff>0</xdr:rowOff>
    </xdr:from>
    <xdr:to>
      <xdr:col>23</xdr:col>
      <xdr:colOff>0</xdr:colOff>
      <xdr:row>521</xdr:row>
      <xdr:rowOff>160193</xdr:rowOff>
    </xdr:to>
    <xdr:sp macro="" textlink="AZ522">
      <xdr:nvSpPr>
        <xdr:cNvPr id="723" name="Text Box 7321"/>
        <xdr:cNvSpPr txBox="1">
          <a:spLocks noChangeArrowheads="1" noTextEdit="1"/>
        </xdr:cNvSpPr>
      </xdr:nvSpPr>
      <xdr:spPr bwMode="auto">
        <a:xfrm>
          <a:off x="14011275" y="67998975"/>
          <a:ext cx="2305050" cy="160193"/>
        </a:xfrm>
        <a:prstGeom prst="rect">
          <a:avLst/>
        </a:prstGeom>
        <a:noFill/>
        <a:ln w="9525" algn="ctr">
          <a:noFill/>
          <a:miter lim="800000"/>
          <a:headEnd/>
          <a:tailEnd/>
        </a:ln>
        <a:effectLst/>
      </xdr:spPr>
      <xdr:txBody>
        <a:bodyPr vertOverflow="clip" horzOverflow="clip" lIns="72000" tIns="36000" rIns="36000" bIns="36000" anchor="ctr"/>
        <a:lstStyle/>
        <a:p>
          <a:pPr algn="l"/>
          <a:fld id="{E5199666-C73E-4793-9164-8201B30AFC95}" type="TxLink">
            <a:rPr lang="en-US"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5</xdr:col>
      <xdr:colOff>336176</xdr:colOff>
      <xdr:row>0</xdr:row>
      <xdr:rowOff>437905</xdr:rowOff>
    </xdr:from>
    <xdr:to>
      <xdr:col>20</xdr:col>
      <xdr:colOff>630912</xdr:colOff>
      <xdr:row>0</xdr:row>
      <xdr:rowOff>1805214</xdr:rowOff>
    </xdr:to>
    <xdr:sp macro="" textlink="">
      <xdr:nvSpPr>
        <xdr:cNvPr id="726" name="TextBox 725">
          <a:extLst>
            <a:ext uri="{FF2B5EF4-FFF2-40B4-BE49-F238E27FC236}">
              <a16:creationId xmlns="" xmlns:a16="http://schemas.microsoft.com/office/drawing/2014/main" id="{00000000-0008-0000-0100-000002000000}"/>
            </a:ext>
          </a:extLst>
        </xdr:cNvPr>
        <xdr:cNvSpPr txBox="1"/>
      </xdr:nvSpPr>
      <xdr:spPr>
        <a:xfrm>
          <a:off x="1932747" y="437905"/>
          <a:ext cx="16977094" cy="1367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Inter" panose="020B0502030000000004" pitchFamily="34" charset="0"/>
              <a:ea typeface="Inter" panose="020B0502030000000004" pitchFamily="34" charset="0"/>
              <a:cs typeface="Arial" panose="020B0604020202020204" pitchFamily="34" charset="0"/>
            </a:rPr>
            <a:t>Non-residential Lighting</a:t>
          </a:r>
          <a:r>
            <a:rPr lang="en-US" sz="2400">
              <a:solidFill>
                <a:schemeClr val="bg1"/>
              </a:solidFill>
              <a:latin typeface="Inter" panose="020B0502030000000004" pitchFamily="34" charset="0"/>
              <a:ea typeface="Inter" panose="020B0502030000000004" pitchFamily="34" charset="0"/>
              <a:cs typeface="Arial" panose="020B0604020202020204" pitchFamily="34" charset="0"/>
            </a:rPr>
            <a:t/>
          </a:r>
          <a:br>
            <a:rPr lang="en-US" sz="2400">
              <a:solidFill>
                <a:schemeClr val="bg1"/>
              </a:solidFill>
              <a:latin typeface="Inter" panose="020B0502030000000004" pitchFamily="34" charset="0"/>
              <a:ea typeface="Inter" panose="020B0502030000000004" pitchFamily="34" charset="0"/>
              <a:cs typeface="Arial" panose="020B0604020202020204" pitchFamily="34" charset="0"/>
            </a:rPr>
          </a:br>
          <a:r>
            <a:rPr lang="en-US" sz="1600">
              <a:solidFill>
                <a:schemeClr val="bg1"/>
              </a:solidFill>
              <a:latin typeface="Inter" panose="020B0502030000000004" pitchFamily="34" charset="0"/>
              <a:ea typeface="Inter" panose="020B0502030000000004" pitchFamily="34" charset="0"/>
              <a:cs typeface="Arial" panose="020B0604020202020204" pitchFamily="34" charset="0"/>
            </a:rPr>
            <a:t> </a:t>
          </a:r>
          <a:endParaRPr lang="en-US" sz="1600" baseline="0">
            <a:solidFill>
              <a:schemeClr val="bg1"/>
            </a:solidFill>
            <a:latin typeface="Inter" panose="020B0502030000000004" pitchFamily="34" charset="0"/>
            <a:ea typeface="Inter" panose="020B0502030000000004" pitchFamily="34" charset="0"/>
            <a:cs typeface="Arial" panose="020B0604020202020204" pitchFamily="34" charset="0"/>
          </a:endParaRPr>
        </a:p>
        <a:p>
          <a:pPr algn="ctr">
            <a:lnSpc>
              <a:spcPct val="75000"/>
            </a:lnSpc>
          </a:pPr>
          <a:r>
            <a:rPr lang="en-US" sz="1600" baseline="0">
              <a:solidFill>
                <a:schemeClr val="bg1"/>
              </a:solidFill>
              <a:latin typeface="Inter" panose="020B0502030000000004" pitchFamily="34" charset="0"/>
              <a:ea typeface="Inter" panose="020B0502030000000004" pitchFamily="34" charset="0"/>
              <a:cs typeface="Arial" panose="020B0604020202020204" pitchFamily="34" charset="0"/>
            </a:rPr>
            <a:t>Class 3 and 5-9 buildings</a:t>
          </a:r>
          <a:endParaRPr lang="en-US" sz="1600">
            <a:solidFill>
              <a:schemeClr val="bg1"/>
            </a:solidFill>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4</xdr:col>
      <xdr:colOff>112059</xdr:colOff>
      <xdr:row>2</xdr:row>
      <xdr:rowOff>89648</xdr:rowOff>
    </xdr:from>
    <xdr:to>
      <xdr:col>4</xdr:col>
      <xdr:colOff>1026459</xdr:colOff>
      <xdr:row>10</xdr:row>
      <xdr:rowOff>118783</xdr:rowOff>
    </xdr:to>
    <xdr:sp macro="" textlink="">
      <xdr:nvSpPr>
        <xdr:cNvPr id="3" name="Rectangle 2"/>
        <xdr:cNvSpPr/>
      </xdr:nvSpPr>
      <xdr:spPr bwMode="auto">
        <a:xfrm>
          <a:off x="593912" y="2711824"/>
          <a:ext cx="914400" cy="9144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2</xdr:col>
      <xdr:colOff>23812</xdr:colOff>
      <xdr:row>529</xdr:row>
      <xdr:rowOff>11210</xdr:rowOff>
    </xdr:from>
    <xdr:to>
      <xdr:col>22</xdr:col>
      <xdr:colOff>1345406</xdr:colOff>
      <xdr:row>534</xdr:row>
      <xdr:rowOff>107158</xdr:rowOff>
    </xdr:to>
    <xdr:grpSp>
      <xdr:nvGrpSpPr>
        <xdr:cNvPr id="729" name="Group 728"/>
        <xdr:cNvGrpSpPr/>
      </xdr:nvGrpSpPr>
      <xdr:grpSpPr>
        <a:xfrm>
          <a:off x="91047" y="9506328"/>
          <a:ext cx="22358771" cy="947595"/>
          <a:chOff x="71015" y="11586997"/>
          <a:chExt cx="20883221" cy="929191"/>
        </a:xfrm>
      </xdr:grpSpPr>
      <xdr:pic>
        <xdr:nvPicPr>
          <xdr:cNvPr id="730" name="Picture 729"/>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0536" y="12075258"/>
            <a:ext cx="943184" cy="332205"/>
          </a:xfrm>
          <a:prstGeom prst="rect">
            <a:avLst/>
          </a:prstGeom>
        </xdr:spPr>
      </xdr:pic>
      <xdr:sp macro="" textlink="">
        <xdr:nvSpPr>
          <xdr:cNvPr id="731" name="TextBox 730"/>
          <xdr:cNvSpPr txBox="1"/>
        </xdr:nvSpPr>
        <xdr:spPr>
          <a:xfrm>
            <a:off x="71015" y="11586997"/>
            <a:ext cx="20883221" cy="51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By accessing or using this calculator, you agree to the following: While care has been taken in the preparation of this calculator, it may not be complete or up-to-date. You can ensure that you are using a complete and up-to-date version by checking the Australian Building Codes Board website (</a:t>
            </a:r>
            <a:r>
              <a:rPr lang="en-AU" sz="800" u="none" strike="noStrike">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www.abcb.gov.au</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 The Australian Building Codes Board,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800" b="0" i="0" u="none" strike="noStrike" kern="0" cap="none" spc="0" normalizeH="0" baseline="0" noProof="0">
              <a:ln>
                <a:noFill/>
              </a:ln>
              <a:solidFill>
                <a:prstClr val="black"/>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sp macro="" textlink="">
        <xdr:nvSpPr>
          <xdr:cNvPr id="732" name="TextBox 731"/>
          <xdr:cNvSpPr txBox="1"/>
        </xdr:nvSpPr>
        <xdr:spPr>
          <a:xfrm>
            <a:off x="1139112" y="12000073"/>
            <a:ext cx="19815124" cy="516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AU" sz="800" b="0">
                <a:latin typeface="Inter" panose="020B0502030000000004" pitchFamily="34" charset="0"/>
                <a:ea typeface="Inter" panose="020B0502030000000004" pitchFamily="34" charset="0"/>
                <a:cs typeface="Arial" panose="020B0604020202020204" pitchFamily="34" charset="0"/>
              </a:rPr>
              <a:t>© Commonwealth of Australia and the States and Territories of Australia 2022, published by the Australian Building Codes Board.</a:t>
            </a:r>
          </a:p>
          <a:p>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The material in this publication is licensed under a Creative Commons Attribution-No Derivatives—4.0 International licence, with the exception of third party materials and any trade marks.  It is provided for general information only and without warranties of any kind.  You may not make derivatives of this publication, but may only use a verbatim copy.  More information on this CC BY ND licence is set out at the </a:t>
            </a:r>
            <a:r>
              <a:rPr lang="en-AU" sz="800" u="sng">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Creative Commons Website</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  For information regarding this publication, see </a:t>
            </a:r>
            <a:r>
              <a:rPr lang="en-AU" sz="800" u="sng">
                <a:solidFill>
                  <a:schemeClr val="dk1"/>
                </a:solidFill>
                <a:effectLst/>
                <a:latin typeface="Inter" panose="020B0502030000000004" pitchFamily="34" charset="0"/>
                <a:ea typeface="Inter" panose="020B0502030000000004" pitchFamily="34" charset="0"/>
                <a:cs typeface="Arial" panose="020B0604020202020204" pitchFamily="34" charset="0"/>
                <a:hlinkClick xmlns:r="http://schemas.openxmlformats.org/officeDocument/2006/relationships" r:id=""/>
              </a:rPr>
              <a:t>www.abcb.gov.au</a:t>
            </a:r>
            <a:r>
              <a:rPr lang="en-AU" sz="800">
                <a:solidFill>
                  <a:schemeClr val="dk1"/>
                </a:solidFill>
                <a:effectLst/>
                <a:latin typeface="Inter" panose="020B0502030000000004" pitchFamily="34" charset="0"/>
                <a:ea typeface="Inter" panose="020B0502030000000004" pitchFamily="34" charset="0"/>
                <a:cs typeface="Arial" panose="020B0604020202020204" pitchFamily="34" charset="0"/>
              </a:rPr>
              <a:t>.</a:t>
            </a:r>
          </a:p>
        </xdr:txBody>
      </xdr:sp>
    </xdr:grpSp>
    <xdr:clientData/>
  </xdr:twoCellAnchor>
  <xdr:twoCellAnchor>
    <xdr:from>
      <xdr:col>14</xdr:col>
      <xdr:colOff>690563</xdr:colOff>
      <xdr:row>9</xdr:row>
      <xdr:rowOff>130969</xdr:rowOff>
    </xdr:from>
    <xdr:to>
      <xdr:col>18</xdr:col>
      <xdr:colOff>200410</xdr:colOff>
      <xdr:row>9</xdr:row>
      <xdr:rowOff>283369</xdr:rowOff>
    </xdr:to>
    <xdr:sp macro="" textlink="$S$553">
      <xdr:nvSpPr>
        <xdr:cNvPr id="724" name="Text Box 1295"/>
        <xdr:cNvSpPr txBox="1">
          <a:spLocks noChangeArrowheads="1" noTextEdit="1"/>
        </xdr:cNvSpPr>
      </xdr:nvSpPr>
      <xdr:spPr bwMode="auto">
        <a:xfrm>
          <a:off x="12120563" y="3250407"/>
          <a:ext cx="3427003" cy="152400"/>
        </a:xfrm>
        <a:prstGeom prst="rect">
          <a:avLst/>
        </a:prstGeom>
        <a:noFill/>
        <a:ln w="19050" algn="ctr">
          <a:noFill/>
          <a:miter lim="800000"/>
          <a:headEnd/>
          <a:tailEnd/>
        </a:ln>
        <a:effectLst/>
      </xdr:spPr>
      <xdr:txBody>
        <a:bodyPr anchor="ctr"/>
        <a:lstStyle/>
        <a:p>
          <a:pPr algn="ctr"/>
          <a:fld id="{0F233EF7-C19B-4BE2-BAE4-A7806E511A02}" type="TxLink">
            <a:rPr lang="en-AU" sz="1400" b="1" i="1" u="none" strike="noStrike">
              <a:solidFill>
                <a:schemeClr val="bg1"/>
              </a:solidFill>
              <a:latin typeface="Inter" panose="020B0502030000000004" pitchFamily="34" charset="0"/>
              <a:ea typeface="Inter" panose="020B0502030000000004" pitchFamily="34" charset="0"/>
              <a:cs typeface="Arial"/>
            </a:rPr>
            <a:pPr algn="ctr"/>
            <a:t> </a:t>
          </a:fld>
          <a:endParaRPr lang="en-AU" sz="1400" b="1" i="1">
            <a:solidFill>
              <a:schemeClr val="bg1"/>
            </a:solidFill>
            <a:latin typeface="Inter" panose="020B0502030000000004" pitchFamily="34" charset="0"/>
            <a:ea typeface="Inter" panose="020B0502030000000004" pitchFamily="34" charset="0"/>
          </a:endParaRPr>
        </a:p>
      </xdr:txBody>
    </xdr:sp>
    <xdr:clientData/>
  </xdr:twoCellAnchor>
  <xdr:twoCellAnchor>
    <xdr:from>
      <xdr:col>3</xdr:col>
      <xdr:colOff>90718</xdr:colOff>
      <xdr:row>1</xdr:row>
      <xdr:rowOff>72572</xdr:rowOff>
    </xdr:from>
    <xdr:to>
      <xdr:col>5</xdr:col>
      <xdr:colOff>464982</xdr:colOff>
      <xdr:row>1</xdr:row>
      <xdr:rowOff>358479</xdr:rowOff>
    </xdr:to>
    <xdr:sp macro="" textlink="">
      <xdr:nvSpPr>
        <xdr:cNvPr id="737" name="AutoShape 4" descr="help">
          <a:hlinkClick xmlns:r="http://schemas.openxmlformats.org/officeDocument/2006/relationships" r:id="rId5"/>
        </xdr:cNvPr>
        <xdr:cNvSpPr>
          <a:spLocks noChangeArrowheads="1"/>
        </xdr:cNvSpPr>
      </xdr:nvSpPr>
      <xdr:spPr bwMode="auto">
        <a:xfrm>
          <a:off x="326575" y="2195286"/>
          <a:ext cx="1734978" cy="285907"/>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Main Menu</a:t>
          </a:r>
        </a:p>
      </xdr:txBody>
    </xdr:sp>
    <xdr:clientData/>
  </xdr:twoCellAnchor>
  <xdr:twoCellAnchor>
    <xdr:from>
      <xdr:col>5</xdr:col>
      <xdr:colOff>558637</xdr:colOff>
      <xdr:row>1</xdr:row>
      <xdr:rowOff>72572</xdr:rowOff>
    </xdr:from>
    <xdr:to>
      <xdr:col>7</xdr:col>
      <xdr:colOff>125131</xdr:colOff>
      <xdr:row>1</xdr:row>
      <xdr:rowOff>358603</xdr:rowOff>
    </xdr:to>
    <xdr:sp macro="" textlink="" fLocksText="0">
      <xdr:nvSpPr>
        <xdr:cNvPr id="738" name="AutoShape 485" descr="help">
          <a:hlinkClick xmlns:r="http://schemas.openxmlformats.org/officeDocument/2006/relationships" r:id="rId6"/>
        </xdr:cNvPr>
        <xdr:cNvSpPr>
          <a:spLocks noChangeArrowheads="1"/>
        </xdr:cNvSpPr>
      </xdr:nvSpPr>
      <xdr:spPr bwMode="auto">
        <a:xfrm>
          <a:off x="2155208" y="2195286"/>
          <a:ext cx="1725494" cy="286031"/>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Help</a:t>
          </a:r>
        </a:p>
      </xdr:txBody>
    </xdr:sp>
    <xdr:clientData fLocksWithSheet="0"/>
  </xdr:twoCellAnchor>
  <xdr:twoCellAnchor editAs="oneCell">
    <xdr:from>
      <xdr:col>2</xdr:col>
      <xdr:colOff>54429</xdr:colOff>
      <xdr:row>0</xdr:row>
      <xdr:rowOff>36285</xdr:rowOff>
    </xdr:from>
    <xdr:to>
      <xdr:col>4</xdr:col>
      <xdr:colOff>965716</xdr:colOff>
      <xdr:row>0</xdr:row>
      <xdr:rowOff>1907267</xdr:rowOff>
    </xdr:to>
    <xdr:pic>
      <xdr:nvPicPr>
        <xdr:cNvPr id="728" name="Picture 72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7000" y="36285"/>
          <a:ext cx="1337645" cy="1870982"/>
        </a:xfrm>
        <a:prstGeom prst="rect">
          <a:avLst/>
        </a:prstGeom>
      </xdr:spPr>
    </xdr:pic>
    <xdr:clientData/>
  </xdr:twoCellAnchor>
  <xdr:oneCellAnchor>
    <xdr:from>
      <xdr:col>21</xdr:col>
      <xdr:colOff>681182</xdr:colOff>
      <xdr:row>0</xdr:row>
      <xdr:rowOff>173183</xdr:rowOff>
    </xdr:from>
    <xdr:ext cx="1910209" cy="695325"/>
    <xdr:pic>
      <xdr:nvPicPr>
        <xdr:cNvPr id="735" name="Picture 73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169909" y="173183"/>
          <a:ext cx="1910209" cy="695325"/>
        </a:xfrm>
        <a:prstGeom prst="rect">
          <a:avLst/>
        </a:prstGeom>
      </xdr:spPr>
    </xdr:pic>
    <xdr:clientData/>
  </xdr:oneCellAnchor>
  <xdr:oneCellAnchor>
    <xdr:from>
      <xdr:col>22</xdr:col>
      <xdr:colOff>69273</xdr:colOff>
      <xdr:row>0</xdr:row>
      <xdr:rowOff>1119909</xdr:rowOff>
    </xdr:from>
    <xdr:ext cx="744383" cy="738883"/>
    <xdr:pic>
      <xdr:nvPicPr>
        <xdr:cNvPr id="736" name="Picture 73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197455" y="1119909"/>
          <a:ext cx="744383" cy="73888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1</xdr:row>
      <xdr:rowOff>1732</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414250" cy="2121045"/>
        </a:xfrm>
        <a:prstGeom prst="rect">
          <a:avLst/>
        </a:prstGeom>
      </xdr:spPr>
    </xdr:pic>
    <xdr:clientData/>
  </xdr:twoCellAnchor>
  <xdr:twoCellAnchor>
    <xdr:from>
      <xdr:col>0</xdr:col>
      <xdr:colOff>424708</xdr:colOff>
      <xdr:row>1</xdr:row>
      <xdr:rowOff>39687</xdr:rowOff>
    </xdr:from>
    <xdr:to>
      <xdr:col>2</xdr:col>
      <xdr:colOff>801688</xdr:colOff>
      <xdr:row>1</xdr:row>
      <xdr:rowOff>364653</xdr:rowOff>
    </xdr:to>
    <xdr:sp macro="" textlink="">
      <xdr:nvSpPr>
        <xdr:cNvPr id="6148" name="AutoShape 4" descr="help">
          <a:hlinkClick xmlns:r="http://schemas.openxmlformats.org/officeDocument/2006/relationships" r:id="rId2"/>
        </xdr:cNvPr>
        <xdr:cNvSpPr>
          <a:spLocks noChangeArrowheads="1"/>
        </xdr:cNvSpPr>
      </xdr:nvSpPr>
      <xdr:spPr bwMode="auto">
        <a:xfrm>
          <a:off x="424708" y="2159000"/>
          <a:ext cx="1742230" cy="324966"/>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Main Menu</a:t>
          </a:r>
        </a:p>
      </xdr:txBody>
    </xdr:sp>
    <xdr:clientData/>
  </xdr:twoCellAnchor>
  <xdr:twoCellAnchor>
    <xdr:from>
      <xdr:col>2</xdr:col>
      <xdr:colOff>923559</xdr:colOff>
      <xdr:row>1</xdr:row>
      <xdr:rowOff>39688</xdr:rowOff>
    </xdr:from>
    <xdr:to>
      <xdr:col>6</xdr:col>
      <xdr:colOff>325438</xdr:colOff>
      <xdr:row>1</xdr:row>
      <xdr:rowOff>372592</xdr:rowOff>
    </xdr:to>
    <xdr:sp macro="" textlink="">
      <xdr:nvSpPr>
        <xdr:cNvPr id="6149" name="AutoShape 5" descr="help">
          <a:hlinkClick xmlns:r="http://schemas.openxmlformats.org/officeDocument/2006/relationships" r:id="rId3"/>
        </xdr:cNvPr>
        <xdr:cNvSpPr>
          <a:spLocks noChangeArrowheads="1"/>
        </xdr:cNvSpPr>
      </xdr:nvSpPr>
      <xdr:spPr bwMode="auto">
        <a:xfrm>
          <a:off x="2288809" y="2159001"/>
          <a:ext cx="2894379" cy="332904"/>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Non-residential Lighting Calculator</a:t>
          </a:r>
        </a:p>
      </xdr:txBody>
    </xdr:sp>
    <xdr:clientData/>
  </xdr:twoCellAnchor>
  <xdr:twoCellAnchor>
    <xdr:from>
      <xdr:col>6</xdr:col>
      <xdr:colOff>449082</xdr:colOff>
      <xdr:row>1</xdr:row>
      <xdr:rowOff>31752</xdr:rowOff>
    </xdr:from>
    <xdr:to>
      <xdr:col>10</xdr:col>
      <xdr:colOff>436563</xdr:colOff>
      <xdr:row>1</xdr:row>
      <xdr:rowOff>381001</xdr:rowOff>
    </xdr:to>
    <xdr:sp macro="" textlink="">
      <xdr:nvSpPr>
        <xdr:cNvPr id="6152" name="AutoShape 8" descr="help">
          <a:hlinkClick xmlns:r="http://schemas.openxmlformats.org/officeDocument/2006/relationships" r:id="rId4"/>
        </xdr:cNvPr>
        <xdr:cNvSpPr>
          <a:spLocks noChangeArrowheads="1"/>
        </xdr:cNvSpPr>
      </xdr:nvSpPr>
      <xdr:spPr bwMode="auto">
        <a:xfrm>
          <a:off x="5306832" y="2151065"/>
          <a:ext cx="2463981" cy="349249"/>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0" anchor="b" anchorCtr="0"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Residential Lighting Calculator</a:t>
          </a:r>
        </a:p>
        <a:p>
          <a:pPr algn="ctr" rtl="0">
            <a:defRPr sz="1000"/>
          </a:pPr>
          <a:endParaRPr lang="en-AU" sz="800" b="1" i="0" u="none" strike="noStrike" baseline="0">
            <a:solidFill>
              <a:schemeClr val="tx1"/>
            </a:solidFill>
            <a:latin typeface="Arial"/>
            <a:cs typeface="Arial"/>
          </a:endParaRPr>
        </a:p>
      </xdr:txBody>
    </xdr:sp>
    <xdr:clientData/>
  </xdr:twoCellAnchor>
  <xdr:twoCellAnchor>
    <xdr:from>
      <xdr:col>2</xdr:col>
      <xdr:colOff>1647184</xdr:colOff>
      <xdr:row>0</xdr:row>
      <xdr:rowOff>457794</xdr:rowOff>
    </xdr:from>
    <xdr:to>
      <xdr:col>10</xdr:col>
      <xdr:colOff>170062</xdr:colOff>
      <xdr:row>0</xdr:row>
      <xdr:rowOff>1510273</xdr:rowOff>
    </xdr:to>
    <xdr:sp macro="" textlink="">
      <xdr:nvSpPr>
        <xdr:cNvPr id="9" name="TextBox 8">
          <a:extLst>
            <a:ext uri="{FF2B5EF4-FFF2-40B4-BE49-F238E27FC236}">
              <a16:creationId xmlns="" xmlns:a16="http://schemas.microsoft.com/office/drawing/2014/main" id="{00000000-0008-0000-0100-000002000000}"/>
            </a:ext>
          </a:extLst>
        </xdr:cNvPr>
        <xdr:cNvSpPr txBox="1"/>
      </xdr:nvSpPr>
      <xdr:spPr>
        <a:xfrm>
          <a:off x="3012434" y="457794"/>
          <a:ext cx="4491878" cy="105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Inter" panose="020B0502030000000004" pitchFamily="34" charset="0"/>
              <a:ea typeface="Inter" panose="020B0502030000000004" pitchFamily="34" charset="0"/>
              <a:cs typeface="Arial" panose="020B0604020202020204" pitchFamily="34" charset="0"/>
            </a:rPr>
            <a:t>Lighting</a:t>
          </a:r>
          <a:r>
            <a:rPr lang="en-US" sz="2400">
              <a:solidFill>
                <a:schemeClr val="bg1"/>
              </a:solidFill>
              <a:latin typeface="Inter" panose="020B0502030000000004" pitchFamily="34" charset="0"/>
              <a:ea typeface="Inter" panose="020B0502030000000004" pitchFamily="34" charset="0"/>
              <a:cs typeface="Arial" panose="020B0604020202020204" pitchFamily="34" charset="0"/>
            </a:rPr>
            <a:t/>
          </a:r>
          <a:br>
            <a:rPr lang="en-US" sz="2400">
              <a:solidFill>
                <a:schemeClr val="bg1"/>
              </a:solidFill>
              <a:latin typeface="Inter" panose="020B0502030000000004" pitchFamily="34" charset="0"/>
              <a:ea typeface="Inter" panose="020B0502030000000004" pitchFamily="34" charset="0"/>
              <a:cs typeface="Arial" panose="020B0604020202020204" pitchFamily="34" charset="0"/>
            </a:rPr>
          </a:br>
          <a:endParaRPr lang="en-US" sz="2400" baseline="0">
            <a:solidFill>
              <a:schemeClr val="bg1"/>
            </a:solidFill>
            <a:latin typeface="Inter" panose="020B0502030000000004" pitchFamily="34" charset="0"/>
            <a:ea typeface="Inter" panose="020B0502030000000004" pitchFamily="34" charset="0"/>
            <a:cs typeface="Arial" panose="020B0604020202020204" pitchFamily="34" charset="0"/>
          </a:endParaRPr>
        </a:p>
        <a:p>
          <a:pPr algn="ctr">
            <a:lnSpc>
              <a:spcPct val="75000"/>
            </a:lnSpc>
          </a:pPr>
          <a:r>
            <a:rPr lang="en-US" sz="1600" baseline="0">
              <a:solidFill>
                <a:schemeClr val="bg1"/>
              </a:solidFill>
              <a:latin typeface="Inter" panose="020B0502030000000004" pitchFamily="34" charset="0"/>
              <a:ea typeface="Inter" panose="020B0502030000000004" pitchFamily="34" charset="0"/>
              <a:cs typeface="Arial" panose="020B0604020202020204" pitchFamily="34" charset="0"/>
            </a:rPr>
            <a:t>Adjustment factors</a:t>
          </a:r>
          <a:endParaRPr lang="en-US" sz="1600">
            <a:solidFill>
              <a:schemeClr val="bg1"/>
            </a:solidFill>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editAs="oneCell">
    <xdr:from>
      <xdr:col>0</xdr:col>
      <xdr:colOff>254000</xdr:colOff>
      <xdr:row>0</xdr:row>
      <xdr:rowOff>0</xdr:rowOff>
    </xdr:from>
    <xdr:to>
      <xdr:col>1</xdr:col>
      <xdr:colOff>707424</xdr:colOff>
      <xdr:row>0</xdr:row>
      <xdr:rowOff>1500188</xdr:rowOff>
    </xdr:to>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4000" y="0"/>
          <a:ext cx="1072549" cy="1500188"/>
        </a:xfrm>
        <a:prstGeom prst="rect">
          <a:avLst/>
        </a:prstGeom>
      </xdr:spPr>
    </xdr:pic>
    <xdr:clientData/>
  </xdr:twoCellAnchor>
  <xdr:oneCellAnchor>
    <xdr:from>
      <xdr:col>12</xdr:col>
      <xdr:colOff>896937</xdr:colOff>
      <xdr:row>0</xdr:row>
      <xdr:rowOff>388938</xdr:rowOff>
    </xdr:from>
    <xdr:ext cx="1770531" cy="644482"/>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842500" y="388938"/>
          <a:ext cx="1770531" cy="644482"/>
        </a:xfrm>
        <a:prstGeom prst="rect">
          <a:avLst/>
        </a:prstGeom>
      </xdr:spPr>
    </xdr:pic>
    <xdr:clientData/>
  </xdr:oneCellAnchor>
  <xdr:oneCellAnchor>
    <xdr:from>
      <xdr:col>13</xdr:col>
      <xdr:colOff>769938</xdr:colOff>
      <xdr:row>0</xdr:row>
      <xdr:rowOff>1349376</xdr:rowOff>
    </xdr:from>
    <xdr:ext cx="558169" cy="554044"/>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675938" y="1349376"/>
          <a:ext cx="558169" cy="55404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0</xdr:row>
      <xdr:rowOff>2116752</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549091" cy="2116752"/>
        </a:xfrm>
        <a:prstGeom prst="rect">
          <a:avLst/>
        </a:prstGeom>
      </xdr:spPr>
    </xdr:pic>
    <xdr:clientData/>
  </xdr:twoCellAnchor>
  <xdr:twoCellAnchor>
    <xdr:from>
      <xdr:col>5</xdr:col>
      <xdr:colOff>0</xdr:colOff>
      <xdr:row>14</xdr:row>
      <xdr:rowOff>0</xdr:rowOff>
    </xdr:from>
    <xdr:to>
      <xdr:col>13</xdr:col>
      <xdr:colOff>971550</xdr:colOff>
      <xdr:row>19</xdr:row>
      <xdr:rowOff>38100</xdr:rowOff>
    </xdr:to>
    <xdr:sp macro="" textlink="$H$17">
      <xdr:nvSpPr>
        <xdr:cNvPr id="5126" name="Text Box 6"/>
        <xdr:cNvSpPr txBox="1">
          <a:spLocks noChangeArrowheads="1" noTextEdit="1"/>
        </xdr:cNvSpPr>
      </xdr:nvSpPr>
      <xdr:spPr bwMode="auto">
        <a:xfrm>
          <a:off x="3895725" y="2352675"/>
          <a:ext cx="5800725" cy="847725"/>
        </a:xfrm>
        <a:prstGeom prst="rect">
          <a:avLst/>
        </a:prstGeom>
        <a:solidFill>
          <a:srgbClr val="004680"/>
        </a:solidFill>
        <a:ln w="9525">
          <a:solidFill>
            <a:srgbClr val="000000"/>
          </a:solidFill>
          <a:miter lim="800000"/>
          <a:headEnd/>
          <a:tailEnd/>
        </a:ln>
      </xdr:spPr>
      <xdr:txBody>
        <a:bodyPr vertOverflow="clip" wrap="square" lIns="36576" tIns="32004" rIns="36576" bIns="32004" anchor="ctr" upright="1"/>
        <a:lstStyle/>
        <a:p>
          <a:pPr algn="ctr" rtl="0">
            <a:defRPr sz="1000"/>
          </a:pPr>
          <a:fld id="{BBC1FE2C-8322-4F97-91C2-781F0FF8A0F1}" type="TxLink">
            <a:rPr lang="en-AU" sz="1400" b="1" i="0" u="none" strike="noStrike" baseline="0">
              <a:solidFill>
                <a:srgbClr val="FFFFFF"/>
              </a:solidFill>
              <a:latin typeface="Inter" panose="020B0502030000000004" pitchFamily="34" charset="0"/>
              <a:ea typeface="Inter" panose="020B0502030000000004" pitchFamily="34" charset="0"/>
              <a:cs typeface="Arial"/>
            </a:rPr>
            <a:pPr algn="ctr" rtl="0">
              <a:defRPr sz="1000"/>
            </a:pPr>
            <a:t>Multiple Lighting System Calculator</a:t>
          </a:fld>
          <a:endParaRPr lang="en-AU" sz="1400" b="1" i="0" u="none" strike="noStrike" baseline="0">
            <a:solidFill>
              <a:srgbClr val="FFFFFF"/>
            </a:solidFill>
            <a:latin typeface="Inter" panose="020B0502030000000004" pitchFamily="34" charset="0"/>
            <a:ea typeface="Inter" panose="020B0502030000000004" pitchFamily="34" charset="0"/>
            <a:cs typeface="Arial"/>
          </a:endParaRPr>
        </a:p>
      </xdr:txBody>
    </xdr:sp>
    <xdr:clientData/>
  </xdr:twoCellAnchor>
  <xdr:twoCellAnchor>
    <xdr:from>
      <xdr:col>2</xdr:col>
      <xdr:colOff>546100</xdr:colOff>
      <xdr:row>2</xdr:row>
      <xdr:rowOff>152400</xdr:rowOff>
    </xdr:from>
    <xdr:to>
      <xdr:col>15</xdr:col>
      <xdr:colOff>260350</xdr:colOff>
      <xdr:row>13</xdr:row>
      <xdr:rowOff>38099</xdr:rowOff>
    </xdr:to>
    <xdr:sp macro="" textlink="">
      <xdr:nvSpPr>
        <xdr:cNvPr id="5127" name="Text Box 7"/>
        <xdr:cNvSpPr txBox="1">
          <a:spLocks noChangeArrowheads="1"/>
        </xdr:cNvSpPr>
      </xdr:nvSpPr>
      <xdr:spPr bwMode="auto">
        <a:xfrm>
          <a:off x="3028950" y="2781300"/>
          <a:ext cx="9385300" cy="2203449"/>
        </a:xfrm>
        <a:prstGeom prst="rect">
          <a:avLst/>
        </a:prstGeom>
        <a:solidFill>
          <a:srgbClr val="004680"/>
        </a:solidFill>
        <a:ln w="9525">
          <a:solidFill>
            <a:srgbClr val="000000"/>
          </a:solidFill>
          <a:miter lim="800000"/>
          <a:headEnd/>
          <a:tailEnd/>
        </a:ln>
      </xdr:spPr>
      <xdr:txBody>
        <a:bodyPr vertOverflow="clip" wrap="square" lIns="36576" tIns="22860" rIns="0" bIns="0" anchor="ctr" upright="1"/>
        <a:lstStyle/>
        <a:p>
          <a:pPr algn="ctr" rtl="0">
            <a:spcAft>
              <a:spcPts val="600"/>
            </a:spcAft>
            <a:defRPr sz="1000"/>
          </a:pPr>
          <a:r>
            <a:rPr lang="en-AU" sz="1400" b="1" i="0" u="sng" strike="noStrike" baseline="0">
              <a:solidFill>
                <a:srgbClr val="FFFFFF"/>
              </a:solidFill>
              <a:latin typeface="Inter" panose="020B0502030000000004" pitchFamily="34" charset="0"/>
              <a:ea typeface="Inter" panose="020B0502030000000004" pitchFamily="34" charset="0"/>
              <a:cs typeface="Arial"/>
            </a:rPr>
            <a:t>Note</a:t>
          </a:r>
          <a:endParaRPr lang="en-AU" sz="1400" b="1" i="0" u="none" strike="noStrike" baseline="0">
            <a:solidFill>
              <a:srgbClr val="FFFFFF"/>
            </a:solidFill>
            <a:latin typeface="Inter" panose="020B0502030000000004" pitchFamily="34" charset="0"/>
            <a:ea typeface="Inter" panose="020B0502030000000004" pitchFamily="34" charset="0"/>
            <a:cs typeface="Arial"/>
          </a:endParaRPr>
        </a:p>
        <a:p>
          <a:pPr algn="l" rtl="0">
            <a:spcAft>
              <a:spcPts val="600"/>
            </a:spcAft>
            <a:defRPr sz="1000"/>
          </a:pPr>
          <a:r>
            <a:rPr lang="en-AU" sz="1400" b="0" i="0" u="none" strike="noStrike" baseline="0">
              <a:solidFill>
                <a:srgbClr val="FFFFFF"/>
              </a:solidFill>
              <a:latin typeface="Inter" panose="020B0502030000000004" pitchFamily="34" charset="0"/>
              <a:ea typeface="Inter" panose="020B0502030000000004" pitchFamily="34" charset="0"/>
              <a:cs typeface="Arial"/>
            </a:rPr>
            <a:t>In determining the design illumination power load for multiple lighting systems serving the same space you must use:</a:t>
          </a:r>
        </a:p>
        <a:p>
          <a:pPr algn="l" rtl="0">
            <a:defRPr sz="1000"/>
          </a:pPr>
          <a:r>
            <a:rPr lang="en-AU" sz="1400" b="0" i="0" u="none" strike="noStrike" baseline="0">
              <a:solidFill>
                <a:srgbClr val="FFFFFF"/>
              </a:solidFill>
              <a:latin typeface="Inter" panose="020B0502030000000004" pitchFamily="34" charset="0"/>
              <a:ea typeface="Inter" panose="020B0502030000000004" pitchFamily="34" charset="0"/>
              <a:cs typeface="Arial"/>
            </a:rPr>
            <a:t>(a) the total illumination power load of all systems; or </a:t>
          </a:r>
        </a:p>
        <a:p>
          <a:pPr algn="l" rtl="0">
            <a:defRPr sz="1000"/>
          </a:pPr>
          <a:r>
            <a:rPr lang="en-AU" sz="1400" b="0" i="0" u="none" strike="noStrike" baseline="0">
              <a:solidFill>
                <a:srgbClr val="FFFFFF"/>
              </a:solidFill>
              <a:latin typeface="Inter" panose="020B0502030000000004" pitchFamily="34" charset="0"/>
              <a:ea typeface="Inter" panose="020B0502030000000004" pitchFamily="34" charset="0"/>
              <a:cs typeface="Arial"/>
            </a:rPr>
            <a:t>(b) for a control system that permits only one system to operate at a time, the design illumination power load</a:t>
          </a:r>
          <a:br>
            <a:rPr lang="en-AU" sz="1400" b="0" i="0" u="none" strike="noStrike" baseline="0">
              <a:solidFill>
                <a:srgbClr val="FFFFFF"/>
              </a:solidFill>
              <a:latin typeface="Inter" panose="020B0502030000000004" pitchFamily="34" charset="0"/>
              <a:ea typeface="Inter" panose="020B0502030000000004" pitchFamily="34" charset="0"/>
              <a:cs typeface="Arial"/>
            </a:rPr>
          </a:br>
          <a:r>
            <a:rPr lang="en-AU" sz="1400" b="0" i="0" u="none" strike="noStrike" baseline="0">
              <a:solidFill>
                <a:srgbClr val="FFFFFF"/>
              </a:solidFill>
              <a:latin typeface="Inter" panose="020B0502030000000004" pitchFamily="34" charset="0"/>
              <a:ea typeface="Inter" panose="020B0502030000000004" pitchFamily="34" charset="0"/>
              <a:cs typeface="Arial"/>
            </a:rPr>
            <a:t>      is based on the highest illumination power load; or </a:t>
          </a:r>
        </a:p>
        <a:p>
          <a:pPr algn="l" rtl="0">
            <a:defRPr sz="1000"/>
          </a:pPr>
          <a:r>
            <a:rPr lang="en-AU" sz="1400" b="0" i="0" u="none" strike="noStrike" baseline="0">
              <a:solidFill>
                <a:srgbClr val="FFFFFF"/>
              </a:solidFill>
              <a:latin typeface="Inter" panose="020B0502030000000004" pitchFamily="34" charset="0"/>
              <a:ea typeface="Inter" panose="020B0502030000000004" pitchFamily="34" charset="0"/>
              <a:cs typeface="Arial"/>
            </a:rPr>
            <a:t>(c) determined by the formula:  [H x T/2 + P x (100 - T/2)] / 100. By entering the required data below, the </a:t>
          </a:r>
          <a:br>
            <a:rPr lang="en-AU" sz="1400" b="0" i="0" u="none" strike="noStrike" baseline="0">
              <a:solidFill>
                <a:srgbClr val="FFFFFF"/>
              </a:solidFill>
              <a:latin typeface="Inter" panose="020B0502030000000004" pitchFamily="34" charset="0"/>
              <a:ea typeface="Inter" panose="020B0502030000000004" pitchFamily="34" charset="0"/>
              <a:cs typeface="Arial"/>
            </a:rPr>
          </a:br>
          <a:r>
            <a:rPr lang="en-AU" sz="1400" b="0" i="0" u="none" strike="noStrike" baseline="0">
              <a:solidFill>
                <a:srgbClr val="FFFFFF"/>
              </a:solidFill>
              <a:latin typeface="Inter" panose="020B0502030000000004" pitchFamily="34" charset="0"/>
              <a:ea typeface="Inter" panose="020B0502030000000004" pitchFamily="34" charset="0"/>
              <a:cs typeface="Arial"/>
            </a:rPr>
            <a:t>      formula will be calculated automatically.</a:t>
          </a:r>
        </a:p>
      </xdr:txBody>
    </xdr:sp>
    <xdr:clientData/>
  </xdr:twoCellAnchor>
  <xdr:twoCellAnchor>
    <xdr:from>
      <xdr:col>1</xdr:col>
      <xdr:colOff>843972</xdr:colOff>
      <xdr:row>1</xdr:row>
      <xdr:rowOff>44450</xdr:rowOff>
    </xdr:from>
    <xdr:to>
      <xdr:col>4</xdr:col>
      <xdr:colOff>402887</xdr:colOff>
      <xdr:row>1</xdr:row>
      <xdr:rowOff>354464</xdr:rowOff>
    </xdr:to>
    <xdr:sp macro="" textlink="">
      <xdr:nvSpPr>
        <xdr:cNvPr id="5136" name="AutoShape 16" descr="help">
          <a:hlinkClick xmlns:r="http://schemas.openxmlformats.org/officeDocument/2006/relationships" r:id="rId2"/>
        </xdr:cNvPr>
        <xdr:cNvSpPr>
          <a:spLocks noChangeArrowheads="1"/>
        </xdr:cNvSpPr>
      </xdr:nvSpPr>
      <xdr:spPr bwMode="auto">
        <a:xfrm>
          <a:off x="2431472" y="2165350"/>
          <a:ext cx="1921115" cy="310014"/>
        </a:xfrm>
        <a:prstGeom prst="rect">
          <a:avLst/>
        </a:prstGeom>
        <a:solidFill>
          <a:schemeClr val="bg1"/>
        </a:solidFill>
        <a:ln w="9525" algn="ctr">
          <a:noFill/>
          <a:round/>
          <a:headEnd/>
          <a:tailEnd/>
        </a:ln>
        <a:effectLst>
          <a:innerShdw dist="25400" dir="2700000">
            <a:prstClr val="black">
              <a:alpha val="50000"/>
            </a:prstClr>
          </a:innerShdw>
        </a:effectLst>
      </xdr:spPr>
      <xdr:txBody>
        <a:bodyPr vertOverflow="clip" wrap="square" lIns="36576" tIns="22860" rIns="36576"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Return to calculator</a:t>
          </a:r>
        </a:p>
      </xdr:txBody>
    </xdr:sp>
    <xdr:clientData/>
  </xdr:twoCellAnchor>
  <xdr:twoCellAnchor>
    <xdr:from>
      <xdr:col>3</xdr:col>
      <xdr:colOff>539290</xdr:colOff>
      <xdr:row>0</xdr:row>
      <xdr:rowOff>651616</xdr:rowOff>
    </xdr:from>
    <xdr:to>
      <xdr:col>15</xdr:col>
      <xdr:colOff>422896</xdr:colOff>
      <xdr:row>0</xdr:row>
      <xdr:rowOff>1771650</xdr:rowOff>
    </xdr:to>
    <xdr:sp macro="" textlink="">
      <xdr:nvSpPr>
        <xdr:cNvPr id="8" name="TextBox 7">
          <a:extLst>
            <a:ext uri="{FF2B5EF4-FFF2-40B4-BE49-F238E27FC236}">
              <a16:creationId xmlns="" xmlns:a16="http://schemas.microsoft.com/office/drawing/2014/main" id="{00000000-0008-0000-0100-000002000000}"/>
            </a:ext>
          </a:extLst>
        </xdr:cNvPr>
        <xdr:cNvSpPr txBox="1"/>
      </xdr:nvSpPr>
      <xdr:spPr>
        <a:xfrm>
          <a:off x="3873040" y="651616"/>
          <a:ext cx="8545006" cy="1120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Inter" panose="020B0502030000000004" pitchFamily="34" charset="0"/>
              <a:ea typeface="Inter" panose="020B0502030000000004" pitchFamily="34" charset="0"/>
              <a:cs typeface="Arial" panose="020B0604020202020204" pitchFamily="34" charset="0"/>
            </a:rPr>
            <a:t>Lighting</a:t>
          </a:r>
          <a:r>
            <a:rPr lang="en-US" sz="2400">
              <a:solidFill>
                <a:schemeClr val="bg1"/>
              </a:solidFill>
              <a:latin typeface="Arial" panose="020B0604020202020204" pitchFamily="34" charset="0"/>
              <a:cs typeface="Arial" panose="020B0604020202020204" pitchFamily="34" charset="0"/>
            </a:rPr>
            <a:t/>
          </a:r>
          <a:br>
            <a:rPr lang="en-US" sz="2400">
              <a:solidFill>
                <a:schemeClr val="bg1"/>
              </a:solidFill>
              <a:latin typeface="Arial" panose="020B0604020202020204" pitchFamily="34" charset="0"/>
              <a:cs typeface="Arial" panose="020B0604020202020204" pitchFamily="34" charset="0"/>
            </a:rPr>
          </a:b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r>
            <a:rPr lang="en-US" sz="1600" baseline="0">
              <a:solidFill>
                <a:schemeClr val="bg1"/>
              </a:solidFill>
              <a:latin typeface="Inter" panose="020B0502030000000004" pitchFamily="34" charset="0"/>
              <a:ea typeface="Inter" panose="020B0502030000000004" pitchFamily="34" charset="0"/>
              <a:cs typeface="Arial" panose="020B0604020202020204" pitchFamily="34" charset="0"/>
            </a:rPr>
            <a:t>Multiple Lighting Systems</a:t>
          </a:r>
          <a:endParaRPr lang="en-US" sz="1600">
            <a:solidFill>
              <a:schemeClr val="bg1"/>
            </a:solidFill>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312113</xdr:colOff>
      <xdr:row>1</xdr:row>
      <xdr:rowOff>44450</xdr:rowOff>
    </xdr:from>
    <xdr:to>
      <xdr:col>1</xdr:col>
      <xdr:colOff>666750</xdr:colOff>
      <xdr:row>1</xdr:row>
      <xdr:rowOff>354464</xdr:rowOff>
    </xdr:to>
    <xdr:sp macro="" textlink="">
      <xdr:nvSpPr>
        <xdr:cNvPr id="11" name="AutoShape 49" descr="help">
          <a:hlinkClick xmlns:r="http://schemas.openxmlformats.org/officeDocument/2006/relationships" r:id="rId3"/>
        </xdr:cNvPr>
        <xdr:cNvSpPr>
          <a:spLocks noChangeArrowheads="1"/>
        </xdr:cNvSpPr>
      </xdr:nvSpPr>
      <xdr:spPr bwMode="auto">
        <a:xfrm>
          <a:off x="312113" y="2165350"/>
          <a:ext cx="1942137" cy="310014"/>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Inter" panose="020B0502030000000004" pitchFamily="34" charset="0"/>
              <a:ea typeface="Inter" panose="020B0502030000000004" pitchFamily="34" charset="0"/>
              <a:cs typeface="Arial"/>
            </a:rPr>
            <a:t>Main Menu</a:t>
          </a:r>
        </a:p>
      </xdr:txBody>
    </xdr:sp>
    <xdr:clientData/>
  </xdr:twoCellAnchor>
  <xdr:twoCellAnchor editAs="oneCell">
    <xdr:from>
      <xdr:col>0</xdr:col>
      <xdr:colOff>79284</xdr:colOff>
      <xdr:row>0</xdr:row>
      <xdr:rowOff>31750</xdr:rowOff>
    </xdr:from>
    <xdr:to>
      <xdr:col>0</xdr:col>
      <xdr:colOff>1236955</xdr:colOff>
      <xdr:row>0</xdr:row>
      <xdr:rowOff>1651000</xdr:rowOff>
    </xdr:to>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284" y="31750"/>
          <a:ext cx="1157671" cy="1619250"/>
        </a:xfrm>
        <a:prstGeom prst="rect">
          <a:avLst/>
        </a:prstGeom>
      </xdr:spPr>
    </xdr:pic>
    <xdr:clientData/>
  </xdr:twoCellAnchor>
  <xdr:oneCellAnchor>
    <xdr:from>
      <xdr:col>16</xdr:col>
      <xdr:colOff>889000</xdr:colOff>
      <xdr:row>0</xdr:row>
      <xdr:rowOff>277091</xdr:rowOff>
    </xdr:from>
    <xdr:ext cx="1714500" cy="624086"/>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535727" y="277091"/>
          <a:ext cx="1714500" cy="624086"/>
        </a:xfrm>
        <a:prstGeom prst="rect">
          <a:avLst/>
        </a:prstGeom>
      </xdr:spPr>
    </xdr:pic>
    <xdr:clientData/>
  </xdr:oneCellAnchor>
  <xdr:oneCellAnchor>
    <xdr:from>
      <xdr:col>17</xdr:col>
      <xdr:colOff>923636</xdr:colOff>
      <xdr:row>0</xdr:row>
      <xdr:rowOff>1281546</xdr:rowOff>
    </xdr:from>
    <xdr:ext cx="621417" cy="616825"/>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701818" y="1281546"/>
          <a:ext cx="621417" cy="61682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10582</xdr:colOff>
      <xdr:row>5</xdr:row>
      <xdr:rowOff>95251</xdr:rowOff>
    </xdr:from>
    <xdr:to>
      <xdr:col>4</xdr:col>
      <xdr:colOff>190499</xdr:colOff>
      <xdr:row>8</xdr:row>
      <xdr:rowOff>98778</xdr:rowOff>
    </xdr:to>
    <xdr:sp macro="" textlink="">
      <xdr:nvSpPr>
        <xdr:cNvPr id="3" name="AutoShape 49" descr="help">
          <a:hlinkClick xmlns:r="http://schemas.openxmlformats.org/officeDocument/2006/relationships" r:id="rId1"/>
        </xdr:cNvPr>
        <xdr:cNvSpPr>
          <a:spLocks noChangeArrowheads="1"/>
        </xdr:cNvSpPr>
      </xdr:nvSpPr>
      <xdr:spPr bwMode="auto">
        <a:xfrm>
          <a:off x="165804" y="906640"/>
          <a:ext cx="2021417" cy="490360"/>
        </a:xfrm>
        <a:prstGeom prst="roundRect">
          <a:avLst>
            <a:gd name="adj" fmla="val 21741"/>
          </a:avLst>
        </a:prstGeom>
        <a:solidFill>
          <a:srgbClr val="004680"/>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bg1"/>
              </a:solidFill>
              <a:latin typeface="Inter" panose="020B0502030000000004" pitchFamily="34" charset="0"/>
              <a:ea typeface="Inter" panose="020B0502030000000004" pitchFamily="34" charset="0"/>
              <a:cs typeface="Arial"/>
            </a:rPr>
            <a:t>Return to Main 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27215</xdr:rowOff>
    </xdr:from>
    <xdr:to>
      <xdr:col>25</xdr:col>
      <xdr:colOff>616856</xdr:colOff>
      <xdr:row>1</xdr:row>
      <xdr:rowOff>32658</xdr:rowOff>
    </xdr:to>
    <xdr:pic>
      <xdr:nvPicPr>
        <xdr:cNvPr id="66" name="Picture 6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929" y="27215"/>
          <a:ext cx="15276284" cy="2128157"/>
        </a:xfrm>
        <a:prstGeom prst="rect">
          <a:avLst/>
        </a:prstGeom>
      </xdr:spPr>
    </xdr:pic>
    <xdr:clientData/>
  </xdr:twoCellAnchor>
  <xdr:twoCellAnchor editAs="oneCell">
    <xdr:from>
      <xdr:col>2</xdr:col>
      <xdr:colOff>68036</xdr:colOff>
      <xdr:row>213</xdr:row>
      <xdr:rowOff>136072</xdr:rowOff>
    </xdr:from>
    <xdr:to>
      <xdr:col>22</xdr:col>
      <xdr:colOff>149679</xdr:colOff>
      <xdr:row>250</xdr:row>
      <xdr:rowOff>86381</xdr:rowOff>
    </xdr:to>
    <xdr:pic>
      <xdr:nvPicPr>
        <xdr:cNvPr id="9" name="Picture 8"/>
        <xdr:cNvPicPr>
          <a:picLocks noChangeAspect="1"/>
        </xdr:cNvPicPr>
      </xdr:nvPicPr>
      <xdr:blipFill>
        <a:blip xmlns:r="http://schemas.openxmlformats.org/officeDocument/2006/relationships" r:embed="rId2"/>
        <a:stretch>
          <a:fillRect/>
        </a:stretch>
      </xdr:blipFill>
      <xdr:spPr>
        <a:xfrm>
          <a:off x="625929" y="37800643"/>
          <a:ext cx="11783786" cy="5991881"/>
        </a:xfrm>
        <a:prstGeom prst="rect">
          <a:avLst/>
        </a:prstGeom>
      </xdr:spPr>
    </xdr:pic>
    <xdr:clientData/>
  </xdr:twoCellAnchor>
  <xdr:twoCellAnchor editAs="oneCell">
    <xdr:from>
      <xdr:col>2</xdr:col>
      <xdr:colOff>40822</xdr:colOff>
      <xdr:row>159</xdr:row>
      <xdr:rowOff>0</xdr:rowOff>
    </xdr:from>
    <xdr:to>
      <xdr:col>18</xdr:col>
      <xdr:colOff>163286</xdr:colOff>
      <xdr:row>196</xdr:row>
      <xdr:rowOff>86896</xdr:rowOff>
    </xdr:to>
    <xdr:pic>
      <xdr:nvPicPr>
        <xdr:cNvPr id="8" name="Picture 7"/>
        <xdr:cNvPicPr>
          <a:picLocks noChangeAspect="1"/>
        </xdr:cNvPicPr>
      </xdr:nvPicPr>
      <xdr:blipFill>
        <a:blip xmlns:r="http://schemas.openxmlformats.org/officeDocument/2006/relationships" r:embed="rId3"/>
        <a:stretch>
          <a:fillRect/>
        </a:stretch>
      </xdr:blipFill>
      <xdr:spPr>
        <a:xfrm>
          <a:off x="598715" y="28683857"/>
          <a:ext cx="9484178" cy="6128468"/>
        </a:xfrm>
        <a:prstGeom prst="rect">
          <a:avLst/>
        </a:prstGeom>
      </xdr:spPr>
    </xdr:pic>
    <xdr:clientData/>
  </xdr:twoCellAnchor>
  <xdr:twoCellAnchor editAs="oneCell">
    <xdr:from>
      <xdr:col>2</xdr:col>
      <xdr:colOff>0</xdr:colOff>
      <xdr:row>108</xdr:row>
      <xdr:rowOff>136072</xdr:rowOff>
    </xdr:from>
    <xdr:to>
      <xdr:col>23</xdr:col>
      <xdr:colOff>108857</xdr:colOff>
      <xdr:row>144</xdr:row>
      <xdr:rowOff>40641</xdr:rowOff>
    </xdr:to>
    <xdr:pic>
      <xdr:nvPicPr>
        <xdr:cNvPr id="2" name="Picture 1"/>
        <xdr:cNvPicPr>
          <a:picLocks noChangeAspect="1"/>
        </xdr:cNvPicPr>
      </xdr:nvPicPr>
      <xdr:blipFill>
        <a:blip xmlns:r="http://schemas.openxmlformats.org/officeDocument/2006/relationships" r:embed="rId4"/>
        <a:stretch>
          <a:fillRect/>
        </a:stretch>
      </xdr:blipFill>
      <xdr:spPr>
        <a:xfrm>
          <a:off x="557893" y="20138572"/>
          <a:ext cx="12396107" cy="5782855"/>
        </a:xfrm>
        <a:prstGeom prst="rect">
          <a:avLst/>
        </a:prstGeom>
      </xdr:spPr>
    </xdr:pic>
    <xdr:clientData/>
  </xdr:twoCellAnchor>
  <xdr:twoCellAnchor editAs="oneCell">
    <xdr:from>
      <xdr:col>2</xdr:col>
      <xdr:colOff>13607</xdr:colOff>
      <xdr:row>55</xdr:row>
      <xdr:rowOff>136072</xdr:rowOff>
    </xdr:from>
    <xdr:to>
      <xdr:col>23</xdr:col>
      <xdr:colOff>40821</xdr:colOff>
      <xdr:row>96</xdr:row>
      <xdr:rowOff>36614</xdr:rowOff>
    </xdr:to>
    <xdr:pic>
      <xdr:nvPicPr>
        <xdr:cNvPr id="75" name="Picture 7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0" y="11620501"/>
          <a:ext cx="12314464" cy="6595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68037</xdr:colOff>
      <xdr:row>5</xdr:row>
      <xdr:rowOff>79368</xdr:rowOff>
    </xdr:from>
    <xdr:to>
      <xdr:col>23</xdr:col>
      <xdr:colOff>122465</xdr:colOff>
      <xdr:row>46</xdr:row>
      <xdr:rowOff>131988</xdr:rowOff>
    </xdr:to>
    <xdr:pic>
      <xdr:nvPicPr>
        <xdr:cNvPr id="74" name="Picture 7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5930" y="3249832"/>
          <a:ext cx="12341678" cy="674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361950</xdr:colOff>
      <xdr:row>153</xdr:row>
      <xdr:rowOff>142875</xdr:rowOff>
    </xdr:from>
    <xdr:to>
      <xdr:col>14</xdr:col>
      <xdr:colOff>57150</xdr:colOff>
      <xdr:row>157</xdr:row>
      <xdr:rowOff>0</xdr:rowOff>
    </xdr:to>
    <xdr:sp macro="" textlink="">
      <xdr:nvSpPr>
        <xdr:cNvPr id="17" name="Rectangle 29"/>
        <xdr:cNvSpPr>
          <a:spLocks noChangeArrowheads="1"/>
        </xdr:cNvSpPr>
      </xdr:nvSpPr>
      <xdr:spPr bwMode="auto">
        <a:xfrm>
          <a:off x="6829425" y="27355800"/>
          <a:ext cx="876300" cy="638175"/>
        </a:xfrm>
        <a:prstGeom prst="rect">
          <a:avLst/>
        </a:prstGeom>
        <a:noFill/>
        <a:ln w="9525" algn="ctr">
          <a:noFill/>
          <a:miter lim="800000"/>
          <a:headEnd/>
          <a:tailEnd/>
        </a:ln>
      </xdr:spPr>
    </xdr:sp>
    <xdr:clientData/>
  </xdr:twoCellAnchor>
  <xdr:twoCellAnchor>
    <xdr:from>
      <xdr:col>3</xdr:col>
      <xdr:colOff>495109</xdr:colOff>
      <xdr:row>24</xdr:row>
      <xdr:rowOff>136229</xdr:rowOff>
    </xdr:from>
    <xdr:to>
      <xdr:col>7</xdr:col>
      <xdr:colOff>31234</xdr:colOff>
      <xdr:row>33</xdr:row>
      <xdr:rowOff>148599</xdr:rowOff>
    </xdr:to>
    <xdr:sp macro="" textlink="">
      <xdr:nvSpPr>
        <xdr:cNvPr id="26" name="AutoShape 3642"/>
        <xdr:cNvSpPr>
          <a:spLocks noChangeArrowheads="1"/>
        </xdr:cNvSpPr>
      </xdr:nvSpPr>
      <xdr:spPr bwMode="auto">
        <a:xfrm>
          <a:off x="1638109" y="6409122"/>
          <a:ext cx="1876554" cy="1481941"/>
        </a:xfrm>
        <a:prstGeom prst="wedgeRoundRectCallout">
          <a:avLst>
            <a:gd name="adj1" fmla="val -68676"/>
            <a:gd name="adj2" fmla="val 8176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2 of 2):</a:t>
          </a:r>
        </a:p>
        <a:p>
          <a:pPr algn="l" rtl="0">
            <a:defRPr sz="1000"/>
          </a:pPr>
          <a:endParaRPr lang="en-AU" sz="400" b="1"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Click the arrow in the red filled heading above and then select the only number in the drop down list. (This number will always match the number input for step 1.)</a:t>
          </a:r>
        </a:p>
      </xdr:txBody>
    </xdr:sp>
    <xdr:clientData/>
  </xdr:twoCellAnchor>
  <xdr:twoCellAnchor>
    <xdr:from>
      <xdr:col>18</xdr:col>
      <xdr:colOff>568397</xdr:colOff>
      <xdr:row>7</xdr:row>
      <xdr:rowOff>76551</xdr:rowOff>
    </xdr:from>
    <xdr:to>
      <xdr:col>23</xdr:col>
      <xdr:colOff>62807</xdr:colOff>
      <xdr:row>14</xdr:row>
      <xdr:rowOff>76857</xdr:rowOff>
    </xdr:to>
    <xdr:sp macro="" textlink="">
      <xdr:nvSpPr>
        <xdr:cNvPr id="28" name="AutoShape 3641"/>
        <xdr:cNvSpPr>
          <a:spLocks noChangeArrowheads="1"/>
        </xdr:cNvSpPr>
      </xdr:nvSpPr>
      <xdr:spPr bwMode="auto">
        <a:xfrm>
          <a:off x="10488004" y="3573587"/>
          <a:ext cx="2419946" cy="1143306"/>
        </a:xfrm>
        <a:prstGeom prst="wedgeRoundRectCallout">
          <a:avLst>
            <a:gd name="adj1" fmla="val 21732"/>
            <a:gd name="adj2" fmla="val 8779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Additional information table: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table to the right of the calculator form provides additional information about the impact of any adjustment factors used for individual lighting systems.</a:t>
          </a:r>
        </a:p>
        <a:p>
          <a:pPr algn="l" rtl="0">
            <a:defRPr sz="1000"/>
          </a:pPr>
          <a:r>
            <a:rPr lang="en-AU" sz="1000" b="0" i="0" u="none" strike="noStrike" baseline="0">
              <a:solidFill>
                <a:srgbClr val="000000"/>
              </a:solidFill>
              <a:latin typeface="Arial"/>
              <a:cs typeface="Arial"/>
            </a:rPr>
            <a:t>Scroll right to see the table.</a:t>
          </a:r>
        </a:p>
      </xdr:txBody>
    </xdr:sp>
    <xdr:clientData/>
  </xdr:twoCellAnchor>
  <xdr:twoCellAnchor>
    <xdr:from>
      <xdr:col>21</xdr:col>
      <xdr:colOff>258774</xdr:colOff>
      <xdr:row>37</xdr:row>
      <xdr:rowOff>7559</xdr:rowOff>
    </xdr:from>
    <xdr:to>
      <xdr:col>24</xdr:col>
      <xdr:colOff>30308</xdr:colOff>
      <xdr:row>43</xdr:row>
      <xdr:rowOff>143639</xdr:rowOff>
    </xdr:to>
    <xdr:sp macro="" textlink="">
      <xdr:nvSpPr>
        <xdr:cNvPr id="29" name="AutoShape 3640"/>
        <xdr:cNvSpPr>
          <a:spLocks noChangeArrowheads="1"/>
        </xdr:cNvSpPr>
      </xdr:nvSpPr>
      <xdr:spPr bwMode="auto">
        <a:xfrm>
          <a:off x="11933703" y="8403166"/>
          <a:ext cx="1526855" cy="1115794"/>
        </a:xfrm>
        <a:prstGeom prst="wedgeRoundRectCallout">
          <a:avLst>
            <a:gd name="adj1" fmla="val -43087"/>
            <a:gd name="adj2" fmla="val 8504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Zoom setting option: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the zoom to see full width of the form on lower resolution screens.</a:t>
          </a:r>
        </a:p>
      </xdr:txBody>
    </xdr:sp>
    <xdr:clientData/>
  </xdr:twoCellAnchor>
  <xdr:twoCellAnchor>
    <xdr:from>
      <xdr:col>6</xdr:col>
      <xdr:colOff>159385</xdr:colOff>
      <xdr:row>16</xdr:row>
      <xdr:rowOff>159784</xdr:rowOff>
    </xdr:from>
    <xdr:to>
      <xdr:col>6</xdr:col>
      <xdr:colOff>509813</xdr:colOff>
      <xdr:row>18</xdr:row>
      <xdr:rowOff>76093</xdr:rowOff>
    </xdr:to>
    <xdr:sp macro="" textlink="">
      <xdr:nvSpPr>
        <xdr:cNvPr id="30" name="AutoShape 8"/>
        <xdr:cNvSpPr>
          <a:spLocks noChangeArrowheads="1"/>
        </xdr:cNvSpPr>
      </xdr:nvSpPr>
      <xdr:spPr bwMode="auto">
        <a:xfrm>
          <a:off x="3057706" y="5126391"/>
          <a:ext cx="350428" cy="242881"/>
        </a:xfrm>
        <a:prstGeom prst="roundRect">
          <a:avLst>
            <a:gd name="adj" fmla="val 16667"/>
          </a:avLst>
        </a:prstGeom>
        <a:noFill/>
        <a:ln w="19050" algn="ctr">
          <a:solidFill>
            <a:srgbClr val="FF0000"/>
          </a:solidFill>
          <a:round/>
          <a:headEnd/>
          <a:tailEnd/>
        </a:ln>
      </xdr:spPr>
    </xdr:sp>
    <xdr:clientData/>
  </xdr:twoCellAnchor>
  <xdr:twoCellAnchor>
    <xdr:from>
      <xdr:col>4</xdr:col>
      <xdr:colOff>37558</xdr:colOff>
      <xdr:row>70</xdr:row>
      <xdr:rowOff>2944</xdr:rowOff>
    </xdr:from>
    <xdr:to>
      <xdr:col>6</xdr:col>
      <xdr:colOff>27215</xdr:colOff>
      <xdr:row>86</xdr:row>
      <xdr:rowOff>40821</xdr:rowOff>
    </xdr:to>
    <xdr:sp macro="" textlink="">
      <xdr:nvSpPr>
        <xdr:cNvPr id="32" name="AutoShape 8"/>
        <xdr:cNvSpPr>
          <a:spLocks noChangeArrowheads="1"/>
        </xdr:cNvSpPr>
      </xdr:nvSpPr>
      <xdr:spPr bwMode="auto">
        <a:xfrm>
          <a:off x="1765665" y="13936658"/>
          <a:ext cx="1159871" cy="2650449"/>
        </a:xfrm>
        <a:prstGeom prst="roundRect">
          <a:avLst>
            <a:gd name="adj" fmla="val 16667"/>
          </a:avLst>
        </a:prstGeom>
        <a:noFill/>
        <a:ln w="19050" algn="ctr">
          <a:solidFill>
            <a:srgbClr val="FF0000"/>
          </a:solidFill>
          <a:round/>
          <a:headEnd/>
          <a:tailEnd/>
        </a:ln>
      </xdr:spPr>
    </xdr:sp>
    <xdr:clientData/>
  </xdr:twoCellAnchor>
  <xdr:twoCellAnchor>
    <xdr:from>
      <xdr:col>8</xdr:col>
      <xdr:colOff>308904</xdr:colOff>
      <xdr:row>66</xdr:row>
      <xdr:rowOff>37798</xdr:rowOff>
    </xdr:from>
    <xdr:to>
      <xdr:col>11</xdr:col>
      <xdr:colOff>183353</xdr:colOff>
      <xdr:row>71</xdr:row>
      <xdr:rowOff>34017</xdr:rowOff>
    </xdr:to>
    <xdr:sp macro="" textlink="">
      <xdr:nvSpPr>
        <xdr:cNvPr id="33" name="AutoShape 3641"/>
        <xdr:cNvSpPr>
          <a:spLocks noChangeArrowheads="1"/>
        </xdr:cNvSpPr>
      </xdr:nvSpPr>
      <xdr:spPr bwMode="auto">
        <a:xfrm>
          <a:off x="4377440" y="13318369"/>
          <a:ext cx="1629770" cy="812648"/>
        </a:xfrm>
        <a:prstGeom prst="wedgeRoundRectCallout">
          <a:avLst>
            <a:gd name="adj1" fmla="val 66355"/>
            <a:gd name="adj2" fmla="val 13372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Navigation button: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Links to a detailed list of Adjustment Factors.</a:t>
          </a:r>
        </a:p>
      </xdr:txBody>
    </xdr:sp>
    <xdr:clientData/>
  </xdr:twoCellAnchor>
  <xdr:twoCellAnchor>
    <xdr:from>
      <xdr:col>4</xdr:col>
      <xdr:colOff>70821</xdr:colOff>
      <xdr:row>89</xdr:row>
      <xdr:rowOff>92464</xdr:rowOff>
    </xdr:from>
    <xdr:to>
      <xdr:col>6</xdr:col>
      <xdr:colOff>536340</xdr:colOff>
      <xdr:row>95</xdr:row>
      <xdr:rowOff>37082</xdr:rowOff>
    </xdr:to>
    <xdr:sp macro="" textlink="">
      <xdr:nvSpPr>
        <xdr:cNvPr id="34" name="AutoShape 3641"/>
        <xdr:cNvSpPr>
          <a:spLocks noChangeArrowheads="1"/>
        </xdr:cNvSpPr>
      </xdr:nvSpPr>
      <xdr:spPr bwMode="auto">
        <a:xfrm>
          <a:off x="1798928" y="17128607"/>
          <a:ext cx="1635733" cy="924332"/>
        </a:xfrm>
        <a:prstGeom prst="wedgeRoundRectCallout">
          <a:avLst>
            <a:gd name="adj1" fmla="val 54475"/>
            <a:gd name="adj2" fmla="val -8010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Spaces listed in the drop down menu match those in Table J6.2a.</a:t>
          </a:r>
        </a:p>
      </xdr:txBody>
    </xdr:sp>
    <xdr:clientData/>
  </xdr:twoCellAnchor>
  <xdr:twoCellAnchor>
    <xdr:from>
      <xdr:col>12</xdr:col>
      <xdr:colOff>189067</xdr:colOff>
      <xdr:row>79</xdr:row>
      <xdr:rowOff>21566</xdr:rowOff>
    </xdr:from>
    <xdr:to>
      <xdr:col>15</xdr:col>
      <xdr:colOff>63494</xdr:colOff>
      <xdr:row>86</xdr:row>
      <xdr:rowOff>1676</xdr:rowOff>
    </xdr:to>
    <xdr:sp macro="" textlink="">
      <xdr:nvSpPr>
        <xdr:cNvPr id="35" name="AutoShape 3641"/>
        <xdr:cNvSpPr>
          <a:spLocks noChangeArrowheads="1"/>
        </xdr:cNvSpPr>
      </xdr:nvSpPr>
      <xdr:spPr bwMode="auto">
        <a:xfrm>
          <a:off x="6598031" y="15424852"/>
          <a:ext cx="1629749" cy="1123110"/>
        </a:xfrm>
        <a:prstGeom prst="wedgeRoundRectCallout">
          <a:avLst>
            <a:gd name="adj1" fmla="val -65539"/>
            <a:gd name="adj2" fmla="val 5316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"Adjustment Factors"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Items listed in the drop down menu relate to those in Table J6.2b.</a:t>
          </a:r>
        </a:p>
      </xdr:txBody>
    </xdr:sp>
    <xdr:clientData/>
  </xdr:twoCellAnchor>
  <xdr:twoCellAnchor>
    <xdr:from>
      <xdr:col>13</xdr:col>
      <xdr:colOff>384660</xdr:colOff>
      <xdr:row>88</xdr:row>
      <xdr:rowOff>106788</xdr:rowOff>
    </xdr:from>
    <xdr:to>
      <xdr:col>16</xdr:col>
      <xdr:colOff>265073</xdr:colOff>
      <xdr:row>95</xdr:row>
      <xdr:rowOff>91987</xdr:rowOff>
    </xdr:to>
    <xdr:sp macro="" textlink="">
      <xdr:nvSpPr>
        <xdr:cNvPr id="36" name="AutoShape 3641"/>
        <xdr:cNvSpPr>
          <a:spLocks noChangeArrowheads="1"/>
        </xdr:cNvSpPr>
      </xdr:nvSpPr>
      <xdr:spPr bwMode="auto">
        <a:xfrm>
          <a:off x="7378731" y="16979645"/>
          <a:ext cx="1635735" cy="1128199"/>
        </a:xfrm>
        <a:prstGeom prst="wedgeRoundRectCallout">
          <a:avLst>
            <a:gd name="adj1" fmla="val -83511"/>
            <a:gd name="adj2" fmla="val 4668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User's worksheet: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worksheet on this tab can be used for notes or supplementary calculations (if desired).</a:t>
          </a:r>
        </a:p>
      </xdr:txBody>
    </xdr:sp>
    <xdr:clientData/>
  </xdr:twoCellAnchor>
  <xdr:twoCellAnchor>
    <xdr:from>
      <xdr:col>16</xdr:col>
      <xdr:colOff>429143</xdr:colOff>
      <xdr:row>76</xdr:row>
      <xdr:rowOff>50925</xdr:rowOff>
    </xdr:from>
    <xdr:to>
      <xdr:col>20</xdr:col>
      <xdr:colOff>30895</xdr:colOff>
      <xdr:row>86</xdr:row>
      <xdr:rowOff>85154</xdr:rowOff>
    </xdr:to>
    <xdr:sp macro="" textlink="">
      <xdr:nvSpPr>
        <xdr:cNvPr id="37" name="AutoShape 3641"/>
        <xdr:cNvSpPr>
          <a:spLocks noChangeArrowheads="1"/>
        </xdr:cNvSpPr>
      </xdr:nvSpPr>
      <xdr:spPr bwMode="auto">
        <a:xfrm>
          <a:off x="9178536" y="14964354"/>
          <a:ext cx="1942180" cy="1667086"/>
        </a:xfrm>
        <a:prstGeom prst="wedgeRoundRectCallout">
          <a:avLst>
            <a:gd name="adj1" fmla="val 81033"/>
            <a:gd name="adj2" fmla="val 9560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Calculated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displayed progressively as lighting systems are added to the table, provided details for each system are complete.</a:t>
          </a:r>
        </a:p>
        <a:p>
          <a:pPr algn="l" rtl="0">
            <a:defRPr sz="1000"/>
          </a:pPr>
          <a:r>
            <a:rPr lang="en-AU" sz="1000" b="0" i="0" u="none" strike="noStrike" baseline="0">
              <a:solidFill>
                <a:srgbClr val="000000"/>
              </a:solidFill>
              <a:latin typeface="Arial"/>
              <a:cs typeface="Arial"/>
            </a:rPr>
            <a:t>Results may change as more systems are added.</a:t>
          </a:r>
        </a:p>
      </xdr:txBody>
    </xdr:sp>
    <xdr:clientData/>
  </xdr:twoCellAnchor>
  <xdr:twoCellAnchor>
    <xdr:from>
      <xdr:col>16</xdr:col>
      <xdr:colOff>500996</xdr:colOff>
      <xdr:row>64</xdr:row>
      <xdr:rowOff>145939</xdr:rowOff>
    </xdr:from>
    <xdr:to>
      <xdr:col>19</xdr:col>
      <xdr:colOff>334988</xdr:colOff>
      <xdr:row>70</xdr:row>
      <xdr:rowOff>116337</xdr:rowOff>
    </xdr:to>
    <xdr:sp macro="" textlink="">
      <xdr:nvSpPr>
        <xdr:cNvPr id="38" name="AutoShape 3641"/>
        <xdr:cNvSpPr>
          <a:spLocks noChangeArrowheads="1"/>
        </xdr:cNvSpPr>
      </xdr:nvSpPr>
      <xdr:spPr bwMode="auto">
        <a:xfrm>
          <a:off x="9250389" y="13099939"/>
          <a:ext cx="1589313" cy="950112"/>
        </a:xfrm>
        <a:prstGeom prst="wedgeRoundRectCallout">
          <a:avLst>
            <a:gd name="adj1" fmla="val -69117"/>
            <a:gd name="adj2" fmla="val 1753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Classification menu:</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Use the drop down menu to select the building Classification. </a:t>
          </a:r>
        </a:p>
      </xdr:txBody>
    </xdr:sp>
    <xdr:clientData/>
  </xdr:twoCellAnchor>
  <xdr:twoCellAnchor>
    <xdr:from>
      <xdr:col>14</xdr:col>
      <xdr:colOff>103764</xdr:colOff>
      <xdr:row>139</xdr:row>
      <xdr:rowOff>72811</xdr:rowOff>
    </xdr:from>
    <xdr:to>
      <xdr:col>17</xdr:col>
      <xdr:colOff>295050</xdr:colOff>
      <xdr:row>146</xdr:row>
      <xdr:rowOff>54262</xdr:rowOff>
    </xdr:to>
    <xdr:sp macro="" textlink="">
      <xdr:nvSpPr>
        <xdr:cNvPr id="40" name="AutoShape 3641"/>
        <xdr:cNvSpPr>
          <a:spLocks noChangeArrowheads="1"/>
        </xdr:cNvSpPr>
      </xdr:nvSpPr>
      <xdr:spPr bwMode="auto">
        <a:xfrm>
          <a:off x="7682943" y="25137168"/>
          <a:ext cx="1946607" cy="1124451"/>
        </a:xfrm>
        <a:prstGeom prst="wedgeRoundRectCallout">
          <a:avLst>
            <a:gd name="adj1" fmla="val 107227"/>
            <a:gd name="adj2" fmla="val -8035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Missing inputs for columns to the left of the Adjustment Factor columns are not colour filled but are identified in the input alert by column name.</a:t>
          </a:r>
        </a:p>
      </xdr:txBody>
    </xdr:sp>
    <xdr:clientData/>
  </xdr:twoCellAnchor>
  <xdr:twoCellAnchor>
    <xdr:from>
      <xdr:col>7</xdr:col>
      <xdr:colOff>195911</xdr:colOff>
      <xdr:row>136</xdr:row>
      <xdr:rowOff>60159</xdr:rowOff>
    </xdr:from>
    <xdr:to>
      <xdr:col>9</xdr:col>
      <xdr:colOff>108857</xdr:colOff>
      <xdr:row>137</xdr:row>
      <xdr:rowOff>81643</xdr:rowOff>
    </xdr:to>
    <xdr:sp macro="" textlink="">
      <xdr:nvSpPr>
        <xdr:cNvPr id="41" name="Rounded Rectangle 40"/>
        <xdr:cNvSpPr/>
      </xdr:nvSpPr>
      <xdr:spPr bwMode="auto">
        <a:xfrm>
          <a:off x="3679340" y="24634659"/>
          <a:ext cx="1083160" cy="184770"/>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9</xdr:col>
      <xdr:colOff>108857</xdr:colOff>
      <xdr:row>136</xdr:row>
      <xdr:rowOff>152544</xdr:rowOff>
    </xdr:from>
    <xdr:to>
      <xdr:col>19</xdr:col>
      <xdr:colOff>250261</xdr:colOff>
      <xdr:row>136</xdr:row>
      <xdr:rowOff>160940</xdr:rowOff>
    </xdr:to>
    <xdr:cxnSp macro="">
      <xdr:nvCxnSpPr>
        <xdr:cNvPr id="42" name="Straight Arrow Connector 41"/>
        <xdr:cNvCxnSpPr>
          <a:stCxn id="41" idx="3"/>
          <a:endCxn id="43" idx="1"/>
        </xdr:cNvCxnSpPr>
      </xdr:nvCxnSpPr>
      <xdr:spPr bwMode="auto">
        <a:xfrm>
          <a:off x="4762500" y="24727044"/>
          <a:ext cx="5992475" cy="8396"/>
        </a:xfrm>
        <a:prstGeom prst="straightConnector1">
          <a:avLst/>
        </a:prstGeom>
        <a:noFill/>
        <a:ln w="19050" cap="flat" cmpd="sng" algn="ctr">
          <a:solidFill>
            <a:srgbClr val="FF0000"/>
          </a:solidFill>
          <a:prstDash val="solid"/>
          <a:round/>
          <a:headEnd type="triangle"/>
          <a:tailEnd type="triangle"/>
        </a:ln>
        <a:effectLst/>
      </xdr:spPr>
    </xdr:cxnSp>
    <xdr:clientData/>
  </xdr:twoCellAnchor>
  <xdr:twoCellAnchor>
    <xdr:from>
      <xdr:col>19</xdr:col>
      <xdr:colOff>250261</xdr:colOff>
      <xdr:row>136</xdr:row>
      <xdr:rowOff>76233</xdr:rowOff>
    </xdr:from>
    <xdr:to>
      <xdr:col>21</xdr:col>
      <xdr:colOff>335165</xdr:colOff>
      <xdr:row>137</xdr:row>
      <xdr:rowOff>82360</xdr:rowOff>
    </xdr:to>
    <xdr:sp macro="" textlink="">
      <xdr:nvSpPr>
        <xdr:cNvPr id="43" name="Rounded Rectangle 42"/>
        <xdr:cNvSpPr/>
      </xdr:nvSpPr>
      <xdr:spPr bwMode="auto">
        <a:xfrm>
          <a:off x="10754975" y="24650733"/>
          <a:ext cx="1255119" cy="169413"/>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18</xdr:col>
      <xdr:colOff>23077</xdr:colOff>
      <xdr:row>143</xdr:row>
      <xdr:rowOff>117849</xdr:rowOff>
    </xdr:from>
    <xdr:to>
      <xdr:col>20</xdr:col>
      <xdr:colOff>323454</xdr:colOff>
      <xdr:row>149</xdr:row>
      <xdr:rowOff>158183</xdr:rowOff>
    </xdr:to>
    <xdr:sp macro="" textlink="">
      <xdr:nvSpPr>
        <xdr:cNvPr id="44" name="AutoShape 3641"/>
        <xdr:cNvSpPr>
          <a:spLocks noChangeArrowheads="1"/>
        </xdr:cNvSpPr>
      </xdr:nvSpPr>
      <xdr:spPr bwMode="auto">
        <a:xfrm>
          <a:off x="9942684" y="25835349"/>
          <a:ext cx="1470591" cy="1020048"/>
        </a:xfrm>
        <a:prstGeom prst="wedgeRoundRectCallout">
          <a:avLst>
            <a:gd name="adj1" fmla="val 64835"/>
            <a:gd name="adj2" fmla="val -5681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 not displayed when input issues have been identified.</a:t>
          </a:r>
        </a:p>
      </xdr:txBody>
    </xdr:sp>
    <xdr:clientData/>
  </xdr:twoCellAnchor>
  <xdr:twoCellAnchor>
    <xdr:from>
      <xdr:col>20</xdr:col>
      <xdr:colOff>534657</xdr:colOff>
      <xdr:row>123</xdr:row>
      <xdr:rowOff>147927</xdr:rowOff>
    </xdr:from>
    <xdr:to>
      <xdr:col>23</xdr:col>
      <xdr:colOff>380855</xdr:colOff>
      <xdr:row>130</xdr:row>
      <xdr:rowOff>93569</xdr:rowOff>
    </xdr:to>
    <xdr:sp macro="" textlink="">
      <xdr:nvSpPr>
        <xdr:cNvPr id="45" name="AutoShape 3641"/>
        <xdr:cNvSpPr>
          <a:spLocks noChangeArrowheads="1"/>
        </xdr:cNvSpPr>
      </xdr:nvSpPr>
      <xdr:spPr bwMode="auto">
        <a:xfrm>
          <a:off x="11624478" y="22599713"/>
          <a:ext cx="1601520" cy="1088642"/>
        </a:xfrm>
        <a:prstGeom prst="wedgeRoundRectCallout">
          <a:avLst>
            <a:gd name="adj1" fmla="val -39989"/>
            <a:gd name="adj2" fmla="val 6756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Input Alerts: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alerts about missing data may appear in the Outcomes area of the lighting systems table.</a:t>
          </a:r>
        </a:p>
      </xdr:txBody>
    </xdr:sp>
    <xdr:clientData/>
  </xdr:twoCellAnchor>
  <xdr:twoCellAnchor>
    <xdr:from>
      <xdr:col>12</xdr:col>
      <xdr:colOff>580331</xdr:colOff>
      <xdr:row>122</xdr:row>
      <xdr:rowOff>123419</xdr:rowOff>
    </xdr:from>
    <xdr:to>
      <xdr:col>15</xdr:col>
      <xdr:colOff>420083</xdr:colOff>
      <xdr:row>129</xdr:row>
      <xdr:rowOff>132888</xdr:rowOff>
    </xdr:to>
    <xdr:sp macro="" textlink="">
      <xdr:nvSpPr>
        <xdr:cNvPr id="46" name="AutoShape 3641"/>
        <xdr:cNvSpPr>
          <a:spLocks noChangeArrowheads="1"/>
        </xdr:cNvSpPr>
      </xdr:nvSpPr>
      <xdr:spPr bwMode="auto">
        <a:xfrm>
          <a:off x="6989295" y="22411919"/>
          <a:ext cx="1595074" cy="1152469"/>
        </a:xfrm>
        <a:prstGeom prst="wedgeRoundRectCallout">
          <a:avLst>
            <a:gd name="adj1" fmla="val -46020"/>
            <a:gd name="adj2" fmla="val 729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Data highlighting: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without an expected related value is shown in red bold italics font. (In this case, the related Factor is missing.)</a:t>
          </a:r>
        </a:p>
      </xdr:txBody>
    </xdr:sp>
    <xdr:clientData/>
  </xdr:twoCellAnchor>
  <xdr:twoCellAnchor>
    <xdr:from>
      <xdr:col>15</xdr:col>
      <xdr:colOff>21007</xdr:colOff>
      <xdr:row>129</xdr:row>
      <xdr:rowOff>133764</xdr:rowOff>
    </xdr:from>
    <xdr:to>
      <xdr:col>17</xdr:col>
      <xdr:colOff>466202</xdr:colOff>
      <xdr:row>136</xdr:row>
      <xdr:rowOff>77530</xdr:rowOff>
    </xdr:to>
    <xdr:sp macro="" textlink="">
      <xdr:nvSpPr>
        <xdr:cNvPr id="47" name="AutoShape 3641"/>
        <xdr:cNvSpPr>
          <a:spLocks noChangeArrowheads="1"/>
        </xdr:cNvSpPr>
      </xdr:nvSpPr>
      <xdr:spPr bwMode="auto">
        <a:xfrm>
          <a:off x="8185293" y="23565264"/>
          <a:ext cx="1615409" cy="1086766"/>
        </a:xfrm>
        <a:prstGeom prst="wedgeRoundRectCallout">
          <a:avLst>
            <a:gd name="adj1" fmla="val -74531"/>
            <a:gd name="adj2" fmla="val -8326"/>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Missing data highlight:</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Colour fill highlights missing Adjustment Factor data mentioned in input alerts to the right.</a:t>
          </a:r>
        </a:p>
      </xdr:txBody>
    </xdr:sp>
    <xdr:clientData/>
  </xdr:twoCellAnchor>
  <xdr:twoCellAnchor>
    <xdr:from>
      <xdr:col>8</xdr:col>
      <xdr:colOff>9471</xdr:colOff>
      <xdr:row>190</xdr:row>
      <xdr:rowOff>150794</xdr:rowOff>
    </xdr:from>
    <xdr:to>
      <xdr:col>10</xdr:col>
      <xdr:colOff>563283</xdr:colOff>
      <xdr:row>197</xdr:row>
      <xdr:rowOff>155256</xdr:rowOff>
    </xdr:to>
    <xdr:sp macro="" textlink="">
      <xdr:nvSpPr>
        <xdr:cNvPr id="49" name="AutoShape 3641"/>
        <xdr:cNvSpPr>
          <a:spLocks noChangeArrowheads="1"/>
        </xdr:cNvSpPr>
      </xdr:nvSpPr>
      <xdr:spPr bwMode="auto">
        <a:xfrm>
          <a:off x="4078007" y="33896508"/>
          <a:ext cx="1724026" cy="1147462"/>
        </a:xfrm>
        <a:prstGeom prst="wedgeRoundRectCallout">
          <a:avLst>
            <a:gd name="adj1" fmla="val 62230"/>
            <a:gd name="adj2" fmla="val -6516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Locations for reporting: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Systems in the two different Locations input in this example are separately assessed and reported in the Outcomes columns.</a:t>
          </a:r>
        </a:p>
      </xdr:txBody>
    </xdr:sp>
    <xdr:clientData/>
  </xdr:twoCellAnchor>
  <xdr:twoCellAnchor>
    <xdr:from>
      <xdr:col>18</xdr:col>
      <xdr:colOff>162887</xdr:colOff>
      <xdr:row>162</xdr:row>
      <xdr:rowOff>161217</xdr:rowOff>
    </xdr:from>
    <xdr:to>
      <xdr:col>21</xdr:col>
      <xdr:colOff>167070</xdr:colOff>
      <xdr:row>170</xdr:row>
      <xdr:rowOff>105654</xdr:rowOff>
    </xdr:to>
    <xdr:sp macro="" textlink="">
      <xdr:nvSpPr>
        <xdr:cNvPr id="50" name="AutoShape 3641"/>
        <xdr:cNvSpPr>
          <a:spLocks noChangeArrowheads="1"/>
        </xdr:cNvSpPr>
      </xdr:nvSpPr>
      <xdr:spPr bwMode="auto">
        <a:xfrm>
          <a:off x="10082494" y="29334931"/>
          <a:ext cx="1759505" cy="1250723"/>
        </a:xfrm>
        <a:prstGeom prst="wedgeRoundRectCallout">
          <a:avLst>
            <a:gd name="adj1" fmla="val -66309"/>
            <a:gd name="adj2" fmla="val 3397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Note explains that separate aggregate allowances are calculated when there are inputs for lighting systems in different Locations.</a:t>
          </a:r>
        </a:p>
      </xdr:txBody>
    </xdr:sp>
    <xdr:clientData/>
  </xdr:twoCellAnchor>
  <xdr:twoCellAnchor>
    <xdr:from>
      <xdr:col>10</xdr:col>
      <xdr:colOff>570864</xdr:colOff>
      <xdr:row>173</xdr:row>
      <xdr:rowOff>102332</xdr:rowOff>
    </xdr:from>
    <xdr:to>
      <xdr:col>13</xdr:col>
      <xdr:colOff>354460</xdr:colOff>
      <xdr:row>180</xdr:row>
      <xdr:rowOff>128676</xdr:rowOff>
    </xdr:to>
    <xdr:sp macro="" textlink="">
      <xdr:nvSpPr>
        <xdr:cNvPr id="52" name="AutoShape 3641"/>
        <xdr:cNvSpPr>
          <a:spLocks noChangeArrowheads="1"/>
        </xdr:cNvSpPr>
      </xdr:nvSpPr>
      <xdr:spPr bwMode="auto">
        <a:xfrm>
          <a:off x="5809614" y="31072189"/>
          <a:ext cx="1538917" cy="1169344"/>
        </a:xfrm>
        <a:prstGeom prst="wedgeRoundRectCallout">
          <a:avLst>
            <a:gd name="adj1" fmla="val 69740"/>
            <a:gd name="adj2" fmla="val 6281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Allowance column: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Text and fill colour in this column matches the formatting of the "System Share" column on the right of the table.</a:t>
          </a:r>
        </a:p>
      </xdr:txBody>
    </xdr:sp>
    <xdr:clientData/>
  </xdr:twoCellAnchor>
  <xdr:twoCellAnchor>
    <xdr:from>
      <xdr:col>8</xdr:col>
      <xdr:colOff>337156</xdr:colOff>
      <xdr:row>179</xdr:row>
      <xdr:rowOff>121746</xdr:rowOff>
    </xdr:from>
    <xdr:to>
      <xdr:col>11</xdr:col>
      <xdr:colOff>40823</xdr:colOff>
      <xdr:row>187</xdr:row>
      <xdr:rowOff>130406</xdr:rowOff>
    </xdr:to>
    <xdr:sp macro="" textlink="">
      <xdr:nvSpPr>
        <xdr:cNvPr id="53" name="AutoShape 3641"/>
        <xdr:cNvSpPr>
          <a:spLocks noChangeArrowheads="1"/>
        </xdr:cNvSpPr>
      </xdr:nvSpPr>
      <xdr:spPr bwMode="auto">
        <a:xfrm>
          <a:off x="4405692" y="32071317"/>
          <a:ext cx="1458988" cy="1314946"/>
        </a:xfrm>
        <a:prstGeom prst="wedgeRoundRectCallout">
          <a:avLst>
            <a:gd name="adj1" fmla="val 230667"/>
            <a:gd name="adj2" fmla="val 4215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Space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Red font on white fill shows that a system exceeds the allowance for its Space when the aggregate for the Location still Passes.</a:t>
          </a:r>
        </a:p>
      </xdr:txBody>
    </xdr:sp>
    <xdr:clientData/>
  </xdr:twoCellAnchor>
  <xdr:twoCellAnchor>
    <xdr:from>
      <xdr:col>18</xdr:col>
      <xdr:colOff>242463</xdr:colOff>
      <xdr:row>178</xdr:row>
      <xdr:rowOff>54187</xdr:rowOff>
    </xdr:from>
    <xdr:to>
      <xdr:col>21</xdr:col>
      <xdr:colOff>256902</xdr:colOff>
      <xdr:row>186</xdr:row>
      <xdr:rowOff>138340</xdr:rowOff>
    </xdr:to>
    <xdr:sp macro="" textlink="">
      <xdr:nvSpPr>
        <xdr:cNvPr id="54" name="AutoShape 3641"/>
        <xdr:cNvSpPr>
          <a:spLocks noChangeArrowheads="1"/>
        </xdr:cNvSpPr>
      </xdr:nvSpPr>
      <xdr:spPr bwMode="auto">
        <a:xfrm>
          <a:off x="10162070" y="31840473"/>
          <a:ext cx="1769761" cy="1390438"/>
        </a:xfrm>
        <a:prstGeom prst="wedgeRoundRectCallout">
          <a:avLst>
            <a:gd name="adj1" fmla="val -67010"/>
            <a:gd name="adj2" fmla="val -605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System Shares and Location Outcomes: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Help screen explains how to interpret these % values. Green fill indicates an aggregate Pass for the Systems in each Location.</a:t>
          </a:r>
        </a:p>
      </xdr:txBody>
    </xdr:sp>
    <xdr:clientData/>
  </xdr:twoCellAnchor>
  <xdr:twoCellAnchor>
    <xdr:from>
      <xdr:col>18</xdr:col>
      <xdr:colOff>209042</xdr:colOff>
      <xdr:row>188</xdr:row>
      <xdr:rowOff>128033</xdr:rowOff>
    </xdr:from>
    <xdr:to>
      <xdr:col>20</xdr:col>
      <xdr:colOff>393242</xdr:colOff>
      <xdr:row>193</xdr:row>
      <xdr:rowOff>150016</xdr:rowOff>
    </xdr:to>
    <xdr:sp macro="" textlink="">
      <xdr:nvSpPr>
        <xdr:cNvPr id="55" name="AutoShape 3641"/>
        <xdr:cNvSpPr>
          <a:spLocks noChangeArrowheads="1"/>
        </xdr:cNvSpPr>
      </xdr:nvSpPr>
      <xdr:spPr bwMode="auto">
        <a:xfrm>
          <a:off x="10128649" y="33547176"/>
          <a:ext cx="1354414" cy="838411"/>
        </a:xfrm>
        <a:prstGeom prst="wedgeRoundRectCallout">
          <a:avLst>
            <a:gd name="adj1" fmla="val -66109"/>
            <a:gd name="adj2" fmla="val -10449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Critical Location: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Failure for this Location causes the overall design to Fail.</a:t>
          </a:r>
        </a:p>
      </xdr:txBody>
    </xdr:sp>
    <xdr:clientData/>
  </xdr:twoCellAnchor>
  <xdr:twoCellAnchor>
    <xdr:from>
      <xdr:col>18</xdr:col>
      <xdr:colOff>153420</xdr:colOff>
      <xdr:row>194</xdr:row>
      <xdr:rowOff>74879</xdr:rowOff>
    </xdr:from>
    <xdr:to>
      <xdr:col>20</xdr:col>
      <xdr:colOff>478730</xdr:colOff>
      <xdr:row>201</xdr:row>
      <xdr:rowOff>147171</xdr:rowOff>
    </xdr:to>
    <xdr:sp macro="" textlink="">
      <xdr:nvSpPr>
        <xdr:cNvPr id="56" name="AutoShape 3641"/>
        <xdr:cNvSpPr>
          <a:spLocks noChangeArrowheads="1"/>
        </xdr:cNvSpPr>
      </xdr:nvSpPr>
      <xdr:spPr bwMode="auto">
        <a:xfrm>
          <a:off x="10073027" y="34473736"/>
          <a:ext cx="1495524" cy="1215292"/>
        </a:xfrm>
        <a:prstGeom prst="wedgeRoundRectCallout">
          <a:avLst>
            <a:gd name="adj1" fmla="val -107314"/>
            <a:gd name="adj2" fmla="val -5623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Tick / Cross box:</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Pass for the overall design is indicated by a tick (on green fill) in this box. A Failure is shown by a cross (on red fill). </a:t>
          </a:r>
        </a:p>
      </xdr:txBody>
    </xdr:sp>
    <xdr:clientData/>
  </xdr:twoCellAnchor>
  <xdr:twoCellAnchor>
    <xdr:from>
      <xdr:col>7</xdr:col>
      <xdr:colOff>73923</xdr:colOff>
      <xdr:row>181</xdr:row>
      <xdr:rowOff>54427</xdr:rowOff>
    </xdr:from>
    <xdr:to>
      <xdr:col>8</xdr:col>
      <xdr:colOff>122463</xdr:colOff>
      <xdr:row>185</xdr:row>
      <xdr:rowOff>0</xdr:rowOff>
    </xdr:to>
    <xdr:sp macro="" textlink="">
      <xdr:nvSpPr>
        <xdr:cNvPr id="57" name="Rounded Rectangle 56"/>
        <xdr:cNvSpPr/>
      </xdr:nvSpPr>
      <xdr:spPr bwMode="auto">
        <a:xfrm>
          <a:off x="3557352" y="32330570"/>
          <a:ext cx="633647" cy="598716"/>
        </a:xfrm>
        <a:prstGeom prst="round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24191</xdr:colOff>
      <xdr:row>185</xdr:row>
      <xdr:rowOff>37398</xdr:rowOff>
    </xdr:from>
    <xdr:to>
      <xdr:col>8</xdr:col>
      <xdr:colOff>113871</xdr:colOff>
      <xdr:row>186</xdr:row>
      <xdr:rowOff>93101</xdr:rowOff>
    </xdr:to>
    <xdr:sp macro="" textlink="">
      <xdr:nvSpPr>
        <xdr:cNvPr id="58" name="Rounded Rectangle 57"/>
        <xdr:cNvSpPr/>
      </xdr:nvSpPr>
      <xdr:spPr bwMode="auto">
        <a:xfrm>
          <a:off x="3507620" y="32966684"/>
          <a:ext cx="674787" cy="218988"/>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73925</xdr:colOff>
      <xdr:row>186</xdr:row>
      <xdr:rowOff>123421</xdr:rowOff>
    </xdr:from>
    <xdr:to>
      <xdr:col>8</xdr:col>
      <xdr:colOff>174745</xdr:colOff>
      <xdr:row>187</xdr:row>
      <xdr:rowOff>106710</xdr:rowOff>
    </xdr:to>
    <xdr:sp macro="" textlink="">
      <xdr:nvSpPr>
        <xdr:cNvPr id="59" name="Rounded Rectangle 58"/>
        <xdr:cNvSpPr/>
      </xdr:nvSpPr>
      <xdr:spPr bwMode="auto">
        <a:xfrm>
          <a:off x="3557354" y="33215992"/>
          <a:ext cx="685927" cy="146575"/>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446170</xdr:colOff>
      <xdr:row>244</xdr:row>
      <xdr:rowOff>47503</xdr:rowOff>
    </xdr:from>
    <xdr:to>
      <xdr:col>10</xdr:col>
      <xdr:colOff>350336</xdr:colOff>
      <xdr:row>251</xdr:row>
      <xdr:rowOff>131648</xdr:rowOff>
    </xdr:to>
    <xdr:sp macro="" textlink="">
      <xdr:nvSpPr>
        <xdr:cNvPr id="60" name="AutoShape 3641"/>
        <xdr:cNvSpPr>
          <a:spLocks noChangeArrowheads="1"/>
        </xdr:cNvSpPr>
      </xdr:nvSpPr>
      <xdr:spPr bwMode="auto">
        <a:xfrm>
          <a:off x="3929599" y="42773932"/>
          <a:ext cx="1659487" cy="1227145"/>
        </a:xfrm>
        <a:prstGeom prst="wedgeRoundRectCallout">
          <a:avLst>
            <a:gd name="adj1" fmla="val -73666"/>
            <a:gd name="adj2" fmla="val -3306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Total Design Illumination Power Load:</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sum of all Loads reported here can be compared with the sum of all Allowances at right.</a:t>
          </a:r>
        </a:p>
      </xdr:txBody>
    </xdr:sp>
    <xdr:clientData/>
  </xdr:twoCellAnchor>
  <xdr:twoCellAnchor>
    <xdr:from>
      <xdr:col>14</xdr:col>
      <xdr:colOff>268960</xdr:colOff>
      <xdr:row>244</xdr:row>
      <xdr:rowOff>137026</xdr:rowOff>
    </xdr:from>
    <xdr:to>
      <xdr:col>17</xdr:col>
      <xdr:colOff>230457</xdr:colOff>
      <xdr:row>253</xdr:row>
      <xdr:rowOff>149015</xdr:rowOff>
    </xdr:to>
    <xdr:sp macro="" textlink="">
      <xdr:nvSpPr>
        <xdr:cNvPr id="61" name="AutoShape 3641"/>
        <xdr:cNvSpPr>
          <a:spLocks noChangeArrowheads="1"/>
        </xdr:cNvSpPr>
      </xdr:nvSpPr>
      <xdr:spPr bwMode="auto">
        <a:xfrm>
          <a:off x="7848139" y="42863455"/>
          <a:ext cx="1716818" cy="1481560"/>
        </a:xfrm>
        <a:prstGeom prst="wedgeRoundRectCallout">
          <a:avLst>
            <a:gd name="adj1" fmla="val 85845"/>
            <a:gd name="adj2" fmla="val -4287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Total Illumination Power Load Allowance: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sum of all Allowances is reported here and can be compared with the sum of all Loads at left. Green fill indicates that the total is no less than the total Load.</a:t>
          </a:r>
        </a:p>
      </xdr:txBody>
    </xdr:sp>
    <xdr:clientData/>
  </xdr:twoCellAnchor>
  <xdr:twoCellAnchor>
    <xdr:from>
      <xdr:col>22</xdr:col>
      <xdr:colOff>224795</xdr:colOff>
      <xdr:row>242</xdr:row>
      <xdr:rowOff>25304</xdr:rowOff>
    </xdr:from>
    <xdr:to>
      <xdr:col>24</xdr:col>
      <xdr:colOff>547813</xdr:colOff>
      <xdr:row>249</xdr:row>
      <xdr:rowOff>33775</xdr:rowOff>
    </xdr:to>
    <xdr:sp macro="" textlink="">
      <xdr:nvSpPr>
        <xdr:cNvPr id="62" name="AutoShape 3641"/>
        <xdr:cNvSpPr>
          <a:spLocks noChangeArrowheads="1"/>
        </xdr:cNvSpPr>
      </xdr:nvSpPr>
      <xdr:spPr bwMode="auto">
        <a:xfrm>
          <a:off x="12484831" y="42425161"/>
          <a:ext cx="1493232" cy="1151471"/>
        </a:xfrm>
        <a:prstGeom prst="wedgeRoundRectCallout">
          <a:avLst>
            <a:gd name="adj1" fmla="val -72064"/>
            <a:gd name="adj2" fmla="val 3894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Tick / Cross box:</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 Pass for the overall design is indicated by a tick (on green fill) in this box. A Failure is shown by a cross (on red fill). </a:t>
          </a:r>
        </a:p>
      </xdr:txBody>
    </xdr:sp>
    <xdr:clientData/>
  </xdr:twoCellAnchor>
  <xdr:twoCellAnchor>
    <xdr:from>
      <xdr:col>22</xdr:col>
      <xdr:colOff>115779</xdr:colOff>
      <xdr:row>227</xdr:row>
      <xdr:rowOff>9150</xdr:rowOff>
    </xdr:from>
    <xdr:to>
      <xdr:col>25</xdr:col>
      <xdr:colOff>228193</xdr:colOff>
      <xdr:row>235</xdr:row>
      <xdr:rowOff>137206</xdr:rowOff>
    </xdr:to>
    <xdr:sp macro="" textlink="">
      <xdr:nvSpPr>
        <xdr:cNvPr id="63" name="AutoShape 3641"/>
        <xdr:cNvSpPr>
          <a:spLocks noChangeArrowheads="1"/>
        </xdr:cNvSpPr>
      </xdr:nvSpPr>
      <xdr:spPr bwMode="auto">
        <a:xfrm>
          <a:off x="12375815" y="39959721"/>
          <a:ext cx="1867735" cy="1434342"/>
        </a:xfrm>
        <a:prstGeom prst="wedgeRoundRectCallout">
          <a:avLst>
            <a:gd name="adj1" fmla="val -56822"/>
            <a:gd name="adj2" fmla="val 7357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System Shares and Aggregate Outcome:</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Help screen explains how to interpret these % values. Green fill indicates a Pass for the aggregate of all Systems in the listed Spaces..</a:t>
          </a:r>
        </a:p>
      </xdr:txBody>
    </xdr:sp>
    <xdr:clientData/>
  </xdr:twoCellAnchor>
  <xdr:twoCellAnchor>
    <xdr:from>
      <xdr:col>15</xdr:col>
      <xdr:colOff>349249</xdr:colOff>
      <xdr:row>231</xdr:row>
      <xdr:rowOff>153737</xdr:rowOff>
    </xdr:from>
    <xdr:to>
      <xdr:col>18</xdr:col>
      <xdr:colOff>108630</xdr:colOff>
      <xdr:row>240</xdr:row>
      <xdr:rowOff>1625</xdr:rowOff>
    </xdr:to>
    <xdr:sp macro="" textlink="">
      <xdr:nvSpPr>
        <xdr:cNvPr id="64" name="AutoShape 3641"/>
        <xdr:cNvSpPr>
          <a:spLocks noChangeArrowheads="1"/>
        </xdr:cNvSpPr>
      </xdr:nvSpPr>
      <xdr:spPr bwMode="auto">
        <a:xfrm>
          <a:off x="8513535" y="40757451"/>
          <a:ext cx="1514702" cy="1317460"/>
        </a:xfrm>
        <a:prstGeom prst="wedgeRoundRectCallout">
          <a:avLst>
            <a:gd name="adj1" fmla="val 109982"/>
            <a:gd name="adj2" fmla="val 2490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Allowances column: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Red font on white fill shows that a system exceeds the allowance for its Space when the aggregate design still Passes.</a:t>
          </a:r>
        </a:p>
      </xdr:txBody>
    </xdr:sp>
    <xdr:clientData/>
  </xdr:twoCellAnchor>
  <xdr:twoCellAnchor>
    <xdr:from>
      <xdr:col>5</xdr:col>
      <xdr:colOff>563481</xdr:colOff>
      <xdr:row>0</xdr:row>
      <xdr:rowOff>624402</xdr:rowOff>
    </xdr:from>
    <xdr:to>
      <xdr:col>19</xdr:col>
      <xdr:colOff>542337</xdr:colOff>
      <xdr:row>0</xdr:row>
      <xdr:rowOff>1489364</xdr:rowOff>
    </xdr:to>
    <xdr:sp macro="" textlink="">
      <xdr:nvSpPr>
        <xdr:cNvPr id="67" name="TextBox 66">
          <a:extLst>
            <a:ext uri="{FF2B5EF4-FFF2-40B4-BE49-F238E27FC236}">
              <a16:creationId xmlns:a16="http://schemas.microsoft.com/office/drawing/2014/main" xmlns="" id="{00000000-0008-0000-0100-000002000000}"/>
            </a:ext>
          </a:extLst>
        </xdr:cNvPr>
        <xdr:cNvSpPr txBox="1"/>
      </xdr:nvSpPr>
      <xdr:spPr>
        <a:xfrm>
          <a:off x="2897106" y="624402"/>
          <a:ext cx="8246556" cy="864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400">
              <a:solidFill>
                <a:schemeClr val="bg1"/>
              </a:solidFill>
              <a:latin typeface="Arial" panose="020B0604020202020204" pitchFamily="34" charset="0"/>
              <a:cs typeface="Arial" panose="020B0604020202020204" pitchFamily="34" charset="0"/>
            </a:rPr>
            <a:t>Lighting </a:t>
          </a:r>
          <a:endParaRPr lang="en-US" sz="2400" baseline="0">
            <a:solidFill>
              <a:schemeClr val="bg1"/>
            </a:solidFill>
            <a:latin typeface="Arial" panose="020B0604020202020204" pitchFamily="34" charset="0"/>
            <a:cs typeface="Arial" panose="020B0604020202020204" pitchFamily="34" charset="0"/>
          </a:endParaRPr>
        </a:p>
        <a:p>
          <a:pPr algn="ctr">
            <a:lnSpc>
              <a:spcPct val="75000"/>
            </a:lnSpc>
          </a:pPr>
          <a:r>
            <a:rPr lang="en-US" sz="1400" baseline="0">
              <a:solidFill>
                <a:schemeClr val="bg1"/>
              </a:solidFill>
              <a:latin typeface="Arial" panose="020B0604020202020204" pitchFamily="34" charset="0"/>
              <a:cs typeface="Arial" panose="020B0604020202020204" pitchFamily="34" charset="0"/>
            </a:rPr>
            <a:t/>
          </a:r>
          <a:br>
            <a:rPr lang="en-US" sz="1400" baseline="0">
              <a:solidFill>
                <a:schemeClr val="bg1"/>
              </a:solidFill>
              <a:latin typeface="Arial" panose="020B0604020202020204" pitchFamily="34" charset="0"/>
              <a:cs typeface="Arial" panose="020B0604020202020204" pitchFamily="34" charset="0"/>
            </a:rPr>
          </a:br>
          <a:r>
            <a:rPr lang="en-US" sz="1400" baseline="0">
              <a:solidFill>
                <a:schemeClr val="bg1"/>
              </a:solidFill>
              <a:latin typeface="Arial" panose="020B0604020202020204" pitchFamily="34" charset="0"/>
              <a:cs typeface="Arial" panose="020B0604020202020204" pitchFamily="34" charset="0"/>
            </a:rPr>
            <a:t>Screenshots</a:t>
          </a:r>
          <a:endParaRPr lang="en-US" sz="240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423054</xdr:colOff>
      <xdr:row>1</xdr:row>
      <xdr:rowOff>136071</xdr:rowOff>
    </xdr:from>
    <xdr:to>
      <xdr:col>5</xdr:col>
      <xdr:colOff>316533</xdr:colOff>
      <xdr:row>1</xdr:row>
      <xdr:rowOff>344871</xdr:rowOff>
    </xdr:to>
    <xdr:sp macro="" textlink="">
      <xdr:nvSpPr>
        <xdr:cNvPr id="70" name="AutoShape 49" descr="help">
          <a:hlinkClick xmlns:r="http://schemas.openxmlformats.org/officeDocument/2006/relationships" r:id="rId7"/>
        </xdr:cNvPr>
        <xdr:cNvSpPr>
          <a:spLocks noChangeArrowheads="1"/>
        </xdr:cNvSpPr>
      </xdr:nvSpPr>
      <xdr:spPr bwMode="auto">
        <a:xfrm>
          <a:off x="980947" y="2245178"/>
          <a:ext cx="1648800" cy="208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a:cs typeface="Arial"/>
            </a:rPr>
            <a:t>Main Menu</a:t>
          </a:r>
        </a:p>
      </xdr:txBody>
    </xdr:sp>
    <xdr:clientData/>
  </xdr:twoCellAnchor>
  <xdr:twoCellAnchor>
    <xdr:from>
      <xdr:col>6</xdr:col>
      <xdr:colOff>275755</xdr:colOff>
      <xdr:row>1</xdr:row>
      <xdr:rowOff>136071</xdr:rowOff>
    </xdr:from>
    <xdr:to>
      <xdr:col>9</xdr:col>
      <xdr:colOff>169233</xdr:colOff>
      <xdr:row>1</xdr:row>
      <xdr:rowOff>344871</xdr:rowOff>
    </xdr:to>
    <xdr:sp macro="" textlink="">
      <xdr:nvSpPr>
        <xdr:cNvPr id="71" name="AutoShape 3894" descr="help">
          <a:hlinkClick xmlns:r="http://schemas.openxmlformats.org/officeDocument/2006/relationships" r:id="rId8"/>
        </xdr:cNvPr>
        <xdr:cNvSpPr>
          <a:spLocks noChangeArrowheads="1"/>
        </xdr:cNvSpPr>
      </xdr:nvSpPr>
      <xdr:spPr bwMode="auto">
        <a:xfrm>
          <a:off x="3174076" y="2245178"/>
          <a:ext cx="1648800" cy="208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ysClr val="windowText" lastClr="000000"/>
              </a:solidFill>
              <a:latin typeface="Arial"/>
              <a:cs typeface="Arial"/>
            </a:rPr>
            <a:t>Help</a:t>
          </a:r>
        </a:p>
      </xdr:txBody>
    </xdr:sp>
    <xdr:clientData/>
  </xdr:twoCellAnchor>
  <xdr:twoCellAnchor>
    <xdr:from>
      <xdr:col>3</xdr:col>
      <xdr:colOff>89201</xdr:colOff>
      <xdr:row>7</xdr:row>
      <xdr:rowOff>57453</xdr:rowOff>
    </xdr:from>
    <xdr:to>
      <xdr:col>6</xdr:col>
      <xdr:colOff>216879</xdr:colOff>
      <xdr:row>15</xdr:row>
      <xdr:rowOff>39528</xdr:rowOff>
    </xdr:to>
    <xdr:sp macro="" textlink="">
      <xdr:nvSpPr>
        <xdr:cNvPr id="27" name="AutoShape 3641"/>
        <xdr:cNvSpPr>
          <a:spLocks noChangeArrowheads="1"/>
        </xdr:cNvSpPr>
      </xdr:nvSpPr>
      <xdr:spPr bwMode="auto">
        <a:xfrm>
          <a:off x="1232201" y="3554489"/>
          <a:ext cx="1882999" cy="1288360"/>
        </a:xfrm>
        <a:prstGeom prst="wedgeRoundRectCallout">
          <a:avLst>
            <a:gd name="adj1" fmla="val 47411"/>
            <a:gd name="adj2" fmla="val 847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To change the number of rows displayed (step 1 of 2):</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the required number of rows here and press Enter. (This cell will not accept numbers that would cause rows with data to be hidden.)</a:t>
          </a:r>
        </a:p>
      </xdr:txBody>
    </xdr:sp>
    <xdr:clientData/>
  </xdr:twoCellAnchor>
  <xdr:twoCellAnchor>
    <xdr:from>
      <xdr:col>8</xdr:col>
      <xdr:colOff>448957</xdr:colOff>
      <xdr:row>58</xdr:row>
      <xdr:rowOff>59044</xdr:rowOff>
    </xdr:from>
    <xdr:to>
      <xdr:col>12</xdr:col>
      <xdr:colOff>244042</xdr:colOff>
      <xdr:row>62</xdr:row>
      <xdr:rowOff>109101</xdr:rowOff>
    </xdr:to>
    <xdr:sp macro="" textlink="">
      <xdr:nvSpPr>
        <xdr:cNvPr id="39" name="AutoShape 3641"/>
        <xdr:cNvSpPr>
          <a:spLocks noChangeArrowheads="1"/>
        </xdr:cNvSpPr>
      </xdr:nvSpPr>
      <xdr:spPr bwMode="auto">
        <a:xfrm>
          <a:off x="4517493" y="12033330"/>
          <a:ext cx="2135513" cy="703200"/>
        </a:xfrm>
        <a:prstGeom prst="wedgeRoundRectCallout">
          <a:avLst>
            <a:gd name="adj1" fmla="val -87462"/>
            <a:gd name="adj2" fmla="val 6344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Navigation button:</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Links to calculator for multiple lighting systems.</a:t>
          </a:r>
        </a:p>
      </xdr:txBody>
    </xdr:sp>
    <xdr:clientData/>
  </xdr:twoCellAnchor>
  <xdr:twoCellAnchor>
    <xdr:from>
      <xdr:col>1</xdr:col>
      <xdr:colOff>95728</xdr:colOff>
      <xdr:row>58</xdr:row>
      <xdr:rowOff>82004</xdr:rowOff>
    </xdr:from>
    <xdr:to>
      <xdr:col>4</xdr:col>
      <xdr:colOff>102880</xdr:colOff>
      <xdr:row>67</xdr:row>
      <xdr:rowOff>91121</xdr:rowOff>
    </xdr:to>
    <xdr:sp macro="" textlink="">
      <xdr:nvSpPr>
        <xdr:cNvPr id="31" name="AutoShape 3641"/>
        <xdr:cNvSpPr>
          <a:spLocks noChangeArrowheads="1"/>
        </xdr:cNvSpPr>
      </xdr:nvSpPr>
      <xdr:spPr bwMode="auto">
        <a:xfrm>
          <a:off x="204585" y="12056290"/>
          <a:ext cx="1626402" cy="1478688"/>
        </a:xfrm>
        <a:prstGeom prst="wedgeRoundRectCallout">
          <a:avLst>
            <a:gd name="adj1" fmla="val 49457"/>
            <a:gd name="adj2" fmla="val 8024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Room Aspect Ratio:</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Input data for these two columns is needed only when intending to use the Room Aspect  Ratio Adjustment Factor. </a:t>
          </a:r>
        </a:p>
      </xdr:txBody>
    </xdr:sp>
    <xdr:clientData/>
  </xdr:twoCellAnchor>
  <xdr:twoCellAnchor>
    <xdr:from>
      <xdr:col>19</xdr:col>
      <xdr:colOff>578025</xdr:colOff>
      <xdr:row>113</xdr:row>
      <xdr:rowOff>162729</xdr:rowOff>
    </xdr:from>
    <xdr:to>
      <xdr:col>22</xdr:col>
      <xdr:colOff>291299</xdr:colOff>
      <xdr:row>120</xdr:row>
      <xdr:rowOff>57139</xdr:rowOff>
    </xdr:to>
    <xdr:sp macro="" textlink="">
      <xdr:nvSpPr>
        <xdr:cNvPr id="48" name="AutoShape 3641"/>
        <xdr:cNvSpPr>
          <a:spLocks noChangeArrowheads="1"/>
        </xdr:cNvSpPr>
      </xdr:nvSpPr>
      <xdr:spPr bwMode="auto">
        <a:xfrm>
          <a:off x="11082739" y="20981658"/>
          <a:ext cx="1468596" cy="1037410"/>
        </a:xfrm>
        <a:prstGeom prst="wedgeRoundRectCallout">
          <a:avLst>
            <a:gd name="adj1" fmla="val -44231"/>
            <a:gd name="adj2" fmla="val 6806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Advisory Notes:</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Advisory notes may appear above the table in response to some lighting systems inputs.</a:t>
          </a:r>
        </a:p>
      </xdr:txBody>
    </xdr:sp>
    <xdr:clientData/>
  </xdr:twoCellAnchor>
  <xdr:twoCellAnchor>
    <xdr:from>
      <xdr:col>10</xdr:col>
      <xdr:colOff>32784</xdr:colOff>
      <xdr:row>167</xdr:row>
      <xdr:rowOff>51405</xdr:rowOff>
    </xdr:from>
    <xdr:to>
      <xdr:col>13</xdr:col>
      <xdr:colOff>23053</xdr:colOff>
      <xdr:row>173</xdr:row>
      <xdr:rowOff>82910</xdr:rowOff>
    </xdr:to>
    <xdr:sp macro="" textlink="">
      <xdr:nvSpPr>
        <xdr:cNvPr id="51" name="AutoShape 3641"/>
        <xdr:cNvSpPr>
          <a:spLocks noChangeArrowheads="1"/>
        </xdr:cNvSpPr>
      </xdr:nvSpPr>
      <xdr:spPr bwMode="auto">
        <a:xfrm>
          <a:off x="5271534" y="30041548"/>
          <a:ext cx="1745590" cy="1011219"/>
        </a:xfrm>
        <a:prstGeom prst="wedgeRoundRectCallout">
          <a:avLst>
            <a:gd name="adj1" fmla="val 113672"/>
            <a:gd name="adj2" fmla="val 733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heading: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area heading text and fill colour changes to indicate whether the overall design Passes or Fails.)</a:t>
          </a:r>
        </a:p>
      </xdr:txBody>
    </xdr:sp>
    <xdr:clientData/>
  </xdr:twoCellAnchor>
  <xdr:twoCellAnchor>
    <xdr:from>
      <xdr:col>16</xdr:col>
      <xdr:colOff>345269</xdr:colOff>
      <xdr:row>221</xdr:row>
      <xdr:rowOff>74005</xdr:rowOff>
    </xdr:from>
    <xdr:to>
      <xdr:col>19</xdr:col>
      <xdr:colOff>363463</xdr:colOff>
      <xdr:row>227</xdr:row>
      <xdr:rowOff>107762</xdr:rowOff>
    </xdr:to>
    <xdr:sp macro="" textlink="">
      <xdr:nvSpPr>
        <xdr:cNvPr id="65" name="AutoShape 3641"/>
        <xdr:cNvSpPr>
          <a:spLocks noChangeArrowheads="1"/>
        </xdr:cNvSpPr>
      </xdr:nvSpPr>
      <xdr:spPr bwMode="auto">
        <a:xfrm>
          <a:off x="9094662" y="39044862"/>
          <a:ext cx="1773515" cy="1013471"/>
        </a:xfrm>
        <a:prstGeom prst="wedgeRoundRectCallout">
          <a:avLst>
            <a:gd name="adj1" fmla="val 57687"/>
            <a:gd name="adj2" fmla="val 7611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a:cs typeface="Arial"/>
            </a:rPr>
            <a:t>Outcomes Heading:</a:t>
          </a:r>
        </a:p>
        <a:p>
          <a:pPr algn="l" rtl="0">
            <a:defRPr sz="1000"/>
          </a:pPr>
          <a:endParaRPr lang="en-AU" sz="4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Outcomes area heading text changes to indicate whether the overall design Passes or Fails.</a:t>
          </a:r>
        </a:p>
      </xdr:txBody>
    </xdr:sp>
    <xdr:clientData/>
  </xdr:twoCellAnchor>
  <xdr:twoCellAnchor editAs="oneCell">
    <xdr:from>
      <xdr:col>1</xdr:col>
      <xdr:colOff>27214</xdr:colOff>
      <xdr:row>0</xdr:row>
      <xdr:rowOff>55336</xdr:rowOff>
    </xdr:from>
    <xdr:to>
      <xdr:col>3</xdr:col>
      <xdr:colOff>96314</xdr:colOff>
      <xdr:row>0</xdr:row>
      <xdr:rowOff>1674586</xdr:rowOff>
    </xdr:to>
    <xdr:pic>
      <xdr:nvPicPr>
        <xdr:cNvPr id="77" name="Picture 7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5143" y="55336"/>
          <a:ext cx="1157671" cy="1619250"/>
        </a:xfrm>
        <a:prstGeom prst="rect">
          <a:avLst/>
        </a:prstGeom>
      </xdr:spPr>
    </xdr:pic>
    <xdr:clientData/>
  </xdr:twoCellAnchor>
  <xdr:oneCellAnchor>
    <xdr:from>
      <xdr:col>21</xdr:col>
      <xdr:colOff>408214</xdr:colOff>
      <xdr:row>0</xdr:row>
      <xdr:rowOff>281214</xdr:rowOff>
    </xdr:from>
    <xdr:ext cx="1714500" cy="624086"/>
    <xdr:pic>
      <xdr:nvPicPr>
        <xdr:cNvPr id="68" name="Picture 6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718143" y="281214"/>
          <a:ext cx="1714500" cy="624086"/>
        </a:xfrm>
        <a:prstGeom prst="rect">
          <a:avLst/>
        </a:prstGeom>
      </xdr:spPr>
    </xdr:pic>
    <xdr:clientData/>
  </xdr:oneCellAnchor>
  <xdr:oneCellAnchor>
    <xdr:from>
      <xdr:col>23</xdr:col>
      <xdr:colOff>117929</xdr:colOff>
      <xdr:row>0</xdr:row>
      <xdr:rowOff>1260928</xdr:rowOff>
    </xdr:from>
    <xdr:ext cx="586867" cy="582530"/>
    <xdr:pic>
      <xdr:nvPicPr>
        <xdr:cNvPr id="69" name="Picture 6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661572" y="1260928"/>
          <a:ext cx="586867" cy="58253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cio_larroque\Downloads\Vol1_M2-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5.pn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19"/>
  <sheetViews>
    <sheetView showGridLines="0" showRowColHeaders="0" tabSelected="1" zoomScale="85" zoomScaleNormal="85" workbookViewId="0">
      <selection activeCell="T10" sqref="T10"/>
    </sheetView>
  </sheetViews>
  <sheetFormatPr defaultColWidth="8.81640625" defaultRowHeight="12.5" x14ac:dyDescent="0.25"/>
  <cols>
    <col min="2" max="2" width="11.453125" customWidth="1"/>
    <col min="8" max="8" width="15.453125" customWidth="1"/>
    <col min="13" max="13" width="8.81640625" customWidth="1"/>
    <col min="15" max="15" width="12.453125" customWidth="1"/>
  </cols>
  <sheetData>
    <row r="1" spans="1:21" ht="167.15" customHeight="1" x14ac:dyDescent="0.25">
      <c r="A1" s="621"/>
      <c r="B1" s="621"/>
      <c r="C1" s="621"/>
      <c r="D1" s="621"/>
      <c r="E1" s="621"/>
      <c r="F1" s="621"/>
      <c r="G1" s="621"/>
      <c r="H1" s="621"/>
      <c r="I1" s="621"/>
      <c r="J1" s="621"/>
      <c r="K1" s="621"/>
      <c r="L1" s="622"/>
      <c r="M1" s="622"/>
      <c r="N1" s="622"/>
      <c r="O1" s="622"/>
      <c r="P1" s="622"/>
      <c r="Q1" s="622"/>
      <c r="R1" s="622"/>
      <c r="S1" s="85"/>
      <c r="T1" s="85"/>
      <c r="U1" s="85"/>
    </row>
    <row r="2" spans="1:21" ht="40" customHeight="1" x14ac:dyDescent="0.25">
      <c r="A2" s="735"/>
      <c r="B2" s="735"/>
      <c r="C2" s="735"/>
      <c r="D2" s="735"/>
      <c r="E2" s="735"/>
      <c r="F2" s="735"/>
      <c r="G2" s="735"/>
      <c r="H2" s="735"/>
      <c r="I2" s="735"/>
      <c r="J2" s="735"/>
      <c r="K2" s="735"/>
      <c r="L2" s="736"/>
      <c r="M2" s="736"/>
      <c r="N2" s="736"/>
      <c r="O2" s="736"/>
      <c r="P2" s="756" t="s">
        <v>515</v>
      </c>
      <c r="Q2" s="756"/>
      <c r="R2" s="756"/>
      <c r="S2" s="85"/>
      <c r="T2" s="85"/>
      <c r="U2" s="85"/>
    </row>
    <row r="3" spans="1:21" x14ac:dyDescent="0.25">
      <c r="A3" s="485"/>
      <c r="B3" s="485"/>
      <c r="C3" s="485"/>
      <c r="D3" s="485"/>
      <c r="E3" s="485"/>
      <c r="F3" s="485"/>
      <c r="G3" s="485"/>
      <c r="H3" s="485"/>
      <c r="I3" s="485"/>
      <c r="J3" s="485"/>
      <c r="K3" s="485"/>
      <c r="L3" s="428"/>
      <c r="M3" s="428"/>
      <c r="N3" s="422"/>
      <c r="O3" s="422"/>
      <c r="P3" s="422"/>
      <c r="Q3" s="422"/>
      <c r="R3" s="422"/>
      <c r="S3" s="85"/>
      <c r="T3" s="85"/>
      <c r="U3" s="85"/>
    </row>
    <row r="4" spans="1:21" x14ac:dyDescent="0.25">
      <c r="A4" s="485"/>
      <c r="B4" s="485"/>
      <c r="C4" s="485"/>
      <c r="D4" s="485"/>
      <c r="E4" s="485"/>
      <c r="F4" s="485"/>
      <c r="G4" s="485"/>
      <c r="H4" s="485"/>
      <c r="I4" s="485"/>
      <c r="J4" s="485"/>
      <c r="K4" s="485"/>
      <c r="L4" s="428"/>
      <c r="M4" s="422"/>
      <c r="N4" s="422"/>
      <c r="O4" s="422"/>
      <c r="P4" s="422"/>
      <c r="Q4" s="422"/>
      <c r="R4" s="422"/>
      <c r="S4" s="85"/>
      <c r="T4" s="85"/>
      <c r="U4" s="85"/>
    </row>
    <row r="5" spans="1:21" ht="17.5" x14ac:dyDescent="0.35">
      <c r="A5" s="485"/>
      <c r="B5" s="485"/>
      <c r="C5" s="485"/>
      <c r="D5" s="485"/>
      <c r="E5" s="485"/>
      <c r="F5" s="486"/>
      <c r="G5" s="485"/>
      <c r="H5" s="485"/>
      <c r="I5" s="485"/>
      <c r="J5" s="485"/>
      <c r="K5" s="485"/>
      <c r="L5" s="422"/>
      <c r="M5" s="422"/>
      <c r="N5" s="422"/>
      <c r="O5" s="422"/>
      <c r="P5" s="422"/>
      <c r="Q5" s="422"/>
      <c r="R5" s="422"/>
      <c r="S5" s="85"/>
      <c r="T5" s="85"/>
      <c r="U5" s="85"/>
    </row>
    <row r="6" spans="1:21" x14ac:dyDescent="0.25">
      <c r="A6" s="485"/>
      <c r="B6" s="485"/>
      <c r="C6" s="485"/>
      <c r="D6" s="485"/>
      <c r="E6" s="485"/>
      <c r="F6" s="485"/>
      <c r="G6" s="485"/>
      <c r="H6" s="485"/>
      <c r="I6" s="485"/>
      <c r="J6" s="485"/>
      <c r="K6" s="485"/>
      <c r="L6" s="422"/>
      <c r="M6" s="422"/>
      <c r="N6" s="422"/>
      <c r="O6" s="422"/>
      <c r="P6" s="422"/>
      <c r="Q6" s="422"/>
      <c r="R6" s="422"/>
      <c r="S6" s="85"/>
      <c r="T6" s="85"/>
      <c r="U6" s="85"/>
    </row>
    <row r="7" spans="1:21" x14ac:dyDescent="0.25">
      <c r="A7" s="485"/>
      <c r="B7" s="485"/>
      <c r="C7" s="485"/>
      <c r="D7" s="485"/>
      <c r="E7" s="485"/>
      <c r="F7" s="485"/>
      <c r="G7" s="485"/>
      <c r="H7" s="485"/>
      <c r="I7" s="485"/>
      <c r="J7" s="485"/>
      <c r="K7" s="485"/>
      <c r="L7" s="428"/>
      <c r="M7" s="422"/>
      <c r="N7" s="422"/>
      <c r="O7" s="422"/>
      <c r="P7" s="422"/>
      <c r="Q7" s="422"/>
      <c r="R7" s="422"/>
      <c r="S7" s="85"/>
      <c r="T7" s="85"/>
      <c r="U7" s="85"/>
    </row>
    <row r="8" spans="1:21" x14ac:dyDescent="0.25">
      <c r="A8" s="485"/>
      <c r="B8" s="485"/>
      <c r="C8" s="485"/>
      <c r="D8" s="485"/>
      <c r="E8" s="485"/>
      <c r="F8" s="485"/>
      <c r="G8" s="485"/>
      <c r="H8" s="485"/>
      <c r="I8" s="485"/>
      <c r="J8" s="485"/>
      <c r="K8" s="485"/>
      <c r="L8" s="428"/>
      <c r="M8" s="422"/>
      <c r="N8" s="422"/>
      <c r="O8" s="422"/>
      <c r="P8" s="422"/>
      <c r="Q8" s="422"/>
      <c r="R8" s="422"/>
      <c r="S8" s="85"/>
      <c r="T8" s="85"/>
      <c r="U8" s="85"/>
    </row>
    <row r="9" spans="1:21" x14ac:dyDescent="0.25">
      <c r="A9" s="485"/>
      <c r="B9" s="485"/>
      <c r="C9" s="485"/>
      <c r="D9" s="485"/>
      <c r="E9" s="485"/>
      <c r="F9" s="485"/>
      <c r="G9" s="485"/>
      <c r="H9" s="485"/>
      <c r="I9" s="485"/>
      <c r="J9" s="485"/>
      <c r="K9" s="485"/>
      <c r="L9" s="428"/>
      <c r="M9" s="422"/>
      <c r="N9" s="422"/>
      <c r="O9" s="422"/>
      <c r="P9" s="422"/>
      <c r="Q9" s="422"/>
      <c r="R9" s="422"/>
      <c r="S9" s="85"/>
      <c r="T9" s="85"/>
      <c r="U9" s="85"/>
    </row>
    <row r="10" spans="1:21" x14ac:dyDescent="0.25">
      <c r="A10" s="485"/>
      <c r="B10" s="485"/>
      <c r="C10" s="485"/>
      <c r="D10" s="485"/>
      <c r="E10" s="485"/>
      <c r="F10" s="485"/>
      <c r="G10" s="485"/>
      <c r="H10" s="485"/>
      <c r="I10" s="485"/>
      <c r="J10" s="485"/>
      <c r="K10" s="485"/>
      <c r="L10" s="428"/>
      <c r="M10" s="422"/>
      <c r="N10" s="422"/>
      <c r="O10" s="422"/>
      <c r="P10" s="422"/>
      <c r="Q10" s="422"/>
      <c r="R10" s="422"/>
      <c r="S10" s="85"/>
      <c r="T10" s="85"/>
      <c r="U10" s="85"/>
    </row>
    <row r="11" spans="1:21" x14ac:dyDescent="0.25">
      <c r="A11" s="485"/>
      <c r="B11" s="485"/>
      <c r="C11" s="485"/>
      <c r="D11" s="485"/>
      <c r="E11" s="485"/>
      <c r="F11" s="485"/>
      <c r="G11" s="485"/>
      <c r="H11" s="485"/>
      <c r="I11" s="485"/>
      <c r="J11" s="485"/>
      <c r="K11" s="485"/>
      <c r="L11" s="428"/>
      <c r="M11" s="422"/>
      <c r="N11" s="422"/>
      <c r="O11" s="422"/>
      <c r="P11" s="422"/>
      <c r="Q11" s="422"/>
      <c r="R11" s="422"/>
      <c r="S11" s="85"/>
      <c r="T11" s="85"/>
      <c r="U11" s="85"/>
    </row>
    <row r="12" spans="1:21" x14ac:dyDescent="0.25">
      <c r="A12" s="485"/>
      <c r="B12" s="485"/>
      <c r="C12" s="485"/>
      <c r="D12" s="485"/>
      <c r="E12" s="485"/>
      <c r="F12" s="485"/>
      <c r="G12" s="485"/>
      <c r="H12" s="485"/>
      <c r="I12" s="485"/>
      <c r="J12" s="485"/>
      <c r="K12" s="485"/>
      <c r="L12" s="428"/>
      <c r="M12" s="422"/>
      <c r="N12" s="422"/>
      <c r="O12" s="422"/>
      <c r="P12" s="422"/>
      <c r="Q12" s="422"/>
      <c r="R12" s="422"/>
      <c r="S12" s="85"/>
      <c r="T12" s="85"/>
      <c r="U12" s="85"/>
    </row>
    <row r="13" spans="1:21" x14ac:dyDescent="0.25">
      <c r="A13" s="485"/>
      <c r="B13" s="485"/>
      <c r="C13" s="485"/>
      <c r="D13" s="485"/>
      <c r="E13" s="485"/>
      <c r="F13" s="485"/>
      <c r="G13" s="485"/>
      <c r="H13" s="485"/>
      <c r="I13" s="485"/>
      <c r="J13" s="485"/>
      <c r="K13" s="485"/>
      <c r="L13" s="428"/>
      <c r="M13" s="422"/>
      <c r="N13" s="422"/>
      <c r="O13" s="422"/>
      <c r="P13" s="422"/>
      <c r="Q13" s="422"/>
      <c r="R13" s="422"/>
      <c r="S13" s="85"/>
      <c r="T13" s="85"/>
      <c r="U13" s="85"/>
    </row>
    <row r="14" spans="1:21" x14ac:dyDescent="0.25">
      <c r="A14" s="485"/>
      <c r="B14" s="485"/>
      <c r="C14" s="485"/>
      <c r="D14" s="485"/>
      <c r="E14" s="485"/>
      <c r="F14" s="485"/>
      <c r="G14" s="485"/>
      <c r="H14" s="485"/>
      <c r="I14" s="485"/>
      <c r="J14" s="485"/>
      <c r="K14" s="485"/>
      <c r="L14" s="428"/>
      <c r="M14" s="422"/>
      <c r="N14" s="422"/>
      <c r="O14" s="422"/>
      <c r="P14" s="422"/>
      <c r="Q14" s="422"/>
      <c r="R14" s="422"/>
      <c r="S14" s="85"/>
      <c r="T14" s="85"/>
      <c r="U14" s="85"/>
    </row>
    <row r="15" spans="1:21" x14ac:dyDescent="0.25">
      <c r="A15" s="485"/>
      <c r="B15" s="485"/>
      <c r="C15" s="485"/>
      <c r="D15" s="485"/>
      <c r="E15" s="485"/>
      <c r="F15" s="485"/>
      <c r="G15" s="485"/>
      <c r="H15" s="485"/>
      <c r="I15" s="485"/>
      <c r="J15" s="485"/>
      <c r="K15" s="485"/>
      <c r="L15" s="428"/>
      <c r="M15" s="422"/>
      <c r="N15" s="422"/>
      <c r="O15" s="422"/>
      <c r="P15" s="422"/>
      <c r="Q15" s="422"/>
      <c r="R15" s="422"/>
      <c r="S15" s="85"/>
      <c r="T15" s="85"/>
      <c r="U15" s="85"/>
    </row>
    <row r="16" spans="1:21" x14ac:dyDescent="0.25">
      <c r="A16" s="485"/>
      <c r="B16" s="485"/>
      <c r="C16" s="485"/>
      <c r="D16" s="485"/>
      <c r="E16" s="485"/>
      <c r="F16" s="485"/>
      <c r="G16" s="485"/>
      <c r="H16" s="485"/>
      <c r="I16" s="485"/>
      <c r="J16" s="485"/>
      <c r="K16" s="485"/>
      <c r="L16" s="428"/>
      <c r="M16" s="422"/>
      <c r="N16" s="422"/>
      <c r="O16" s="422"/>
      <c r="P16" s="422"/>
      <c r="Q16" s="422"/>
      <c r="R16" s="422"/>
      <c r="S16" s="85"/>
      <c r="T16" s="85"/>
      <c r="U16" s="85"/>
    </row>
    <row r="17" spans="1:21" ht="12" customHeight="1" x14ac:dyDescent="0.25">
      <c r="A17" s="485"/>
      <c r="B17" s="485"/>
      <c r="C17" s="485"/>
      <c r="D17" s="485"/>
      <c r="E17" s="485"/>
      <c r="F17" s="485"/>
      <c r="G17" s="485"/>
      <c r="H17" s="485"/>
      <c r="I17" s="485"/>
      <c r="J17" s="485"/>
      <c r="K17" s="485"/>
      <c r="L17" s="428"/>
      <c r="M17" s="428"/>
      <c r="N17" s="422"/>
      <c r="O17" s="422"/>
      <c r="P17" s="422"/>
      <c r="Q17" s="422"/>
      <c r="R17" s="422"/>
      <c r="S17" s="85"/>
      <c r="T17" s="85"/>
      <c r="U17" s="85"/>
    </row>
    <row r="18" spans="1:21" x14ac:dyDescent="0.25">
      <c r="A18" s="485"/>
      <c r="B18" s="485"/>
      <c r="C18" s="485"/>
      <c r="D18" s="485"/>
      <c r="E18" s="485"/>
      <c r="F18" s="485"/>
      <c r="G18" s="485"/>
      <c r="H18" s="485"/>
      <c r="I18" s="485"/>
      <c r="J18" s="485"/>
      <c r="K18" s="485"/>
      <c r="L18" s="428"/>
      <c r="M18" s="422"/>
      <c r="N18" s="422"/>
      <c r="O18" s="422"/>
      <c r="P18" s="422"/>
      <c r="Q18" s="422"/>
      <c r="R18" s="422"/>
      <c r="S18" s="85"/>
      <c r="T18" s="85"/>
      <c r="U18" s="85"/>
    </row>
    <row r="19" spans="1:21" x14ac:dyDescent="0.25">
      <c r="A19" s="485"/>
      <c r="B19" s="485"/>
      <c r="C19" s="485"/>
      <c r="D19" s="485"/>
      <c r="E19" s="485"/>
      <c r="F19" s="485"/>
      <c r="G19" s="485"/>
      <c r="H19" s="485"/>
      <c r="I19" s="485"/>
      <c r="J19" s="485"/>
      <c r="K19" s="485"/>
      <c r="L19" s="428"/>
      <c r="M19" s="422"/>
      <c r="N19" s="422"/>
      <c r="O19" s="422"/>
      <c r="P19" s="422"/>
      <c r="Q19" s="422"/>
      <c r="R19" s="422"/>
      <c r="S19" s="85"/>
      <c r="T19" s="85"/>
      <c r="U19" s="85"/>
    </row>
    <row r="20" spans="1:21" x14ac:dyDescent="0.25">
      <c r="A20" s="485"/>
      <c r="B20" s="485"/>
      <c r="C20" s="485"/>
      <c r="D20" s="485"/>
      <c r="E20" s="485"/>
      <c r="F20" s="485"/>
      <c r="G20" s="485"/>
      <c r="H20" s="485"/>
      <c r="I20" s="485"/>
      <c r="J20" s="485"/>
      <c r="K20" s="485"/>
      <c r="L20" s="428"/>
      <c r="M20" s="422"/>
      <c r="N20" s="422"/>
      <c r="O20" s="422"/>
      <c r="P20" s="422"/>
      <c r="Q20" s="422"/>
      <c r="R20" s="422"/>
      <c r="S20" s="85"/>
      <c r="T20" s="85"/>
      <c r="U20" s="85"/>
    </row>
    <row r="21" spans="1:21" x14ac:dyDescent="0.25">
      <c r="A21" s="485"/>
      <c r="B21" s="485"/>
      <c r="C21" s="485"/>
      <c r="D21" s="485"/>
      <c r="E21" s="485"/>
      <c r="F21" s="485"/>
      <c r="G21" s="485"/>
      <c r="H21" s="485"/>
      <c r="I21" s="485"/>
      <c r="J21" s="485"/>
      <c r="K21" s="485"/>
      <c r="L21" s="428"/>
      <c r="M21" s="422"/>
      <c r="N21" s="422"/>
      <c r="O21" s="422"/>
      <c r="P21" s="422"/>
      <c r="Q21" s="422"/>
      <c r="R21" s="422"/>
      <c r="S21" s="85"/>
      <c r="T21" s="85"/>
      <c r="U21" s="85"/>
    </row>
    <row r="22" spans="1:21" x14ac:dyDescent="0.25">
      <c r="A22" s="485"/>
      <c r="B22" s="485"/>
      <c r="C22" s="485"/>
      <c r="D22" s="485"/>
      <c r="E22" s="485"/>
      <c r="F22" s="485"/>
      <c r="G22" s="485"/>
      <c r="H22" s="485"/>
      <c r="I22" s="485"/>
      <c r="J22" s="485"/>
      <c r="K22" s="485"/>
      <c r="L22" s="428"/>
      <c r="M22" s="422"/>
      <c r="N22" s="422"/>
      <c r="O22" s="422"/>
      <c r="P22" s="422"/>
      <c r="Q22" s="422"/>
      <c r="R22" s="422"/>
      <c r="S22" s="85"/>
      <c r="T22" s="85"/>
      <c r="U22" s="85"/>
    </row>
    <row r="23" spans="1:21" x14ac:dyDescent="0.25">
      <c r="A23" s="485"/>
      <c r="B23" s="485"/>
      <c r="C23" s="485"/>
      <c r="D23" s="485"/>
      <c r="E23" s="485"/>
      <c r="F23" s="485"/>
      <c r="G23" s="485"/>
      <c r="H23" s="485"/>
      <c r="I23" s="485"/>
      <c r="J23" s="485"/>
      <c r="K23" s="485"/>
      <c r="L23" s="428"/>
      <c r="M23" s="422"/>
      <c r="N23" s="422"/>
      <c r="O23" s="422"/>
      <c r="P23" s="422"/>
      <c r="Q23" s="422"/>
      <c r="R23" s="422"/>
      <c r="S23" s="85"/>
      <c r="T23" s="85"/>
      <c r="U23" s="85"/>
    </row>
    <row r="24" spans="1:21" x14ac:dyDescent="0.25">
      <c r="A24" s="485"/>
      <c r="B24" s="485"/>
      <c r="C24" s="485"/>
      <c r="D24" s="485"/>
      <c r="E24" s="485"/>
      <c r="F24" s="485"/>
      <c r="G24" s="485"/>
      <c r="H24" s="485"/>
      <c r="I24" s="485"/>
      <c r="J24" s="485"/>
      <c r="K24" s="485"/>
      <c r="L24" s="428"/>
      <c r="M24" s="422"/>
      <c r="N24" s="422"/>
      <c r="O24" s="422"/>
      <c r="P24" s="422"/>
      <c r="Q24" s="422"/>
      <c r="R24" s="422"/>
      <c r="S24" s="85"/>
      <c r="T24" s="85"/>
      <c r="U24" s="85"/>
    </row>
    <row r="25" spans="1:21" x14ac:dyDescent="0.25">
      <c r="A25" s="485"/>
      <c r="B25" s="485"/>
      <c r="C25" s="485"/>
      <c r="D25" s="485"/>
      <c r="E25" s="485"/>
      <c r="F25" s="485"/>
      <c r="G25" s="485"/>
      <c r="H25" s="485"/>
      <c r="I25" s="485"/>
      <c r="J25" s="485"/>
      <c r="K25" s="485"/>
      <c r="L25" s="428"/>
      <c r="M25" s="422"/>
      <c r="N25" s="422"/>
      <c r="O25" s="422"/>
      <c r="P25" s="422"/>
      <c r="Q25" s="422"/>
      <c r="R25" s="422"/>
      <c r="S25" s="85"/>
      <c r="T25" s="85"/>
      <c r="U25" s="85"/>
    </row>
    <row r="26" spans="1:21" x14ac:dyDescent="0.25">
      <c r="A26" s="485"/>
      <c r="B26" s="485"/>
      <c r="C26" s="485"/>
      <c r="D26" s="485"/>
      <c r="E26" s="485"/>
      <c r="F26" s="485"/>
      <c r="G26" s="485"/>
      <c r="H26" s="485"/>
      <c r="I26" s="485"/>
      <c r="J26" s="485"/>
      <c r="K26" s="485"/>
      <c r="L26" s="428"/>
      <c r="M26" s="422"/>
      <c r="N26" s="422"/>
      <c r="O26" s="422"/>
      <c r="P26" s="422"/>
      <c r="Q26" s="422"/>
      <c r="R26" s="422"/>
      <c r="S26" s="85"/>
      <c r="T26" s="85"/>
      <c r="U26" s="85"/>
    </row>
    <row r="27" spans="1:21" x14ac:dyDescent="0.25">
      <c r="A27" s="485"/>
      <c r="B27" s="485"/>
      <c r="C27" s="485"/>
      <c r="D27" s="485"/>
      <c r="E27" s="485"/>
      <c r="F27" s="485"/>
      <c r="G27" s="485"/>
      <c r="H27" s="485"/>
      <c r="I27" s="485"/>
      <c r="J27" s="485"/>
      <c r="K27" s="485"/>
      <c r="L27" s="428"/>
      <c r="M27" s="422"/>
      <c r="N27" s="422"/>
      <c r="O27" s="422"/>
      <c r="P27" s="422"/>
      <c r="Q27" s="422"/>
      <c r="R27" s="422"/>
      <c r="S27" s="85"/>
      <c r="T27" s="85"/>
      <c r="U27" s="85"/>
    </row>
    <row r="28" spans="1:21" x14ac:dyDescent="0.25">
      <c r="A28" s="485"/>
      <c r="B28" s="485"/>
      <c r="C28" s="485"/>
      <c r="D28" s="485"/>
      <c r="E28" s="485"/>
      <c r="F28" s="485"/>
      <c r="G28" s="485"/>
      <c r="H28" s="485"/>
      <c r="I28" s="485"/>
      <c r="J28" s="485"/>
      <c r="K28" s="485"/>
      <c r="L28" s="428"/>
      <c r="M28" s="422"/>
      <c r="N28" s="422"/>
      <c r="O28" s="422"/>
      <c r="P28" s="422"/>
      <c r="Q28" s="422"/>
      <c r="R28" s="422"/>
      <c r="S28" s="85"/>
      <c r="T28" s="85"/>
      <c r="U28" s="85"/>
    </row>
    <row r="29" spans="1:21" x14ac:dyDescent="0.25">
      <c r="A29" s="485"/>
      <c r="B29" s="485"/>
      <c r="C29" s="485"/>
      <c r="D29" s="485"/>
      <c r="E29" s="485"/>
      <c r="F29" s="485"/>
      <c r="G29" s="485"/>
      <c r="H29" s="485"/>
      <c r="I29" s="485"/>
      <c r="J29" s="485"/>
      <c r="K29" s="485"/>
      <c r="L29" s="428"/>
      <c r="M29" s="422"/>
      <c r="N29" s="422"/>
      <c r="O29" s="422"/>
      <c r="P29" s="422"/>
      <c r="Q29" s="422"/>
      <c r="R29" s="422"/>
      <c r="S29" s="85"/>
      <c r="T29" s="85"/>
      <c r="U29" s="85"/>
    </row>
    <row r="30" spans="1:21" x14ac:dyDescent="0.25">
      <c r="A30" s="581"/>
      <c r="B30" s="581"/>
      <c r="C30" s="581"/>
      <c r="D30" s="581"/>
      <c r="E30" s="581"/>
      <c r="F30" s="581"/>
      <c r="G30" s="581"/>
      <c r="H30" s="581"/>
      <c r="I30" s="581"/>
      <c r="J30" s="581"/>
      <c r="K30" s="581"/>
      <c r="L30" s="581"/>
      <c r="M30" s="581"/>
      <c r="N30" s="581"/>
      <c r="O30" s="581"/>
      <c r="P30" s="581"/>
      <c r="Q30" s="581"/>
      <c r="R30" s="581"/>
      <c r="S30" s="85"/>
      <c r="T30" s="85"/>
      <c r="U30" s="85"/>
    </row>
    <row r="31" spans="1:21" ht="18" x14ac:dyDescent="0.25">
      <c r="A31" s="581"/>
      <c r="B31" s="581"/>
      <c r="C31" s="581"/>
      <c r="D31" s="581"/>
      <c r="E31" s="581"/>
      <c r="F31" s="757" t="s">
        <v>561</v>
      </c>
      <c r="G31" s="758"/>
      <c r="H31" s="758"/>
      <c r="I31" s="758"/>
      <c r="J31" s="758"/>
      <c r="K31" s="758"/>
      <c r="L31" s="758"/>
      <c r="M31" s="759"/>
      <c r="N31" s="581"/>
      <c r="O31" s="581"/>
      <c r="P31" s="581"/>
      <c r="Q31" s="581"/>
      <c r="R31" s="581"/>
      <c r="S31" s="85"/>
      <c r="T31" s="85"/>
      <c r="U31" s="85"/>
    </row>
    <row r="32" spans="1:21" ht="18" x14ac:dyDescent="0.25">
      <c r="A32" s="581"/>
      <c r="B32" s="581"/>
      <c r="C32" s="581"/>
      <c r="D32" s="581"/>
      <c r="E32" s="581"/>
      <c r="F32" s="623" t="s">
        <v>518</v>
      </c>
      <c r="G32" s="752" t="s">
        <v>519</v>
      </c>
      <c r="H32" s="752"/>
      <c r="I32" s="624" t="s">
        <v>520</v>
      </c>
      <c r="J32" s="753" t="s">
        <v>553</v>
      </c>
      <c r="K32" s="753"/>
      <c r="L32" s="754" t="s">
        <v>552</v>
      </c>
      <c r="M32" s="755"/>
      <c r="N32" s="581"/>
      <c r="O32" s="581"/>
      <c r="P32" s="581"/>
      <c r="Q32" s="581"/>
      <c r="R32" s="581"/>
      <c r="S32" s="85"/>
      <c r="T32" s="85"/>
      <c r="U32" s="85"/>
    </row>
    <row r="33" spans="1:21" ht="18" x14ac:dyDescent="0.25">
      <c r="A33" s="581"/>
      <c r="B33" s="581"/>
      <c r="C33" s="581"/>
      <c r="D33" s="581"/>
      <c r="E33" s="581"/>
      <c r="F33" s="623" t="s">
        <v>521</v>
      </c>
      <c r="G33" s="752" t="s">
        <v>522</v>
      </c>
      <c r="H33" s="752"/>
      <c r="I33" s="624" t="s">
        <v>523</v>
      </c>
      <c r="J33" s="753" t="s">
        <v>524</v>
      </c>
      <c r="K33" s="753"/>
      <c r="L33" s="754" t="s">
        <v>525</v>
      </c>
      <c r="M33" s="755"/>
      <c r="N33" s="581"/>
      <c r="O33" s="581"/>
      <c r="P33" s="581"/>
      <c r="Q33" s="581"/>
      <c r="R33" s="581"/>
      <c r="S33" s="85"/>
      <c r="T33" s="85"/>
      <c r="U33" s="85"/>
    </row>
    <row r="34" spans="1:21" x14ac:dyDescent="0.25">
      <c r="A34" s="581"/>
      <c r="B34" s="581"/>
      <c r="C34" s="581"/>
      <c r="D34" s="581"/>
      <c r="E34" s="581"/>
      <c r="F34" s="581"/>
      <c r="G34" s="581"/>
      <c r="H34" s="581"/>
      <c r="I34" s="581"/>
      <c r="J34" s="581"/>
      <c r="K34" s="581"/>
      <c r="L34" s="581"/>
      <c r="M34" s="581"/>
      <c r="N34" s="581"/>
      <c r="O34" s="581"/>
      <c r="P34" s="581"/>
      <c r="Q34" s="581"/>
      <c r="R34" s="581"/>
      <c r="S34" s="85"/>
      <c r="T34" s="85"/>
      <c r="U34" s="85"/>
    </row>
    <row r="35" spans="1:21" x14ac:dyDescent="0.25">
      <c r="A35" s="581"/>
      <c r="B35" s="581"/>
      <c r="C35" s="581"/>
      <c r="D35" s="581"/>
      <c r="E35" s="581"/>
      <c r="F35" s="581"/>
      <c r="G35" s="581"/>
      <c r="H35" s="581"/>
      <c r="I35" s="581"/>
      <c r="J35" s="581"/>
      <c r="K35" s="581"/>
      <c r="L35" s="581"/>
      <c r="M35" s="581"/>
      <c r="N35" s="581"/>
      <c r="O35" s="581"/>
      <c r="P35" s="581"/>
      <c r="Q35" s="581"/>
      <c r="R35" s="581"/>
      <c r="S35" s="85"/>
      <c r="T35" s="85"/>
      <c r="U35" s="85"/>
    </row>
    <row r="36" spans="1:21" x14ac:dyDescent="0.25">
      <c r="A36" s="581"/>
      <c r="B36" s="581"/>
      <c r="C36" s="581"/>
      <c r="D36" s="581"/>
      <c r="E36" s="581"/>
      <c r="F36" s="581"/>
      <c r="G36" s="581"/>
      <c r="H36" s="581"/>
      <c r="I36" s="581"/>
      <c r="J36" s="581"/>
      <c r="K36" s="581"/>
      <c r="L36" s="581"/>
      <c r="M36" s="581"/>
      <c r="N36" s="581"/>
      <c r="O36" s="581"/>
      <c r="P36" s="581"/>
      <c r="Q36" s="581"/>
      <c r="R36" s="581"/>
      <c r="S36" s="85"/>
      <c r="T36" s="85"/>
      <c r="U36" s="85"/>
    </row>
    <row r="37" spans="1:21" x14ac:dyDescent="0.25">
      <c r="A37" s="2"/>
      <c r="B37" s="2"/>
      <c r="C37" s="2"/>
      <c r="D37" s="2"/>
      <c r="E37" s="2"/>
      <c r="F37" s="2"/>
      <c r="G37" s="2"/>
      <c r="H37" s="2"/>
      <c r="I37" s="2"/>
      <c r="J37" s="2"/>
      <c r="K37" s="2"/>
      <c r="L37" s="8"/>
      <c r="M37" s="85"/>
      <c r="N37" s="85"/>
      <c r="O37" s="85"/>
      <c r="P37" s="85"/>
      <c r="Q37" s="85"/>
      <c r="R37" s="85"/>
      <c r="S37" s="85"/>
      <c r="T37" s="85"/>
      <c r="U37" s="85"/>
    </row>
    <row r="38" spans="1:21" x14ac:dyDescent="0.25">
      <c r="A38" s="2"/>
      <c r="B38" s="2"/>
      <c r="C38" s="2"/>
      <c r="D38" s="2"/>
      <c r="E38" s="2"/>
      <c r="F38" s="2"/>
      <c r="G38" s="2"/>
      <c r="H38" s="2"/>
      <c r="I38" s="2"/>
      <c r="J38" s="2"/>
      <c r="K38" s="2"/>
      <c r="L38" s="8"/>
      <c r="M38" s="85"/>
      <c r="N38" s="85"/>
      <c r="O38" s="85"/>
      <c r="P38" s="85"/>
      <c r="Q38" s="85"/>
      <c r="R38" s="85"/>
      <c r="S38" s="85"/>
      <c r="T38" s="85"/>
      <c r="U38" s="85"/>
    </row>
    <row r="39" spans="1:21" x14ac:dyDescent="0.25">
      <c r="A39" s="2"/>
      <c r="B39" s="2"/>
      <c r="C39" s="2"/>
      <c r="D39" s="2"/>
      <c r="E39" s="2"/>
      <c r="F39" s="2"/>
      <c r="G39" s="2"/>
      <c r="H39" s="2"/>
      <c r="I39" s="2"/>
      <c r="J39" s="2"/>
      <c r="K39" s="2"/>
      <c r="L39" s="8"/>
      <c r="M39" s="85"/>
      <c r="N39" s="85"/>
      <c r="O39" s="85"/>
      <c r="P39" s="85"/>
      <c r="Q39" s="85"/>
      <c r="R39" s="85"/>
      <c r="S39" s="85"/>
      <c r="T39" s="85"/>
      <c r="U39" s="85"/>
    </row>
    <row r="40" spans="1:21" x14ac:dyDescent="0.25">
      <c r="A40" s="2"/>
      <c r="B40" s="2"/>
      <c r="C40" s="2"/>
      <c r="D40" s="2"/>
      <c r="E40" s="2"/>
      <c r="F40" s="2"/>
      <c r="G40" s="2"/>
      <c r="H40" s="2"/>
      <c r="I40" s="2"/>
      <c r="J40" s="2"/>
      <c r="K40" s="2"/>
      <c r="L40" s="8"/>
      <c r="M40" s="85"/>
      <c r="N40" s="85"/>
      <c r="O40" s="85"/>
      <c r="P40" s="85"/>
      <c r="Q40" s="85"/>
      <c r="R40" s="85"/>
      <c r="S40" s="85"/>
      <c r="T40" s="85"/>
      <c r="U40" s="85"/>
    </row>
    <row r="41" spans="1:21" x14ac:dyDescent="0.25">
      <c r="A41" s="2"/>
      <c r="B41" s="8"/>
      <c r="C41" s="2"/>
      <c r="D41" s="2"/>
      <c r="E41" s="2"/>
      <c r="F41" s="2"/>
      <c r="G41" s="2"/>
      <c r="H41" s="2"/>
      <c r="I41" s="2"/>
      <c r="J41" s="2"/>
      <c r="K41" s="2"/>
      <c r="L41" s="8"/>
      <c r="M41" s="85"/>
      <c r="N41" s="85"/>
      <c r="O41" s="85"/>
      <c r="P41" s="85"/>
      <c r="Q41" s="85"/>
      <c r="R41" s="85"/>
      <c r="S41" s="85"/>
      <c r="T41" s="85"/>
      <c r="U41" s="85"/>
    </row>
    <row r="42" spans="1:21" ht="20" x14ac:dyDescent="0.4">
      <c r="A42" s="2"/>
      <c r="B42" s="88"/>
      <c r="C42" s="2"/>
      <c r="D42" s="2"/>
      <c r="E42" s="2"/>
      <c r="F42" s="2"/>
      <c r="G42" s="2"/>
      <c r="H42" s="2"/>
      <c r="I42" s="2"/>
      <c r="J42" s="2"/>
      <c r="K42" s="2"/>
      <c r="L42" s="8"/>
      <c r="M42" s="85"/>
      <c r="N42" s="85"/>
      <c r="O42" s="85"/>
      <c r="P42" s="85"/>
      <c r="Q42" s="85"/>
      <c r="R42" s="85"/>
      <c r="S42" s="85"/>
      <c r="T42" s="85"/>
      <c r="U42" s="85"/>
    </row>
    <row r="43" spans="1:21" ht="15.5" x14ac:dyDescent="0.35">
      <c r="A43" s="2"/>
      <c r="B43" s="89"/>
      <c r="C43" s="89"/>
      <c r="D43" s="89"/>
      <c r="E43" s="89"/>
      <c r="F43" s="89"/>
      <c r="G43" s="2"/>
      <c r="H43" s="2"/>
      <c r="I43" s="2"/>
      <c r="J43" s="2"/>
      <c r="K43" s="2"/>
      <c r="L43" s="8"/>
      <c r="M43" s="85"/>
      <c r="N43" s="85"/>
      <c r="O43" s="85"/>
      <c r="P43" s="85"/>
      <c r="Q43" s="85"/>
      <c r="R43" s="85"/>
      <c r="S43" s="85"/>
      <c r="T43" s="85"/>
      <c r="U43" s="85"/>
    </row>
    <row r="44" spans="1:21" ht="22.5" x14ac:dyDescent="0.25">
      <c r="A44" s="2"/>
      <c r="B44" s="3"/>
      <c r="C44" s="3"/>
      <c r="D44" s="3"/>
      <c r="E44" s="2"/>
      <c r="F44" s="2"/>
      <c r="G44" s="2"/>
      <c r="H44" s="2"/>
      <c r="I44" s="2"/>
      <c r="J44" s="2"/>
      <c r="K44" s="2"/>
      <c r="L44" s="8"/>
      <c r="M44" s="85"/>
      <c r="N44" s="85"/>
      <c r="O44" s="85"/>
      <c r="P44" s="85"/>
      <c r="Q44" s="85"/>
      <c r="R44" s="85"/>
      <c r="S44" s="85"/>
      <c r="T44" s="85"/>
      <c r="U44" s="85"/>
    </row>
    <row r="45" spans="1:21" ht="22.5" x14ac:dyDescent="0.25">
      <c r="A45" s="2"/>
      <c r="B45" s="3"/>
      <c r="C45" s="3"/>
      <c r="D45" s="3"/>
      <c r="E45" s="2"/>
      <c r="F45" s="2"/>
      <c r="G45" s="2"/>
      <c r="H45" s="2"/>
      <c r="I45" s="2"/>
      <c r="J45" s="2"/>
      <c r="K45" s="2"/>
      <c r="L45" s="8"/>
      <c r="M45" s="85"/>
      <c r="N45" s="85"/>
      <c r="O45" s="85"/>
      <c r="P45" s="85"/>
      <c r="Q45" s="85"/>
      <c r="R45" s="85"/>
      <c r="S45" s="85"/>
      <c r="T45" s="85"/>
      <c r="U45" s="85"/>
    </row>
    <row r="46" spans="1:21" ht="22.5" x14ac:dyDescent="0.25">
      <c r="A46" s="2"/>
      <c r="B46" s="3"/>
      <c r="C46" s="3"/>
      <c r="D46" s="3"/>
      <c r="E46" s="2"/>
      <c r="F46" s="2"/>
      <c r="G46" s="2"/>
      <c r="H46" s="2"/>
      <c r="I46" s="2"/>
      <c r="J46" s="2"/>
      <c r="K46" s="2"/>
      <c r="L46" s="8"/>
      <c r="M46" s="85"/>
      <c r="N46" s="85"/>
      <c r="O46" s="85"/>
      <c r="P46" s="85"/>
      <c r="Q46" s="85"/>
      <c r="R46" s="85"/>
      <c r="S46" s="85"/>
      <c r="T46" s="85"/>
      <c r="U46" s="85"/>
    </row>
    <row r="47" spans="1:21" ht="22.5" x14ac:dyDescent="0.25">
      <c r="A47" s="2"/>
      <c r="B47" s="3"/>
      <c r="C47" s="3"/>
      <c r="D47" s="3"/>
      <c r="E47" s="2"/>
      <c r="F47" s="2"/>
      <c r="G47" s="2"/>
      <c r="H47" s="2"/>
      <c r="I47" s="2"/>
      <c r="J47" s="2"/>
      <c r="K47" s="2"/>
      <c r="L47" s="8"/>
      <c r="M47" s="8"/>
      <c r="N47" s="8"/>
      <c r="O47" s="8"/>
      <c r="P47" s="8"/>
      <c r="Q47" s="85"/>
      <c r="R47" s="85"/>
      <c r="S47" s="85"/>
      <c r="T47" s="85"/>
      <c r="U47" s="85"/>
    </row>
    <row r="48" spans="1:21" x14ac:dyDescent="0.25">
      <c r="A48" s="2"/>
      <c r="B48" s="2"/>
      <c r="C48" s="2"/>
      <c r="D48" s="2"/>
      <c r="E48" s="2"/>
      <c r="F48" s="2"/>
      <c r="G48" s="2"/>
      <c r="H48" s="2"/>
      <c r="I48" s="2"/>
      <c r="J48" s="2"/>
      <c r="K48" s="2"/>
      <c r="L48" s="8"/>
      <c r="M48" s="8"/>
      <c r="N48" s="8"/>
      <c r="O48" s="8"/>
      <c r="P48" s="8"/>
      <c r="Q48" s="85"/>
      <c r="R48" s="85"/>
      <c r="S48" s="85"/>
      <c r="T48" s="85"/>
      <c r="U48" s="85"/>
    </row>
    <row r="49" spans="1:16" x14ac:dyDescent="0.25">
      <c r="A49" s="2"/>
      <c r="B49" s="2"/>
      <c r="C49" s="2"/>
      <c r="D49" s="2"/>
      <c r="E49" s="2"/>
      <c r="F49" s="2"/>
      <c r="G49" s="2"/>
      <c r="H49" s="2"/>
      <c r="I49" s="2"/>
      <c r="J49" s="2"/>
      <c r="K49" s="2"/>
      <c r="L49" s="1"/>
      <c r="M49" s="1"/>
      <c r="N49" s="1"/>
      <c r="O49" s="1"/>
      <c r="P49" s="1"/>
    </row>
    <row r="50" spans="1:16" x14ac:dyDescent="0.25">
      <c r="A50" s="2"/>
      <c r="B50" s="2"/>
      <c r="C50" s="2"/>
      <c r="D50" s="2"/>
      <c r="E50" s="2"/>
      <c r="F50" s="2"/>
      <c r="G50" s="2"/>
      <c r="H50" s="2"/>
      <c r="I50" s="2"/>
      <c r="J50" s="2"/>
      <c r="K50" s="2"/>
      <c r="L50" s="1"/>
      <c r="M50" s="1"/>
      <c r="N50" s="1"/>
      <c r="O50" s="1"/>
      <c r="P50" s="1"/>
    </row>
    <row r="51" spans="1:16" x14ac:dyDescent="0.25">
      <c r="A51" s="2"/>
      <c r="B51" s="2"/>
      <c r="C51" s="2"/>
      <c r="D51" s="2"/>
      <c r="E51" s="2"/>
      <c r="F51" s="2"/>
      <c r="G51" s="2"/>
      <c r="H51" s="2"/>
      <c r="I51" s="2"/>
      <c r="J51" s="2"/>
      <c r="K51" s="2"/>
      <c r="L51" s="1"/>
      <c r="M51" s="1"/>
      <c r="N51" s="1"/>
      <c r="O51" s="1"/>
      <c r="P51" s="1"/>
    </row>
    <row r="52" spans="1:16" x14ac:dyDescent="0.25">
      <c r="A52" s="2"/>
      <c r="B52" s="2"/>
      <c r="C52" s="2"/>
      <c r="D52" s="2"/>
      <c r="E52" s="2"/>
      <c r="F52" s="2"/>
      <c r="G52" s="2"/>
      <c r="H52" s="2"/>
      <c r="I52" s="2"/>
      <c r="J52" s="2"/>
      <c r="K52" s="2"/>
      <c r="L52" s="1"/>
      <c r="M52" s="1"/>
      <c r="N52" s="1"/>
      <c r="O52" s="1"/>
      <c r="P52" s="1"/>
    </row>
    <row r="53" spans="1:16" x14ac:dyDescent="0.25">
      <c r="A53" s="2"/>
      <c r="B53" s="2"/>
      <c r="C53" s="2"/>
      <c r="D53" s="2"/>
      <c r="E53" s="2"/>
      <c r="F53" s="2"/>
      <c r="G53" s="2"/>
      <c r="H53" s="2"/>
      <c r="I53" s="2"/>
      <c r="J53" s="2"/>
      <c r="K53" s="2"/>
      <c r="L53" s="1"/>
      <c r="M53" s="1"/>
      <c r="N53" s="1"/>
      <c r="O53" s="1"/>
      <c r="P53" s="1"/>
    </row>
    <row r="54" spans="1:16" x14ac:dyDescent="0.25">
      <c r="A54" s="2"/>
      <c r="B54" s="2"/>
      <c r="C54" s="2"/>
      <c r="D54" s="2"/>
      <c r="E54" s="2"/>
      <c r="F54" s="2"/>
      <c r="G54" s="2"/>
      <c r="H54" s="2"/>
      <c r="I54" s="2"/>
      <c r="J54" s="2"/>
      <c r="K54" s="2"/>
      <c r="L54" s="1"/>
      <c r="M54" s="1"/>
      <c r="N54" s="1"/>
      <c r="O54" s="1"/>
      <c r="P54" s="1"/>
    </row>
    <row r="55" spans="1:16" x14ac:dyDescent="0.25">
      <c r="A55" s="2"/>
      <c r="B55" s="2"/>
      <c r="C55" s="2"/>
      <c r="D55" s="2"/>
      <c r="E55" s="2"/>
      <c r="F55" s="2"/>
      <c r="G55" s="2"/>
      <c r="H55" s="2"/>
      <c r="I55" s="2"/>
      <c r="J55" s="2"/>
      <c r="K55" s="2"/>
      <c r="L55" s="1"/>
      <c r="M55" s="1"/>
      <c r="N55" s="1"/>
      <c r="O55" s="1"/>
      <c r="P55" s="1"/>
    </row>
    <row r="56" spans="1:16" x14ac:dyDescent="0.25">
      <c r="A56" s="2"/>
      <c r="B56" s="2"/>
      <c r="C56" s="2"/>
      <c r="D56" s="2"/>
      <c r="E56" s="2"/>
      <c r="F56" s="2"/>
      <c r="G56" s="2"/>
      <c r="H56" s="2"/>
      <c r="I56" s="2"/>
      <c r="J56" s="2"/>
      <c r="K56" s="2"/>
      <c r="L56" s="1"/>
      <c r="M56" s="1"/>
      <c r="N56" s="1"/>
      <c r="O56" s="1"/>
      <c r="P56" s="1"/>
    </row>
    <row r="57" spans="1:16" x14ac:dyDescent="0.25">
      <c r="A57" s="2"/>
      <c r="B57" s="2"/>
      <c r="C57" s="2"/>
      <c r="D57" s="2"/>
      <c r="E57" s="2"/>
      <c r="F57" s="2"/>
      <c r="G57" s="2"/>
      <c r="H57" s="2"/>
      <c r="I57" s="2"/>
      <c r="J57" s="2"/>
      <c r="K57" s="2"/>
      <c r="L57" s="1"/>
      <c r="M57" s="1"/>
      <c r="N57" s="1"/>
      <c r="O57" s="1"/>
      <c r="P57" s="1"/>
    </row>
    <row r="58" spans="1:16" x14ac:dyDescent="0.25">
      <c r="A58" s="2"/>
      <c r="B58" s="2"/>
      <c r="C58" s="2"/>
      <c r="D58" s="2"/>
      <c r="E58" s="2"/>
      <c r="F58" s="2"/>
      <c r="G58" s="2"/>
      <c r="H58" s="2"/>
      <c r="I58" s="2"/>
      <c r="J58" s="2"/>
      <c r="K58" s="2"/>
      <c r="L58" s="1"/>
      <c r="M58" s="1"/>
      <c r="N58" s="1"/>
      <c r="O58" s="1"/>
      <c r="P58" s="1"/>
    </row>
    <row r="59" spans="1:16" x14ac:dyDescent="0.25">
      <c r="A59" s="2"/>
      <c r="B59" s="2"/>
      <c r="C59" s="2"/>
      <c r="D59" s="2"/>
      <c r="E59" s="2"/>
      <c r="F59" s="2"/>
      <c r="G59" s="2"/>
      <c r="H59" s="2"/>
      <c r="I59" s="2"/>
      <c r="J59" s="2"/>
      <c r="K59" s="2"/>
      <c r="L59" s="1"/>
      <c r="M59" s="1"/>
      <c r="N59" s="1"/>
      <c r="O59" s="1"/>
      <c r="P59" s="1"/>
    </row>
    <row r="60" spans="1:16" x14ac:dyDescent="0.25">
      <c r="A60" s="2"/>
      <c r="B60" s="2"/>
      <c r="C60" s="2"/>
      <c r="D60" s="2"/>
      <c r="E60" s="2"/>
      <c r="F60" s="2"/>
      <c r="G60" s="2"/>
      <c r="H60" s="2"/>
      <c r="I60" s="2"/>
      <c r="J60" s="2"/>
      <c r="K60" s="2"/>
      <c r="L60" s="1"/>
      <c r="M60" s="1"/>
      <c r="N60" s="1"/>
      <c r="O60" s="1"/>
      <c r="P60" s="1"/>
    </row>
    <row r="61" spans="1:16" x14ac:dyDescent="0.25">
      <c r="A61" s="2"/>
      <c r="B61" s="2"/>
      <c r="C61" s="2"/>
      <c r="D61" s="2"/>
      <c r="E61" s="2"/>
      <c r="F61" s="2"/>
      <c r="G61" s="2"/>
      <c r="H61" s="2"/>
      <c r="I61" s="2"/>
      <c r="J61" s="2"/>
      <c r="K61" s="2"/>
      <c r="L61" s="1"/>
      <c r="M61" s="1"/>
      <c r="N61" s="1"/>
      <c r="O61" s="1"/>
      <c r="P61" s="1"/>
    </row>
    <row r="62" spans="1:16" x14ac:dyDescent="0.25">
      <c r="A62" s="2"/>
      <c r="B62" s="2"/>
      <c r="C62" s="2"/>
      <c r="D62" s="2"/>
      <c r="E62" s="2"/>
      <c r="F62" s="2"/>
      <c r="G62" s="2"/>
      <c r="H62" s="2"/>
      <c r="I62" s="2"/>
      <c r="J62" s="2"/>
      <c r="K62" s="2"/>
      <c r="L62" s="1"/>
      <c r="M62" s="1"/>
      <c r="N62" s="1"/>
      <c r="O62" s="1"/>
      <c r="P62" s="1"/>
    </row>
    <row r="63" spans="1:16" x14ac:dyDescent="0.25">
      <c r="A63" s="2"/>
      <c r="B63" s="2"/>
      <c r="C63" s="2"/>
      <c r="D63" s="2"/>
      <c r="E63" s="2"/>
      <c r="F63" s="2"/>
      <c r="G63" s="2"/>
      <c r="H63" s="2"/>
      <c r="I63" s="2"/>
      <c r="J63" s="2"/>
      <c r="K63" s="2"/>
      <c r="L63" s="1"/>
      <c r="M63" s="1"/>
      <c r="N63" s="1"/>
      <c r="O63" s="1"/>
      <c r="P63" s="1"/>
    </row>
    <row r="64" spans="1:16" x14ac:dyDescent="0.25">
      <c r="A64" s="2"/>
      <c r="B64" s="2"/>
      <c r="C64" s="2"/>
      <c r="D64" s="2"/>
      <c r="E64" s="2"/>
      <c r="F64" s="2"/>
      <c r="G64" s="2"/>
      <c r="H64" s="2"/>
      <c r="I64" s="2"/>
      <c r="J64" s="2"/>
      <c r="K64" s="2"/>
      <c r="L64" s="1"/>
      <c r="M64" s="1"/>
      <c r="N64" s="1"/>
      <c r="O64" s="1"/>
      <c r="P64" s="1"/>
    </row>
    <row r="65" spans="1:16" x14ac:dyDescent="0.25">
      <c r="A65" s="2"/>
      <c r="B65" s="2"/>
      <c r="C65" s="2"/>
      <c r="D65" s="2"/>
      <c r="E65" s="2"/>
      <c r="F65" s="2"/>
      <c r="G65" s="2"/>
      <c r="H65" s="2"/>
      <c r="I65" s="2"/>
      <c r="J65" s="2"/>
      <c r="K65" s="2"/>
      <c r="L65" s="1"/>
      <c r="M65" s="1"/>
      <c r="N65" s="1"/>
      <c r="O65" s="1"/>
      <c r="P65" s="1"/>
    </row>
    <row r="66" spans="1:16" x14ac:dyDescent="0.25">
      <c r="A66" s="2"/>
      <c r="B66" s="2"/>
      <c r="C66" s="2"/>
      <c r="D66" s="2"/>
      <c r="E66" s="2"/>
      <c r="F66" s="2"/>
      <c r="G66" s="2"/>
      <c r="H66" s="2"/>
      <c r="I66" s="2"/>
      <c r="J66" s="2"/>
      <c r="K66" s="2"/>
      <c r="L66" s="1"/>
      <c r="M66" s="1"/>
      <c r="N66" s="1"/>
      <c r="O66" s="1"/>
      <c r="P66" s="1"/>
    </row>
    <row r="67" spans="1:16" x14ac:dyDescent="0.25">
      <c r="A67" s="2"/>
      <c r="B67" s="2"/>
      <c r="C67" s="2"/>
      <c r="D67" s="2"/>
      <c r="E67" s="2"/>
      <c r="F67" s="2"/>
      <c r="G67" s="2"/>
      <c r="H67" s="2"/>
      <c r="I67" s="2"/>
      <c r="J67" s="2"/>
      <c r="K67" s="2"/>
      <c r="L67" s="1"/>
      <c r="M67" s="1"/>
      <c r="N67" s="1"/>
      <c r="O67" s="1"/>
      <c r="P67" s="1"/>
    </row>
    <row r="68" spans="1:16" x14ac:dyDescent="0.25">
      <c r="A68" s="2"/>
      <c r="B68" s="2"/>
      <c r="C68" s="2"/>
      <c r="D68" s="2"/>
      <c r="E68" s="2"/>
      <c r="F68" s="2"/>
      <c r="G68" s="2"/>
      <c r="H68" s="2"/>
      <c r="I68" s="2"/>
      <c r="J68" s="2"/>
      <c r="K68" s="2"/>
      <c r="L68" s="1"/>
      <c r="M68" s="1"/>
      <c r="N68" s="1"/>
      <c r="O68" s="1"/>
      <c r="P68" s="1"/>
    </row>
    <row r="69" spans="1:16" x14ac:dyDescent="0.25">
      <c r="A69" s="2"/>
      <c r="B69" s="2"/>
      <c r="C69" s="2"/>
      <c r="D69" s="2"/>
      <c r="E69" s="2"/>
      <c r="F69" s="2"/>
      <c r="G69" s="2"/>
      <c r="H69" s="2"/>
      <c r="I69" s="2"/>
      <c r="J69" s="2"/>
      <c r="K69" s="2"/>
      <c r="L69" s="1"/>
      <c r="M69" s="1"/>
      <c r="N69" s="1"/>
      <c r="O69" s="1"/>
      <c r="P69" s="1"/>
    </row>
    <row r="70" spans="1:16" x14ac:dyDescent="0.25">
      <c r="A70" s="2"/>
      <c r="B70" s="2"/>
      <c r="C70" s="2"/>
      <c r="D70" s="2"/>
      <c r="E70" s="2"/>
      <c r="F70" s="2"/>
      <c r="G70" s="2"/>
      <c r="H70" s="2"/>
      <c r="I70" s="2"/>
      <c r="J70" s="2"/>
      <c r="K70" s="2"/>
      <c r="L70" s="1"/>
      <c r="M70" s="1"/>
      <c r="N70" s="1"/>
      <c r="O70" s="1"/>
      <c r="P70" s="1"/>
    </row>
    <row r="71" spans="1:16" x14ac:dyDescent="0.25">
      <c r="A71" s="2"/>
      <c r="B71" s="2"/>
      <c r="C71" s="2"/>
      <c r="D71" s="2"/>
      <c r="E71" s="2"/>
      <c r="F71" s="2"/>
      <c r="G71" s="2"/>
      <c r="H71" s="2"/>
      <c r="I71" s="2"/>
      <c r="J71" s="2"/>
      <c r="K71" s="2"/>
      <c r="L71" s="1"/>
      <c r="M71" s="1"/>
      <c r="N71" s="1"/>
      <c r="O71" s="1"/>
      <c r="P71" s="1"/>
    </row>
    <row r="72" spans="1:16" x14ac:dyDescent="0.25">
      <c r="A72" s="2"/>
      <c r="B72" s="2"/>
      <c r="C72" s="2"/>
      <c r="D72" s="2"/>
      <c r="E72" s="2"/>
      <c r="F72" s="2"/>
      <c r="G72" s="2"/>
      <c r="H72" s="2"/>
      <c r="I72" s="2"/>
      <c r="J72" s="2"/>
      <c r="K72" s="2"/>
      <c r="L72" s="1"/>
      <c r="M72" s="1"/>
      <c r="N72" s="1"/>
      <c r="O72" s="1"/>
      <c r="P72" s="1"/>
    </row>
    <row r="73" spans="1:16" x14ac:dyDescent="0.25">
      <c r="A73" s="2"/>
      <c r="B73" s="2"/>
      <c r="C73" s="2"/>
      <c r="D73" s="2"/>
      <c r="E73" s="2"/>
      <c r="F73" s="2"/>
      <c r="G73" s="2"/>
      <c r="H73" s="2"/>
      <c r="I73" s="2"/>
      <c r="J73" s="2"/>
      <c r="K73" s="2"/>
      <c r="L73" s="1"/>
      <c r="M73" s="1"/>
      <c r="N73" s="1"/>
      <c r="O73" s="1"/>
      <c r="P73" s="1"/>
    </row>
    <row r="74" spans="1:16" x14ac:dyDescent="0.25">
      <c r="A74" s="2"/>
      <c r="B74" s="2"/>
      <c r="C74" s="2"/>
      <c r="D74" s="2"/>
      <c r="E74" s="2"/>
      <c r="F74" s="2"/>
      <c r="G74" s="2"/>
      <c r="H74" s="2"/>
      <c r="I74" s="2"/>
      <c r="J74" s="2"/>
      <c r="K74" s="2"/>
      <c r="L74" s="1"/>
      <c r="M74" s="1"/>
      <c r="N74" s="1"/>
      <c r="O74" s="1"/>
      <c r="P74" s="1"/>
    </row>
    <row r="75" spans="1:16" x14ac:dyDescent="0.25">
      <c r="A75" s="2"/>
      <c r="B75" s="2"/>
      <c r="C75" s="2"/>
      <c r="D75" s="2"/>
      <c r="E75" s="2"/>
      <c r="F75" s="2"/>
      <c r="G75" s="2"/>
      <c r="H75" s="2"/>
      <c r="I75" s="2"/>
      <c r="J75" s="2"/>
      <c r="K75" s="2"/>
      <c r="L75" s="1"/>
      <c r="M75" s="1"/>
      <c r="N75" s="1"/>
      <c r="O75" s="1"/>
      <c r="P75" s="1"/>
    </row>
    <row r="76" spans="1:16" x14ac:dyDescent="0.25">
      <c r="A76" s="1"/>
      <c r="B76" s="1"/>
      <c r="C76" s="1"/>
      <c r="D76" s="1"/>
      <c r="E76" s="1"/>
      <c r="F76" s="1"/>
      <c r="G76" s="1"/>
      <c r="H76" s="1"/>
      <c r="I76" s="1"/>
      <c r="J76" s="1"/>
      <c r="K76" s="1"/>
      <c r="L76" s="1"/>
      <c r="M76" s="1"/>
      <c r="N76" s="1"/>
      <c r="O76" s="1"/>
      <c r="P76" s="1"/>
    </row>
    <row r="77" spans="1:16" x14ac:dyDescent="0.25">
      <c r="A77" s="1"/>
      <c r="B77" s="1"/>
      <c r="C77" s="1"/>
      <c r="D77" s="1"/>
      <c r="E77" s="1"/>
      <c r="F77" s="1"/>
      <c r="G77" s="1"/>
      <c r="H77" s="1"/>
      <c r="I77" s="1"/>
      <c r="J77" s="1"/>
      <c r="K77" s="1"/>
      <c r="L77" s="1"/>
      <c r="M77" s="1"/>
      <c r="N77" s="1"/>
      <c r="O77" s="1"/>
      <c r="P77" s="1"/>
    </row>
    <row r="78" spans="1:16" x14ac:dyDescent="0.25">
      <c r="A78" s="1"/>
      <c r="B78" s="1"/>
      <c r="C78" s="1"/>
      <c r="D78" s="1"/>
      <c r="E78" s="1"/>
      <c r="F78" s="1"/>
      <c r="G78" s="1"/>
      <c r="H78" s="1"/>
      <c r="I78" s="1"/>
      <c r="J78" s="1"/>
      <c r="K78" s="1"/>
      <c r="L78" s="1"/>
      <c r="M78" s="1"/>
      <c r="N78" s="1"/>
      <c r="O78" s="1"/>
      <c r="P78" s="1"/>
    </row>
    <row r="79" spans="1:16" x14ac:dyDescent="0.25">
      <c r="A79" s="1"/>
      <c r="B79" s="1"/>
      <c r="C79" s="1"/>
      <c r="D79" s="1"/>
      <c r="E79" s="1"/>
      <c r="F79" s="1"/>
      <c r="G79" s="1"/>
      <c r="H79" s="1"/>
      <c r="I79" s="1"/>
      <c r="J79" s="1"/>
      <c r="K79" s="1"/>
      <c r="L79" s="1"/>
      <c r="M79" s="1"/>
      <c r="N79" s="1"/>
      <c r="O79" s="1"/>
      <c r="P79" s="1"/>
    </row>
    <row r="80" spans="1:16" x14ac:dyDescent="0.25">
      <c r="A80" s="1"/>
      <c r="B80" s="1"/>
      <c r="C80" s="1"/>
      <c r="D80" s="1"/>
      <c r="E80" s="1"/>
      <c r="F80" s="1"/>
      <c r="G80" s="1"/>
      <c r="H80" s="1"/>
      <c r="I80" s="1"/>
      <c r="J80" s="1"/>
      <c r="K80" s="1"/>
      <c r="L80" s="1"/>
      <c r="M80" s="1"/>
      <c r="N80" s="1"/>
      <c r="O80" s="1"/>
      <c r="P80" s="1"/>
    </row>
    <row r="81" spans="1:16" x14ac:dyDescent="0.25">
      <c r="A81" s="2"/>
      <c r="B81" s="2"/>
      <c r="C81" s="2"/>
      <c r="D81" s="2"/>
      <c r="E81" s="2"/>
      <c r="F81" s="2"/>
      <c r="G81" s="2"/>
      <c r="H81" s="2"/>
      <c r="I81" s="2"/>
      <c r="J81" s="2"/>
      <c r="K81" s="2"/>
      <c r="L81" s="2"/>
      <c r="M81" s="2"/>
      <c r="N81" s="2"/>
      <c r="O81" s="2"/>
      <c r="P81" s="1"/>
    </row>
    <row r="82" spans="1:16" x14ac:dyDescent="0.25">
      <c r="A82" s="2"/>
      <c r="B82" s="2"/>
      <c r="C82" s="2"/>
      <c r="D82" s="2"/>
      <c r="E82" s="2"/>
      <c r="F82" s="2"/>
      <c r="G82" s="2"/>
      <c r="H82" s="2"/>
      <c r="I82" s="2"/>
      <c r="J82" s="2"/>
      <c r="K82" s="2"/>
      <c r="L82" s="2"/>
      <c r="M82" s="2"/>
      <c r="N82" s="2"/>
      <c r="O82" s="2"/>
      <c r="P82" s="1"/>
    </row>
    <row r="83" spans="1:16" x14ac:dyDescent="0.25">
      <c r="A83" s="2"/>
      <c r="B83" s="2"/>
      <c r="C83" s="2"/>
      <c r="D83" s="2"/>
      <c r="E83" s="2"/>
      <c r="F83" s="2"/>
      <c r="G83" s="2"/>
      <c r="H83" s="2"/>
      <c r="I83" s="2"/>
      <c r="J83" s="2"/>
      <c r="K83" s="2"/>
      <c r="L83" s="2"/>
      <c r="M83" s="2"/>
      <c r="N83" s="2"/>
      <c r="O83" s="2"/>
      <c r="P83" s="1"/>
    </row>
    <row r="84" spans="1:16" x14ac:dyDescent="0.25">
      <c r="A84" s="2"/>
      <c r="B84" s="2"/>
      <c r="C84" s="4"/>
      <c r="D84" s="4"/>
      <c r="E84" s="4"/>
      <c r="F84" s="4"/>
      <c r="G84" s="4"/>
      <c r="H84" s="4"/>
      <c r="I84" s="4"/>
      <c r="J84" s="4"/>
      <c r="K84" s="4"/>
      <c r="L84" s="4"/>
      <c r="M84" s="4"/>
      <c r="N84" s="4"/>
      <c r="O84" s="5"/>
      <c r="P84" s="1"/>
    </row>
    <row r="85" spans="1:16" x14ac:dyDescent="0.25">
      <c r="A85" s="2"/>
      <c r="B85" s="2"/>
      <c r="C85" s="2"/>
      <c r="D85" s="2"/>
      <c r="E85" s="2"/>
      <c r="F85" s="2"/>
      <c r="G85" s="2"/>
      <c r="H85" s="2"/>
      <c r="I85" s="2"/>
      <c r="J85" s="2"/>
      <c r="K85" s="2"/>
      <c r="L85" s="2"/>
      <c r="M85" s="2"/>
      <c r="N85" s="2"/>
      <c r="O85" s="2"/>
      <c r="P85" s="1"/>
    </row>
    <row r="86" spans="1:16" x14ac:dyDescent="0.25">
      <c r="A86" s="2"/>
      <c r="B86" s="2"/>
      <c r="C86" s="2"/>
      <c r="D86" s="2"/>
      <c r="E86" s="2"/>
      <c r="F86" s="2"/>
      <c r="G86" s="2"/>
      <c r="H86" s="2"/>
      <c r="I86" s="2"/>
      <c r="J86" s="2"/>
      <c r="K86" s="2"/>
      <c r="L86" s="2"/>
      <c r="M86" s="2"/>
      <c r="N86" s="2"/>
      <c r="O86" s="2"/>
      <c r="P86" s="1"/>
    </row>
    <row r="87" spans="1:16" x14ac:dyDescent="0.25">
      <c r="A87" s="2"/>
      <c r="B87" s="2"/>
      <c r="C87" s="2"/>
      <c r="D87" s="2"/>
      <c r="E87" s="2"/>
      <c r="F87" s="2"/>
      <c r="G87" s="2"/>
      <c r="H87" s="2"/>
      <c r="I87" s="2"/>
      <c r="J87" s="2"/>
      <c r="K87" s="2"/>
      <c r="L87" s="2"/>
      <c r="M87" s="2"/>
      <c r="N87" s="2"/>
      <c r="O87" s="2"/>
      <c r="P87" s="1"/>
    </row>
    <row r="88" spans="1:16" x14ac:dyDescent="0.25">
      <c r="A88" s="2"/>
      <c r="B88" s="2"/>
      <c r="C88" s="2"/>
      <c r="D88" s="2"/>
      <c r="E88" s="2"/>
      <c r="F88" s="2"/>
      <c r="G88" s="2"/>
      <c r="H88" s="2"/>
      <c r="I88" s="2"/>
      <c r="J88" s="2"/>
      <c r="K88" s="2"/>
      <c r="L88" s="2"/>
      <c r="M88" s="2"/>
      <c r="N88" s="2"/>
      <c r="O88" s="2"/>
      <c r="P88" s="1"/>
    </row>
    <row r="89" spans="1:16" x14ac:dyDescent="0.25">
      <c r="A89" s="2"/>
      <c r="B89" s="2"/>
      <c r="C89" s="2"/>
      <c r="D89" s="2"/>
      <c r="E89" s="2"/>
      <c r="F89" s="2"/>
      <c r="G89" s="2"/>
      <c r="H89" s="2"/>
      <c r="I89" s="2"/>
      <c r="J89" s="2"/>
      <c r="K89" s="2"/>
      <c r="L89" s="2"/>
      <c r="M89" s="2"/>
      <c r="N89" s="2"/>
      <c r="O89" s="2"/>
      <c r="P89" s="1"/>
    </row>
    <row r="90" spans="1:16" x14ac:dyDescent="0.25">
      <c r="A90" s="2"/>
      <c r="B90" s="2"/>
      <c r="C90" s="2"/>
      <c r="D90" s="2"/>
      <c r="E90" s="2"/>
      <c r="F90" s="2"/>
      <c r="G90" s="2"/>
      <c r="H90" s="2"/>
      <c r="I90" s="2"/>
      <c r="J90" s="2"/>
      <c r="K90" s="2"/>
      <c r="L90" s="2"/>
      <c r="M90" s="2"/>
      <c r="N90" s="2"/>
      <c r="O90" s="2"/>
      <c r="P90" s="1"/>
    </row>
    <row r="91" spans="1:16" x14ac:dyDescent="0.25">
      <c r="A91" s="2"/>
      <c r="B91" s="2"/>
      <c r="C91" s="2"/>
      <c r="D91" s="2"/>
      <c r="E91" s="2"/>
      <c r="F91" s="2"/>
      <c r="G91" s="2"/>
      <c r="H91" s="2"/>
      <c r="I91" s="2"/>
      <c r="J91" s="2"/>
      <c r="K91" s="2"/>
      <c r="L91" s="2"/>
      <c r="M91" s="2"/>
      <c r="N91" s="2"/>
      <c r="O91" s="2"/>
      <c r="P91" s="1"/>
    </row>
    <row r="92" spans="1:16" x14ac:dyDescent="0.25">
      <c r="A92" s="2"/>
      <c r="B92" s="2"/>
      <c r="C92" s="2"/>
      <c r="D92" s="2"/>
      <c r="E92" s="2"/>
      <c r="F92" s="2"/>
      <c r="G92" s="2"/>
      <c r="H92" s="2"/>
      <c r="I92" s="2"/>
      <c r="J92" s="2"/>
      <c r="K92" s="2"/>
      <c r="L92" s="2"/>
      <c r="M92" s="2"/>
      <c r="N92" s="2"/>
      <c r="O92" s="2"/>
      <c r="P92" s="1"/>
    </row>
    <row r="93" spans="1:16" x14ac:dyDescent="0.25">
      <c r="A93" s="2"/>
      <c r="B93" s="2"/>
      <c r="C93" s="2"/>
      <c r="D93" s="2"/>
      <c r="E93" s="2"/>
      <c r="F93" s="2"/>
      <c r="G93" s="2"/>
      <c r="H93" s="2"/>
      <c r="I93" s="2"/>
      <c r="J93" s="2"/>
      <c r="K93" s="2"/>
      <c r="L93" s="2"/>
      <c r="M93" s="2"/>
      <c r="N93" s="2"/>
      <c r="O93" s="2"/>
      <c r="P93" s="1"/>
    </row>
    <row r="94" spans="1:16" x14ac:dyDescent="0.25">
      <c r="A94" s="2"/>
      <c r="B94" s="2"/>
      <c r="C94" s="2"/>
      <c r="D94" s="2"/>
      <c r="E94" s="2"/>
      <c r="F94" s="2"/>
      <c r="G94" s="2"/>
      <c r="H94" s="2"/>
      <c r="I94" s="2"/>
      <c r="J94" s="2"/>
      <c r="K94" s="2"/>
      <c r="L94" s="2"/>
      <c r="M94" s="2"/>
      <c r="N94" s="2"/>
      <c r="O94" s="2"/>
      <c r="P94" s="1"/>
    </row>
    <row r="95" spans="1:16" x14ac:dyDescent="0.25">
      <c r="A95" s="2"/>
      <c r="B95" s="2"/>
      <c r="C95" s="2"/>
      <c r="D95" s="2"/>
      <c r="E95" s="2"/>
      <c r="F95" s="2"/>
      <c r="G95" s="2"/>
      <c r="H95" s="2"/>
      <c r="I95" s="2"/>
      <c r="J95" s="2"/>
      <c r="K95" s="2"/>
      <c r="L95" s="2"/>
      <c r="M95" s="2"/>
      <c r="N95" s="2"/>
      <c r="O95" s="2"/>
      <c r="P95" s="1"/>
    </row>
    <row r="96" spans="1:16" x14ac:dyDescent="0.25">
      <c r="A96" s="2"/>
      <c r="B96" s="2"/>
      <c r="C96" s="2"/>
      <c r="D96" s="2"/>
      <c r="E96" s="2"/>
      <c r="F96" s="2"/>
      <c r="G96" s="2"/>
      <c r="H96" s="2"/>
      <c r="I96" s="2"/>
      <c r="J96" s="2"/>
      <c r="K96" s="2"/>
      <c r="L96" s="2"/>
      <c r="M96" s="2"/>
      <c r="N96" s="2"/>
      <c r="O96" s="2"/>
      <c r="P96" s="1"/>
    </row>
    <row r="97" spans="1:16" x14ac:dyDescent="0.25">
      <c r="A97" s="2"/>
      <c r="B97" s="2"/>
      <c r="C97" s="2"/>
      <c r="D97" s="2"/>
      <c r="E97" s="2"/>
      <c r="F97" s="2"/>
      <c r="G97" s="2"/>
      <c r="H97" s="2"/>
      <c r="I97" s="2"/>
      <c r="J97" s="2"/>
      <c r="K97" s="2"/>
      <c r="L97" s="2"/>
      <c r="M97" s="2"/>
      <c r="N97" s="2"/>
      <c r="O97" s="2"/>
      <c r="P97" s="1"/>
    </row>
    <row r="98" spans="1:16" x14ac:dyDescent="0.25">
      <c r="A98" s="2"/>
      <c r="B98" s="2"/>
      <c r="C98" s="2"/>
      <c r="D98" s="2"/>
      <c r="E98" s="2"/>
      <c r="F98" s="2"/>
      <c r="G98" s="2"/>
      <c r="H98" s="2"/>
      <c r="I98" s="2"/>
      <c r="J98" s="2"/>
      <c r="K98" s="2"/>
      <c r="L98" s="2"/>
      <c r="M98" s="2"/>
      <c r="N98" s="2"/>
      <c r="O98" s="2"/>
      <c r="P98" s="1"/>
    </row>
    <row r="99" spans="1:16" x14ac:dyDescent="0.25">
      <c r="A99" s="2"/>
      <c r="B99" s="2"/>
      <c r="C99" s="2"/>
      <c r="D99" s="2"/>
      <c r="E99" s="2"/>
      <c r="F99" s="2"/>
      <c r="G99" s="2"/>
      <c r="H99" s="2"/>
      <c r="I99" s="2"/>
      <c r="J99" s="2"/>
      <c r="K99" s="2"/>
      <c r="L99" s="2"/>
      <c r="M99" s="2"/>
      <c r="N99" s="2"/>
      <c r="O99" s="2"/>
      <c r="P99" s="1"/>
    </row>
    <row r="100" spans="1:16" x14ac:dyDescent="0.25">
      <c r="A100" s="2"/>
      <c r="B100" s="2"/>
      <c r="C100" s="2"/>
      <c r="D100" s="2"/>
      <c r="E100" s="2"/>
      <c r="F100" s="2"/>
      <c r="G100" s="2"/>
      <c r="H100" s="2"/>
      <c r="I100" s="2"/>
      <c r="J100" s="2"/>
      <c r="K100" s="2"/>
      <c r="L100" s="2"/>
      <c r="M100" s="2"/>
      <c r="N100" s="2"/>
      <c r="O100" s="2"/>
      <c r="P100" s="1"/>
    </row>
    <row r="101" spans="1:16" x14ac:dyDescent="0.25">
      <c r="A101" s="2"/>
      <c r="B101" s="2"/>
      <c r="C101" s="2"/>
      <c r="D101" s="2"/>
      <c r="E101" s="2"/>
      <c r="F101" s="2"/>
      <c r="G101" s="2"/>
      <c r="H101" s="2"/>
      <c r="I101" s="2"/>
      <c r="J101" s="2"/>
      <c r="K101" s="2"/>
      <c r="L101" s="2"/>
      <c r="M101" s="2"/>
      <c r="N101" s="2"/>
      <c r="O101" s="2"/>
      <c r="P101" s="1"/>
    </row>
    <row r="102" spans="1:16" x14ac:dyDescent="0.25">
      <c r="A102" s="2"/>
      <c r="B102" s="2"/>
      <c r="C102" s="2"/>
      <c r="D102" s="2"/>
      <c r="E102" s="2"/>
      <c r="F102" s="2"/>
      <c r="G102" s="2"/>
      <c r="H102" s="2"/>
      <c r="I102" s="2"/>
      <c r="J102" s="2"/>
      <c r="K102" s="2"/>
      <c r="L102" s="2"/>
      <c r="M102" s="2"/>
      <c r="N102" s="2"/>
      <c r="O102" s="2"/>
      <c r="P102" s="1"/>
    </row>
    <row r="103" spans="1:16" x14ac:dyDescent="0.25">
      <c r="A103" s="2"/>
      <c r="B103" s="2"/>
      <c r="C103" s="2"/>
      <c r="D103" s="2"/>
      <c r="E103" s="2"/>
      <c r="F103" s="2"/>
      <c r="G103" s="2"/>
      <c r="H103" s="2"/>
      <c r="I103" s="2"/>
      <c r="J103" s="2"/>
      <c r="K103" s="2"/>
      <c r="L103" s="2"/>
      <c r="M103" s="2"/>
      <c r="N103" s="2"/>
      <c r="O103" s="2"/>
      <c r="P103" s="1"/>
    </row>
    <row r="104" spans="1:16" x14ac:dyDescent="0.25">
      <c r="A104" s="2"/>
      <c r="B104" s="2"/>
      <c r="C104" s="2"/>
      <c r="D104" s="2"/>
      <c r="E104" s="2"/>
      <c r="F104" s="2"/>
      <c r="G104" s="2"/>
      <c r="H104" s="2"/>
      <c r="I104" s="2"/>
      <c r="J104" s="2"/>
      <c r="K104" s="2"/>
      <c r="L104" s="2"/>
      <c r="M104" s="2"/>
      <c r="N104" s="2"/>
      <c r="O104" s="2"/>
      <c r="P104" s="1"/>
    </row>
    <row r="105" spans="1:16" x14ac:dyDescent="0.25">
      <c r="A105" s="2"/>
      <c r="B105" s="2"/>
      <c r="C105" s="2"/>
      <c r="D105" s="2"/>
      <c r="E105" s="2"/>
      <c r="F105" s="2"/>
      <c r="G105" s="2"/>
      <c r="H105" s="2"/>
      <c r="I105" s="2"/>
      <c r="J105" s="2"/>
      <c r="K105" s="2"/>
      <c r="L105" s="2"/>
      <c r="M105" s="2"/>
      <c r="N105" s="2"/>
      <c r="O105" s="2"/>
      <c r="P105" s="1"/>
    </row>
    <row r="106" spans="1:16" x14ac:dyDescent="0.25">
      <c r="A106" s="2"/>
      <c r="B106" s="2"/>
      <c r="C106" s="2"/>
      <c r="D106" s="2"/>
      <c r="E106" s="2"/>
      <c r="F106" s="2"/>
      <c r="G106" s="2"/>
      <c r="H106" s="2"/>
      <c r="I106" s="2"/>
      <c r="J106" s="2"/>
      <c r="K106" s="2"/>
      <c r="L106" s="2"/>
      <c r="M106" s="2"/>
      <c r="N106" s="2"/>
      <c r="O106" s="2"/>
      <c r="P106" s="1"/>
    </row>
    <row r="107" spans="1:16" x14ac:dyDescent="0.25">
      <c r="A107" s="2"/>
      <c r="B107" s="2"/>
      <c r="C107" s="2"/>
      <c r="D107" s="2"/>
      <c r="E107" s="2"/>
      <c r="F107" s="2"/>
      <c r="G107" s="2"/>
      <c r="H107" s="2"/>
      <c r="I107" s="2"/>
      <c r="J107" s="2"/>
      <c r="K107" s="2"/>
      <c r="L107" s="2"/>
      <c r="M107" s="2"/>
      <c r="N107" s="2"/>
      <c r="O107" s="2"/>
      <c r="P107" s="1"/>
    </row>
    <row r="108" spans="1:16" x14ac:dyDescent="0.25">
      <c r="A108" s="2"/>
      <c r="B108" s="2"/>
      <c r="C108" s="2"/>
      <c r="D108" s="2"/>
      <c r="E108" s="2"/>
      <c r="F108" s="2"/>
      <c r="G108" s="2"/>
      <c r="H108" s="2"/>
      <c r="I108" s="2"/>
      <c r="J108" s="2"/>
      <c r="K108" s="2"/>
      <c r="L108" s="2"/>
      <c r="M108" s="2"/>
      <c r="N108" s="2"/>
      <c r="O108" s="2"/>
      <c r="P108" s="1"/>
    </row>
    <row r="109" spans="1:16" x14ac:dyDescent="0.25">
      <c r="A109" s="2"/>
      <c r="B109" s="2"/>
      <c r="C109" s="2"/>
      <c r="D109" s="2"/>
      <c r="E109" s="2"/>
      <c r="F109" s="2"/>
      <c r="G109" s="2"/>
      <c r="H109" s="2"/>
      <c r="I109" s="2"/>
      <c r="J109" s="2"/>
      <c r="K109" s="2"/>
      <c r="L109" s="2"/>
      <c r="M109" s="2"/>
      <c r="N109" s="2"/>
      <c r="O109" s="2"/>
      <c r="P109" s="1"/>
    </row>
    <row r="110" spans="1:16" x14ac:dyDescent="0.25">
      <c r="A110" s="2"/>
      <c r="B110" s="2"/>
      <c r="C110" s="2"/>
      <c r="D110" s="2"/>
      <c r="E110" s="2"/>
      <c r="F110" s="2"/>
      <c r="G110" s="2"/>
      <c r="H110" s="2"/>
      <c r="I110" s="2"/>
      <c r="J110" s="2"/>
      <c r="K110" s="2"/>
      <c r="L110" s="2"/>
      <c r="M110" s="2"/>
      <c r="N110" s="2"/>
      <c r="O110" s="2"/>
      <c r="P110" s="1"/>
    </row>
    <row r="111" spans="1:16" x14ac:dyDescent="0.25">
      <c r="A111" s="2"/>
      <c r="B111" s="2"/>
      <c r="C111" s="2"/>
      <c r="D111" s="2"/>
      <c r="E111" s="2"/>
      <c r="F111" s="2"/>
      <c r="G111" s="2"/>
      <c r="H111" s="2"/>
      <c r="I111" s="2"/>
      <c r="J111" s="2"/>
      <c r="K111" s="2"/>
      <c r="L111" s="2"/>
      <c r="M111" s="2"/>
      <c r="N111" s="2"/>
      <c r="O111" s="2"/>
      <c r="P111" s="1"/>
    </row>
    <row r="112" spans="1:16" x14ac:dyDescent="0.25">
      <c r="A112" s="2"/>
      <c r="B112" s="2"/>
      <c r="C112" s="2"/>
      <c r="D112" s="2"/>
      <c r="E112" s="2"/>
      <c r="F112" s="2"/>
      <c r="G112" s="2"/>
      <c r="H112" s="2"/>
      <c r="I112" s="2"/>
      <c r="J112" s="2"/>
      <c r="K112" s="2"/>
      <c r="L112" s="2"/>
      <c r="M112" s="2"/>
      <c r="N112" s="2"/>
      <c r="O112" s="2"/>
      <c r="P112" s="1"/>
    </row>
    <row r="113" spans="1:16" x14ac:dyDescent="0.25">
      <c r="A113" s="2"/>
      <c r="B113" s="2"/>
      <c r="C113" s="2"/>
      <c r="D113" s="2"/>
      <c r="E113" s="2"/>
      <c r="F113" s="2"/>
      <c r="G113" s="2"/>
      <c r="H113" s="2"/>
      <c r="I113" s="2"/>
      <c r="J113" s="2"/>
      <c r="K113" s="2"/>
      <c r="L113" s="2"/>
      <c r="M113" s="2"/>
      <c r="N113" s="2"/>
      <c r="O113" s="2"/>
      <c r="P113" s="1"/>
    </row>
    <row r="114" spans="1:16" x14ac:dyDescent="0.25">
      <c r="A114" s="2"/>
      <c r="B114" s="2"/>
      <c r="C114" s="2"/>
      <c r="D114" s="2"/>
      <c r="E114" s="2"/>
      <c r="F114" s="2"/>
      <c r="G114" s="2"/>
      <c r="H114" s="2"/>
      <c r="I114" s="2"/>
      <c r="J114" s="2"/>
      <c r="K114" s="2"/>
      <c r="L114" s="2"/>
      <c r="M114" s="2"/>
      <c r="N114" s="2"/>
      <c r="O114" s="2"/>
      <c r="P114" s="1"/>
    </row>
    <row r="115" spans="1:16" x14ac:dyDescent="0.25">
      <c r="A115" s="2"/>
      <c r="B115" s="2"/>
      <c r="C115" s="2"/>
      <c r="D115" s="2"/>
      <c r="E115" s="2"/>
      <c r="F115" s="2"/>
      <c r="G115" s="2"/>
      <c r="H115" s="2"/>
      <c r="I115" s="2"/>
      <c r="J115" s="2"/>
      <c r="K115" s="2"/>
      <c r="L115" s="2"/>
      <c r="M115" s="2"/>
      <c r="N115" s="2"/>
      <c r="O115" s="2"/>
      <c r="P115" s="1"/>
    </row>
    <row r="116" spans="1:16" x14ac:dyDescent="0.25">
      <c r="A116" s="1"/>
      <c r="B116" s="1"/>
      <c r="C116" s="1"/>
      <c r="D116" s="1"/>
      <c r="E116" s="1"/>
      <c r="F116" s="1"/>
      <c r="G116" s="1"/>
      <c r="H116" s="1"/>
      <c r="I116" s="1"/>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sheetData>
  <sheetProtection algorithmName="SHA-512" hashValue="tHox5Z8iblkAEIJui/+19NPtPCumydgtPRIQjB5wcRUN6Gr4RFDwJbzZSBnQI12L3KrPuszrVf66AENrNcTh3A==" saltValue="OkeiN13U+t9GADwppuop/w==" spinCount="100000" sheet="1" objects="1" scenarios="1" selectLockedCells="1"/>
  <mergeCells count="8">
    <mergeCell ref="G33:H33"/>
    <mergeCell ref="J33:K33"/>
    <mergeCell ref="L33:M33"/>
    <mergeCell ref="P2:R2"/>
    <mergeCell ref="F31:M31"/>
    <mergeCell ref="G32:H32"/>
    <mergeCell ref="J32:K32"/>
    <mergeCell ref="L32:M32"/>
  </mergeCells>
  <phoneticPr fontId="3" type="noConversion"/>
  <conditionalFormatting sqref="B42:B47 C43:F47">
    <cfRule type="expression" dxfId="115" priority="1" stopIfTrue="1">
      <formula>$B$85</formula>
    </cfRule>
  </conditionalFormatting>
  <pageMargins left="0.25" right="0.25" top="0.75" bottom="0.75" header="0.3" footer="0.3"/>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fitToPage="1"/>
  </sheetPr>
  <dimension ref="A1:N115"/>
  <sheetViews>
    <sheetView showGridLines="0" showRowColHeaders="0" zoomScale="80" zoomScaleNormal="80" workbookViewId="0">
      <selection activeCell="J62" sqref="J62"/>
    </sheetView>
  </sheetViews>
  <sheetFormatPr defaultColWidth="8.81640625" defaultRowHeight="12.5" x14ac:dyDescent="0.25"/>
  <cols>
    <col min="1" max="1" width="1.7265625" style="85" customWidth="1"/>
    <col min="2" max="2" width="6.1796875" style="85" customWidth="1"/>
    <col min="3" max="3" width="2.453125" style="85" customWidth="1"/>
    <col min="4" max="4" width="162.26953125" style="85" customWidth="1"/>
    <col min="5" max="16384" width="8.81640625" style="85"/>
  </cols>
  <sheetData>
    <row r="1" spans="1:14" ht="167.15" customHeight="1" x14ac:dyDescent="0.35">
      <c r="A1" s="8"/>
      <c r="B1" s="625"/>
      <c r="C1" s="625"/>
      <c r="D1" s="621"/>
      <c r="E1" s="2"/>
      <c r="F1" s="2"/>
      <c r="G1" s="2"/>
      <c r="H1" s="2"/>
      <c r="I1" s="2"/>
      <c r="J1" s="2"/>
      <c r="K1" s="2"/>
      <c r="L1" s="2"/>
      <c r="M1" s="2"/>
      <c r="N1" s="2"/>
    </row>
    <row r="2" spans="1:14" ht="40" customHeight="1" x14ac:dyDescent="0.35">
      <c r="B2" s="737"/>
      <c r="C2" s="737"/>
      <c r="D2" s="738"/>
      <c r="E2" s="8"/>
    </row>
    <row r="3" spans="1:14" ht="15.5" x14ac:dyDescent="0.35">
      <c r="A3" s="487"/>
      <c r="C3" s="649" t="s">
        <v>526</v>
      </c>
      <c r="D3" s="647"/>
    </row>
    <row r="4" spans="1:14" ht="17.5" x14ac:dyDescent="0.35">
      <c r="B4" s="489"/>
      <c r="C4" s="489"/>
      <c r="D4" s="489"/>
    </row>
    <row r="5" spans="1:14" ht="17.5" x14ac:dyDescent="0.25">
      <c r="B5" s="491"/>
      <c r="D5" s="632" t="s">
        <v>579</v>
      </c>
      <c r="E5" s="492"/>
    </row>
    <row r="6" spans="1:14" s="488" customFormat="1" ht="31" x14ac:dyDescent="0.25">
      <c r="B6" s="626">
        <v>1</v>
      </c>
      <c r="C6" s="627"/>
      <c r="D6" s="628" t="s">
        <v>527</v>
      </c>
      <c r="E6" s="492"/>
    </row>
    <row r="7" spans="1:14" ht="15.5" x14ac:dyDescent="0.25">
      <c r="B7" s="626">
        <v>2</v>
      </c>
      <c r="C7" s="629"/>
      <c r="D7" s="628" t="s">
        <v>112</v>
      </c>
      <c r="E7" s="492"/>
    </row>
    <row r="8" spans="1:14" ht="15.5" x14ac:dyDescent="0.25">
      <c r="B8" s="626" t="str">
        <f>IF(AND(ISBLANK(C8),ISBLANK(D8)=FALSE),MAX(B7:B$7)+1,"")</f>
        <v/>
      </c>
      <c r="C8" s="629"/>
      <c r="D8" s="630"/>
      <c r="E8" s="492"/>
    </row>
    <row r="9" spans="1:14" ht="15.5" x14ac:dyDescent="0.35">
      <c r="B9" s="626"/>
      <c r="C9" s="631"/>
      <c r="D9" s="632" t="s">
        <v>528</v>
      </c>
      <c r="E9" s="492"/>
    </row>
    <row r="10" spans="1:14" ht="31" x14ac:dyDescent="0.25">
      <c r="B10" s="626">
        <f>IF(AND(ISBLANK(C10),ISBLANK(D10)=FALSE),MAX(B$7:B9)+1,"")</f>
        <v>3</v>
      </c>
      <c r="C10" s="627"/>
      <c r="D10" s="628" t="s">
        <v>496</v>
      </c>
      <c r="E10" s="492"/>
    </row>
    <row r="11" spans="1:14" ht="31" x14ac:dyDescent="0.25">
      <c r="B11" s="626">
        <f>IF(AND(ISBLANK(C11),ISBLANK(D11)=FALSE),MAX(B$7:B10)+1,"")</f>
        <v>4</v>
      </c>
      <c r="C11" s="627"/>
      <c r="D11" s="628" t="s">
        <v>497</v>
      </c>
      <c r="E11" s="492"/>
    </row>
    <row r="12" spans="1:14" ht="15.5" x14ac:dyDescent="0.25">
      <c r="B12" s="626">
        <f>IF(AND(ISBLANK(C12),ISBLANK(D12)=FALSE),MAX(B$7:B11)+1,"")</f>
        <v>5</v>
      </c>
      <c r="C12" s="627"/>
      <c r="D12" s="628" t="s">
        <v>367</v>
      </c>
      <c r="E12" s="492"/>
    </row>
    <row r="13" spans="1:14" ht="15.5" x14ac:dyDescent="0.25">
      <c r="B13" s="626" t="str">
        <f>IF(AND(ISBLANK(C13),ISBLANK(D13)=FALSE),MAX(B$7:B12)+1,"")</f>
        <v/>
      </c>
      <c r="C13" s="627"/>
      <c r="D13" s="628"/>
      <c r="E13" s="492"/>
    </row>
    <row r="14" spans="1:14" ht="15.5" x14ac:dyDescent="0.35">
      <c r="B14" s="626"/>
      <c r="C14" s="631"/>
      <c r="D14" s="633" t="s">
        <v>140</v>
      </c>
      <c r="E14" s="492"/>
    </row>
    <row r="15" spans="1:14" ht="15.5" x14ac:dyDescent="0.25">
      <c r="B15" s="626">
        <f>IF(AND(ISBLANK(C15),ISBLANK(D15)=FALSE),MAX(B$7:B14)+1,"")</f>
        <v>6</v>
      </c>
      <c r="C15" s="633"/>
      <c r="D15" s="628" t="s">
        <v>580</v>
      </c>
      <c r="E15" s="492"/>
    </row>
    <row r="16" spans="1:14" ht="15.5" x14ac:dyDescent="0.25">
      <c r="B16" s="626">
        <f>IF(AND(ISBLANK(C16),ISBLANK(D16)=FALSE),MAX(B$7:B15)+1,"")</f>
        <v>7</v>
      </c>
      <c r="C16" s="633"/>
      <c r="D16" s="634" t="s">
        <v>368</v>
      </c>
      <c r="E16" s="492"/>
    </row>
    <row r="17" spans="2:5" ht="15.5" x14ac:dyDescent="0.25">
      <c r="B17" s="626" t="str">
        <f>IF(AND(ISBLANK(C17),ISBLANK(D17)=FALSE),MAX(B$7:B16)+1,"")</f>
        <v/>
      </c>
      <c r="C17" s="633"/>
      <c r="D17" s="628"/>
      <c r="E17" s="492"/>
    </row>
    <row r="18" spans="2:5" ht="15.5" x14ac:dyDescent="0.35">
      <c r="B18" s="626"/>
      <c r="C18" s="631"/>
      <c r="D18" s="633" t="s">
        <v>120</v>
      </c>
      <c r="E18" s="492"/>
    </row>
    <row r="19" spans="2:5" ht="31" x14ac:dyDescent="0.25">
      <c r="B19" s="626">
        <f>IF(AND(ISBLANK(C19),ISBLANK(D19)=FALSE),MAX(B$7:B18)+1,"")</f>
        <v>8</v>
      </c>
      <c r="C19" s="633"/>
      <c r="D19" s="628" t="s">
        <v>529</v>
      </c>
      <c r="E19" s="492"/>
    </row>
    <row r="20" spans="2:5" ht="46.5" x14ac:dyDescent="0.25">
      <c r="B20" s="626">
        <f>IF(AND(ISBLANK(C20),ISBLANK(D20)=FALSE),MAX(B$7:B19)+1,"")</f>
        <v>9</v>
      </c>
      <c r="C20" s="633"/>
      <c r="D20" s="635" t="s">
        <v>562</v>
      </c>
      <c r="E20" s="492"/>
    </row>
    <row r="21" spans="2:5" ht="62" x14ac:dyDescent="0.25">
      <c r="B21" s="626">
        <f>IF(AND(ISBLANK(C21),ISBLANK(D21)=FALSE),MAX(B$7:B20)+1,"")</f>
        <v>10</v>
      </c>
      <c r="C21" s="633"/>
      <c r="D21" s="636" t="s">
        <v>563</v>
      </c>
      <c r="E21" s="492"/>
    </row>
    <row r="22" spans="2:5" ht="77.5" x14ac:dyDescent="0.25">
      <c r="B22" s="626">
        <f>IF(AND(ISBLANK(C22),ISBLANK(D22)=FALSE),MAX(B$7:B21)+1,"")</f>
        <v>11</v>
      </c>
      <c r="C22" s="633"/>
      <c r="D22" s="636" t="s">
        <v>581</v>
      </c>
      <c r="E22" s="492"/>
    </row>
    <row r="23" spans="2:5" ht="46.5" x14ac:dyDescent="0.25">
      <c r="B23" s="626">
        <f>IF(AND(ISBLANK(C23),ISBLANK(D23)=FALSE),MAX(B$7:B22)+1,"")</f>
        <v>12</v>
      </c>
      <c r="C23" s="633"/>
      <c r="D23" s="636" t="s">
        <v>564</v>
      </c>
      <c r="E23" s="492"/>
    </row>
    <row r="24" spans="2:5" ht="46.5" x14ac:dyDescent="0.25">
      <c r="B24" s="626">
        <f>IF(AND(ISBLANK(C24),ISBLANK(D24)=FALSE),MAX(B$7:B23)+1,"")</f>
        <v>13</v>
      </c>
      <c r="C24" s="633"/>
      <c r="D24" s="636" t="s">
        <v>565</v>
      </c>
      <c r="E24" s="492"/>
    </row>
    <row r="25" spans="2:5" ht="62" x14ac:dyDescent="0.25">
      <c r="B25" s="626">
        <f>IF(AND(ISBLANK(C25),ISBLANK(D25)=FALSE),MAX(B$7:B24)+1,"")</f>
        <v>14</v>
      </c>
      <c r="C25" s="633"/>
      <c r="D25" s="636" t="s">
        <v>566</v>
      </c>
      <c r="E25" s="492"/>
    </row>
    <row r="26" spans="2:5" ht="62" x14ac:dyDescent="0.25">
      <c r="B26" s="626">
        <f>IF(AND(ISBLANK(C26),ISBLANK(D26)=FALSE),MAX(B$7:B25)+1,"")</f>
        <v>15</v>
      </c>
      <c r="C26" s="633"/>
      <c r="D26" s="628" t="s">
        <v>567</v>
      </c>
      <c r="E26" s="492"/>
    </row>
    <row r="27" spans="2:5" ht="15.5" x14ac:dyDescent="0.25">
      <c r="B27" s="626"/>
      <c r="C27" s="633"/>
      <c r="D27" s="628"/>
      <c r="E27" s="492"/>
    </row>
    <row r="28" spans="2:5" ht="15.5" x14ac:dyDescent="0.25">
      <c r="B28" s="626" t="str">
        <f>IF(AND(ISBLANK(C28),ISBLANK(D28)=FALSE),MAX(B$7:B18)+1,"")</f>
        <v/>
      </c>
      <c r="C28" s="630"/>
      <c r="D28" s="630"/>
      <c r="E28" s="492"/>
    </row>
    <row r="29" spans="2:5" ht="15.5" x14ac:dyDescent="0.35">
      <c r="B29" s="626"/>
      <c r="C29" s="631"/>
      <c r="D29" s="632" t="s">
        <v>531</v>
      </c>
      <c r="E29" s="492"/>
    </row>
    <row r="30" spans="2:5" ht="46.5" x14ac:dyDescent="0.25">
      <c r="B30" s="626">
        <f>IF(AND(ISBLANK(C30),ISBLANK(D30)=FALSE),MAX(B$7:B29)+1,"")</f>
        <v>16</v>
      </c>
      <c r="C30" s="627"/>
      <c r="D30" s="628" t="s">
        <v>371</v>
      </c>
      <c r="E30" s="492"/>
    </row>
    <row r="31" spans="2:5" ht="62" x14ac:dyDescent="0.25">
      <c r="B31" s="626">
        <f>IF(AND(ISBLANK(C31),ISBLANK(D31)=FALSE),MAX(B$7:B30)+1,"")</f>
        <v>17</v>
      </c>
      <c r="C31" s="630"/>
      <c r="D31" s="628" t="s">
        <v>530</v>
      </c>
      <c r="E31" s="492"/>
    </row>
    <row r="32" spans="2:5" ht="15.5" x14ac:dyDescent="0.25">
      <c r="B32" s="626" t="str">
        <f>IF(AND(ISBLANK(C32),ISBLANK(D32)=FALSE),MAX(B$7:B31)+1,"")</f>
        <v/>
      </c>
      <c r="C32" s="630"/>
      <c r="D32" s="628"/>
      <c r="E32" s="492"/>
    </row>
    <row r="33" spans="2:14" ht="15.5" x14ac:dyDescent="0.25">
      <c r="B33" s="626" t="str">
        <f>IF(AND(ISBLANK(C33),ISBLANK(D33)=FALSE),MAX(B$7:B32)+1,"")</f>
        <v/>
      </c>
      <c r="C33" s="630"/>
      <c r="D33" s="628"/>
      <c r="E33" s="492"/>
      <c r="K33" s="8"/>
      <c r="L33" s="8"/>
      <c r="M33" s="8"/>
    </row>
    <row r="34" spans="2:14" ht="15.5" x14ac:dyDescent="0.35">
      <c r="B34" s="626"/>
      <c r="C34" s="631"/>
      <c r="D34" s="632" t="s">
        <v>532</v>
      </c>
      <c r="E34" s="492"/>
      <c r="K34" s="8"/>
      <c r="L34" s="8"/>
      <c r="M34" s="8"/>
    </row>
    <row r="35" spans="2:14" ht="46.5" x14ac:dyDescent="0.25">
      <c r="B35" s="626">
        <f>IF(AND(ISBLANK(C35),ISBLANK(D35)=FALSE),MAX(B$7:B34)+1,"")</f>
        <v>18</v>
      </c>
      <c r="C35" s="627"/>
      <c r="D35" s="628" t="s">
        <v>533</v>
      </c>
      <c r="E35" s="492"/>
      <c r="K35" s="8"/>
      <c r="L35" s="8"/>
      <c r="M35" s="8"/>
    </row>
    <row r="36" spans="2:14" ht="31" x14ac:dyDescent="0.25">
      <c r="B36" s="626"/>
      <c r="C36" s="630"/>
      <c r="D36" s="634" t="s">
        <v>534</v>
      </c>
      <c r="E36" s="492"/>
      <c r="K36" s="8"/>
      <c r="L36" s="8"/>
      <c r="M36" s="8"/>
    </row>
    <row r="37" spans="2:14" ht="15.5" x14ac:dyDescent="0.25">
      <c r="B37" s="626" t="str">
        <f>IF(AND(ISBLANK(C37),ISBLANK(D37)=FALSE),MAX(B$7:B36)+1,"")</f>
        <v/>
      </c>
      <c r="C37" s="630"/>
      <c r="D37" s="628"/>
      <c r="E37" s="492"/>
      <c r="K37" s="8"/>
      <c r="L37" s="8"/>
      <c r="M37" s="8"/>
    </row>
    <row r="38" spans="2:14" ht="15.5" x14ac:dyDescent="0.25">
      <c r="B38" s="626" t="str">
        <f>IF(AND(ISBLANK(C38),ISBLANK(D38)=FALSE),MAX(B$7:B37)+1,"")</f>
        <v/>
      </c>
      <c r="C38" s="630"/>
      <c r="D38" s="628"/>
      <c r="E38" s="492"/>
      <c r="K38" s="8"/>
      <c r="L38" s="8"/>
      <c r="M38" s="8"/>
    </row>
    <row r="39" spans="2:14" ht="15.5" x14ac:dyDescent="0.35">
      <c r="B39" s="626"/>
      <c r="C39" s="631"/>
      <c r="D39" s="632" t="s">
        <v>535</v>
      </c>
      <c r="E39" s="492"/>
      <c r="K39" s="8"/>
      <c r="L39" s="8"/>
      <c r="M39" s="8"/>
    </row>
    <row r="40" spans="2:14" ht="15.5" x14ac:dyDescent="0.25">
      <c r="B40" s="626">
        <f>IF(AND(ISBLANK(C40),ISBLANK(D40)=FALSE),MAX(B$7:B39)+1,"")</f>
        <v>19</v>
      </c>
      <c r="C40" s="627"/>
      <c r="D40" s="628" t="s">
        <v>102</v>
      </c>
      <c r="E40" s="492"/>
      <c r="K40" s="8"/>
      <c r="L40" s="8"/>
      <c r="M40" s="8"/>
      <c r="N40" s="8"/>
    </row>
    <row r="41" spans="2:14" ht="15.5" x14ac:dyDescent="0.25">
      <c r="B41" s="626">
        <f>IF(AND(ISBLANK(C41),ISBLANK(D41)=FALSE),MAX(B$7:B40)+1,"")</f>
        <v>20</v>
      </c>
      <c r="C41" s="627"/>
      <c r="D41" s="628" t="s">
        <v>369</v>
      </c>
      <c r="E41" s="492"/>
      <c r="K41" s="8"/>
      <c r="L41" s="8"/>
      <c r="M41" s="8"/>
      <c r="N41" s="8"/>
    </row>
    <row r="42" spans="2:14" ht="31" x14ac:dyDescent="0.25">
      <c r="B42" s="626">
        <f>IF(AND(ISBLANK(C42),ISBLANK(D42)=FALSE),MAX(B$7:B41)+1,"")</f>
        <v>21</v>
      </c>
      <c r="C42" s="627"/>
      <c r="D42" s="628" t="s">
        <v>536</v>
      </c>
      <c r="E42" s="492"/>
      <c r="K42" s="8"/>
      <c r="L42" s="8"/>
      <c r="M42" s="8"/>
      <c r="N42" s="8"/>
    </row>
    <row r="43" spans="2:14" ht="31" x14ac:dyDescent="0.25">
      <c r="B43" s="626">
        <f>IF(AND(ISBLANK(C43),ISBLANK(D43)=FALSE),MAX(B$7:B42)+1,"")</f>
        <v>22</v>
      </c>
      <c r="C43" s="627"/>
      <c r="D43" s="628" t="s">
        <v>364</v>
      </c>
      <c r="E43" s="492"/>
      <c r="L43" s="8"/>
      <c r="M43" s="8"/>
      <c r="N43" s="8"/>
    </row>
    <row r="44" spans="2:14" ht="51" customHeight="1" x14ac:dyDescent="0.25">
      <c r="B44" s="626">
        <f>IF(AND(ISBLANK(C44),ISBLANK(D44)=FALSE),MAX(B$7:B43)+1,"")</f>
        <v>23</v>
      </c>
      <c r="C44" s="627"/>
      <c r="D44" s="628" t="s">
        <v>103</v>
      </c>
      <c r="E44" s="492"/>
      <c r="L44" s="8"/>
      <c r="M44" s="8"/>
      <c r="N44" s="8"/>
    </row>
    <row r="45" spans="2:14" ht="15.5" x14ac:dyDescent="0.25">
      <c r="B45" s="626"/>
      <c r="C45" s="627"/>
      <c r="D45" s="628"/>
      <c r="E45" s="492"/>
      <c r="L45" s="8"/>
      <c r="M45" s="8"/>
      <c r="N45" s="8"/>
    </row>
    <row r="46" spans="2:14" ht="15.5" x14ac:dyDescent="0.25">
      <c r="B46" s="626"/>
      <c r="C46" s="627"/>
      <c r="D46" s="628"/>
      <c r="E46" s="492"/>
      <c r="L46" s="8"/>
      <c r="M46" s="8"/>
      <c r="N46" s="8"/>
    </row>
    <row r="47" spans="2:14" ht="15.5" x14ac:dyDescent="0.35">
      <c r="B47" s="626"/>
      <c r="C47" s="631"/>
      <c r="D47" s="632" t="s">
        <v>537</v>
      </c>
      <c r="E47" s="492"/>
      <c r="L47" s="8"/>
      <c r="M47" s="8"/>
      <c r="N47" s="8"/>
    </row>
    <row r="48" spans="2:14" ht="31" x14ac:dyDescent="0.25">
      <c r="B48" s="626">
        <f>IF(AND(ISBLANK(C48),ISBLANK(D48)=FALSE),MAX(B$7:B44)+1,"")</f>
        <v>24</v>
      </c>
      <c r="C48" s="627"/>
      <c r="D48" s="628" t="s">
        <v>373</v>
      </c>
      <c r="E48" s="492"/>
      <c r="L48" s="8"/>
      <c r="M48" s="8"/>
      <c r="N48" s="8"/>
    </row>
    <row r="49" spans="2:14" ht="46.5" x14ac:dyDescent="0.25">
      <c r="B49" s="626">
        <f>IF(AND(ISBLANK(C49),ISBLANK(D49)=FALSE),MAX(B$7:B48)+1,"")</f>
        <v>25</v>
      </c>
      <c r="C49" s="627"/>
      <c r="D49" s="628" t="s">
        <v>365</v>
      </c>
      <c r="E49" s="492"/>
      <c r="L49" s="8"/>
      <c r="M49" s="8"/>
      <c r="N49" s="8"/>
    </row>
    <row r="50" spans="2:14" ht="15.5" x14ac:dyDescent="0.25">
      <c r="B50" s="626">
        <f>IF(AND(ISBLANK(C50),ISBLANK(D50)=FALSE),MAX(B$7:B49)+1,"")</f>
        <v>26</v>
      </c>
      <c r="C50" s="627"/>
      <c r="D50" s="628" t="s">
        <v>538</v>
      </c>
      <c r="E50" s="492"/>
      <c r="L50" s="8"/>
      <c r="M50" s="8"/>
      <c r="N50" s="8"/>
    </row>
    <row r="51" spans="2:14" ht="15.5" x14ac:dyDescent="0.25">
      <c r="B51" s="626" t="str">
        <f>IF(AND(ISBLANK(C51),ISBLANK(D51)=FALSE),MAX(B$7:B50)+1,"")</f>
        <v/>
      </c>
      <c r="C51" s="627"/>
      <c r="D51" s="634"/>
      <c r="E51" s="492"/>
      <c r="L51" s="8"/>
      <c r="M51" s="8"/>
      <c r="N51" s="8"/>
    </row>
    <row r="52" spans="2:14" ht="15.5" x14ac:dyDescent="0.25">
      <c r="B52" s="626" t="str">
        <f>IF(AND(ISBLANK(C52),ISBLANK(D52)=FALSE),MAX(B$7:B51)+1,"")</f>
        <v/>
      </c>
      <c r="C52" s="627"/>
      <c r="D52" s="634"/>
      <c r="E52" s="492"/>
      <c r="L52" s="8"/>
      <c r="M52" s="8"/>
      <c r="N52" s="8"/>
    </row>
    <row r="53" spans="2:14" ht="15.5" x14ac:dyDescent="0.35">
      <c r="B53" s="626"/>
      <c r="C53" s="631"/>
      <c r="D53" s="632" t="s">
        <v>539</v>
      </c>
      <c r="E53" s="492"/>
    </row>
    <row r="54" spans="2:14" ht="15.5" x14ac:dyDescent="0.25">
      <c r="B54" s="626">
        <f>IF(AND(ISBLANK(C54),ISBLANK(D54)=FALSE),MAX(B$7:B53)+1,"")</f>
        <v>27</v>
      </c>
      <c r="C54" s="627"/>
      <c r="D54" s="628" t="s">
        <v>104</v>
      </c>
      <c r="E54" s="492"/>
    </row>
    <row r="55" spans="2:14" ht="31" x14ac:dyDescent="0.25">
      <c r="B55" s="626">
        <f>IF(AND(ISBLANK(C55),ISBLANK(D55)=FALSE),MAX(B$7:B54)+1,"")</f>
        <v>28</v>
      </c>
      <c r="C55" s="627"/>
      <c r="D55" s="628" t="s">
        <v>540</v>
      </c>
      <c r="E55" s="492"/>
    </row>
    <row r="56" spans="2:14" ht="15.5" x14ac:dyDescent="0.25">
      <c r="B56" s="626">
        <f>IF(AND(ISBLANK(C56),ISBLANK(D56)=FALSE),MAX(B$7:B55)+1,"")</f>
        <v>29</v>
      </c>
      <c r="C56" s="627"/>
      <c r="D56" s="628" t="s">
        <v>370</v>
      </c>
      <c r="E56" s="492"/>
    </row>
    <row r="57" spans="2:14" ht="15.5" x14ac:dyDescent="0.25">
      <c r="B57" s="637"/>
      <c r="C57" s="630"/>
      <c r="D57" s="630"/>
      <c r="E57" s="492"/>
    </row>
    <row r="58" spans="2:14" ht="15.5" x14ac:dyDescent="0.25">
      <c r="B58" s="637"/>
      <c r="C58" s="638"/>
      <c r="D58" s="638"/>
      <c r="E58" s="492"/>
    </row>
    <row r="59" spans="2:14" ht="15.5" x14ac:dyDescent="0.25">
      <c r="B59" s="637"/>
      <c r="C59" s="632" t="s">
        <v>105</v>
      </c>
      <c r="D59" s="632"/>
      <c r="E59" s="492"/>
    </row>
    <row r="60" spans="2:14" ht="15.5" x14ac:dyDescent="0.25">
      <c r="B60" s="637"/>
      <c r="C60" s="632"/>
      <c r="D60" s="632"/>
      <c r="E60" s="492"/>
    </row>
    <row r="61" spans="2:14" ht="15.5" x14ac:dyDescent="0.25">
      <c r="B61" s="637"/>
      <c r="C61" s="760" t="s">
        <v>568</v>
      </c>
      <c r="D61" s="760"/>
      <c r="E61" s="492"/>
    </row>
    <row r="62" spans="2:14" ht="15.5" x14ac:dyDescent="0.25">
      <c r="B62" s="637"/>
      <c r="C62" s="639" t="s">
        <v>106</v>
      </c>
      <c r="D62" s="650" t="s">
        <v>583</v>
      </c>
      <c r="E62" s="492"/>
    </row>
    <row r="63" spans="2:14" ht="15.5" x14ac:dyDescent="0.25">
      <c r="B63" s="637"/>
      <c r="C63" s="632"/>
      <c r="D63" s="632"/>
      <c r="E63" s="492"/>
    </row>
    <row r="64" spans="2:14" ht="15.5" x14ac:dyDescent="0.25">
      <c r="B64" s="637"/>
      <c r="C64" s="630" t="s">
        <v>559</v>
      </c>
      <c r="D64" s="632"/>
      <c r="E64" s="492"/>
    </row>
    <row r="65" spans="2:5" ht="15.5" x14ac:dyDescent="0.25">
      <c r="B65" s="637"/>
      <c r="C65" s="639" t="s">
        <v>106</v>
      </c>
      <c r="D65" s="630" t="s">
        <v>560</v>
      </c>
      <c r="E65" s="492"/>
    </row>
    <row r="66" spans="2:5" ht="15.5" x14ac:dyDescent="0.25">
      <c r="B66" s="637"/>
      <c r="C66" s="632"/>
      <c r="D66" s="632"/>
      <c r="E66" s="492"/>
    </row>
    <row r="67" spans="2:5" ht="15.5" x14ac:dyDescent="0.25">
      <c r="B67" s="637"/>
      <c r="C67" s="630" t="s">
        <v>555</v>
      </c>
      <c r="D67" s="632"/>
      <c r="E67" s="492"/>
    </row>
    <row r="68" spans="2:5" ht="15.5" x14ac:dyDescent="0.25">
      <c r="B68" s="637"/>
      <c r="C68" s="639" t="s">
        <v>106</v>
      </c>
      <c r="D68" s="630" t="s">
        <v>556</v>
      </c>
      <c r="E68" s="492"/>
    </row>
    <row r="69" spans="2:5" ht="15.5" x14ac:dyDescent="0.25">
      <c r="B69" s="637"/>
      <c r="C69" s="639" t="s">
        <v>106</v>
      </c>
      <c r="D69" s="630" t="s">
        <v>557</v>
      </c>
      <c r="E69" s="492"/>
    </row>
    <row r="70" spans="2:5" ht="15.5" x14ac:dyDescent="0.25">
      <c r="B70" s="637"/>
      <c r="C70" s="632"/>
      <c r="D70" s="632"/>
      <c r="E70" s="492"/>
    </row>
    <row r="71" spans="2:5" ht="15.5" x14ac:dyDescent="0.25">
      <c r="B71" s="637"/>
      <c r="C71" s="640" t="s">
        <v>491</v>
      </c>
      <c r="D71" s="632"/>
      <c r="E71" s="492"/>
    </row>
    <row r="72" spans="2:5" ht="15.5" x14ac:dyDescent="0.25">
      <c r="B72" s="637"/>
      <c r="C72" s="639" t="s">
        <v>106</v>
      </c>
      <c r="D72" s="630" t="s">
        <v>541</v>
      </c>
      <c r="E72" s="492"/>
    </row>
    <row r="73" spans="2:5" ht="15.5" x14ac:dyDescent="0.25">
      <c r="B73" s="637"/>
      <c r="C73" s="639" t="s">
        <v>106</v>
      </c>
      <c r="D73" s="628" t="s">
        <v>492</v>
      </c>
      <c r="E73" s="492"/>
    </row>
    <row r="74" spans="2:5" ht="15.5" x14ac:dyDescent="0.25">
      <c r="B74" s="637"/>
      <c r="C74" s="639" t="s">
        <v>106</v>
      </c>
      <c r="D74" s="628" t="s">
        <v>542</v>
      </c>
      <c r="E74" s="492"/>
    </row>
    <row r="75" spans="2:5" ht="15.5" x14ac:dyDescent="0.25">
      <c r="B75" s="637"/>
      <c r="C75" s="639" t="s">
        <v>106</v>
      </c>
      <c r="D75" s="628" t="s">
        <v>493</v>
      </c>
      <c r="E75" s="492"/>
    </row>
    <row r="76" spans="2:5" ht="15.5" x14ac:dyDescent="0.25">
      <c r="B76" s="637"/>
      <c r="C76" s="639" t="s">
        <v>106</v>
      </c>
      <c r="D76" s="628" t="s">
        <v>543</v>
      </c>
      <c r="E76" s="492"/>
    </row>
    <row r="77" spans="2:5" ht="15.5" x14ac:dyDescent="0.25">
      <c r="B77" s="637"/>
      <c r="C77" s="639" t="s">
        <v>106</v>
      </c>
      <c r="D77" s="630" t="s">
        <v>494</v>
      </c>
      <c r="E77" s="492"/>
    </row>
    <row r="78" spans="2:5" ht="15.5" x14ac:dyDescent="0.25">
      <c r="B78" s="637"/>
      <c r="C78" s="639" t="s">
        <v>106</v>
      </c>
      <c r="D78" s="630" t="s">
        <v>495</v>
      </c>
      <c r="E78" s="492"/>
    </row>
    <row r="79" spans="2:5" ht="15.5" x14ac:dyDescent="0.25">
      <c r="B79" s="637"/>
      <c r="C79" s="639" t="s">
        <v>106</v>
      </c>
      <c r="D79" s="630" t="s">
        <v>544</v>
      </c>
      <c r="E79" s="492"/>
    </row>
    <row r="80" spans="2:5" ht="31" x14ac:dyDescent="0.25">
      <c r="B80" s="637"/>
      <c r="C80" s="639" t="s">
        <v>106</v>
      </c>
      <c r="D80" s="628" t="s">
        <v>545</v>
      </c>
      <c r="E80" s="492"/>
    </row>
    <row r="81" spans="2:5" ht="15.5" x14ac:dyDescent="0.25">
      <c r="B81" s="637"/>
      <c r="C81" s="630"/>
      <c r="D81" s="630"/>
      <c r="E81" s="492"/>
    </row>
    <row r="82" spans="2:5" ht="15.5" x14ac:dyDescent="0.25">
      <c r="B82" s="637"/>
      <c r="C82" s="641" t="s">
        <v>398</v>
      </c>
      <c r="D82" s="632"/>
      <c r="E82" s="492"/>
    </row>
    <row r="83" spans="2:5" ht="15.5" x14ac:dyDescent="0.25">
      <c r="B83" s="637"/>
      <c r="C83" s="642" t="s">
        <v>106</v>
      </c>
      <c r="D83" s="628" t="s">
        <v>395</v>
      </c>
      <c r="E83" s="492"/>
    </row>
    <row r="84" spans="2:5" ht="15.5" x14ac:dyDescent="0.25">
      <c r="B84" s="637"/>
      <c r="C84" s="642" t="s">
        <v>106</v>
      </c>
      <c r="D84" s="628" t="s">
        <v>396</v>
      </c>
      <c r="E84" s="492"/>
    </row>
    <row r="85" spans="2:5" ht="15.5" x14ac:dyDescent="0.25">
      <c r="B85" s="637"/>
      <c r="C85" s="642" t="s">
        <v>106</v>
      </c>
      <c r="D85" s="628" t="s">
        <v>397</v>
      </c>
      <c r="E85" s="492"/>
    </row>
    <row r="86" spans="2:5" ht="15.5" x14ac:dyDescent="0.25">
      <c r="B86" s="637"/>
      <c r="C86" s="642" t="s">
        <v>106</v>
      </c>
      <c r="D86" s="628" t="s">
        <v>366</v>
      </c>
      <c r="E86" s="492"/>
    </row>
    <row r="87" spans="2:5" ht="15.5" x14ac:dyDescent="0.25">
      <c r="B87" s="637"/>
      <c r="C87" s="632"/>
      <c r="D87" s="632"/>
      <c r="E87" s="492"/>
    </row>
    <row r="88" spans="2:5" ht="15.5" x14ac:dyDescent="0.25">
      <c r="B88" s="637"/>
      <c r="C88" s="641" t="s">
        <v>225</v>
      </c>
      <c r="D88" s="641"/>
      <c r="E88" s="492"/>
    </row>
    <row r="89" spans="2:5" ht="15.5" x14ac:dyDescent="0.25">
      <c r="B89" s="637"/>
      <c r="C89" s="642" t="s">
        <v>106</v>
      </c>
      <c r="D89" s="628" t="s">
        <v>546</v>
      </c>
      <c r="E89" s="492"/>
    </row>
    <row r="90" spans="2:5" ht="15.5" x14ac:dyDescent="0.25">
      <c r="B90" s="637"/>
      <c r="C90" s="642" t="s">
        <v>106</v>
      </c>
      <c r="D90" s="628" t="s">
        <v>547</v>
      </c>
      <c r="E90" s="492"/>
    </row>
    <row r="91" spans="2:5" ht="15.5" x14ac:dyDescent="0.25">
      <c r="B91" s="637"/>
      <c r="C91" s="642" t="s">
        <v>106</v>
      </c>
      <c r="D91" s="628" t="s">
        <v>548</v>
      </c>
      <c r="E91" s="492"/>
    </row>
    <row r="92" spans="2:5" ht="15.5" x14ac:dyDescent="0.25">
      <c r="B92" s="637"/>
      <c r="C92" s="642" t="s">
        <v>106</v>
      </c>
      <c r="D92" s="628" t="s">
        <v>355</v>
      </c>
      <c r="E92" s="492"/>
    </row>
    <row r="93" spans="2:5" ht="15.5" x14ac:dyDescent="0.25">
      <c r="B93" s="637"/>
      <c r="C93" s="642" t="s">
        <v>106</v>
      </c>
      <c r="D93" s="628" t="s">
        <v>245</v>
      </c>
      <c r="E93" s="492"/>
    </row>
    <row r="94" spans="2:5" ht="15.5" x14ac:dyDescent="0.25">
      <c r="B94" s="637"/>
      <c r="C94" s="642" t="s">
        <v>106</v>
      </c>
      <c r="D94" s="628" t="s">
        <v>261</v>
      </c>
      <c r="E94" s="492"/>
    </row>
    <row r="95" spans="2:5" ht="15.5" x14ac:dyDescent="0.25">
      <c r="B95" s="637"/>
      <c r="C95" s="642" t="s">
        <v>106</v>
      </c>
      <c r="D95" s="628" t="s">
        <v>366</v>
      </c>
      <c r="E95" s="492"/>
    </row>
    <row r="96" spans="2:5" ht="15.5" x14ac:dyDescent="0.25">
      <c r="B96" s="637"/>
      <c r="C96" s="632"/>
      <c r="D96" s="632"/>
      <c r="E96" s="492"/>
    </row>
    <row r="97" spans="2:5" ht="15.5" x14ac:dyDescent="0.25">
      <c r="B97" s="637"/>
      <c r="C97" s="641" t="s">
        <v>212</v>
      </c>
      <c r="D97" s="632"/>
      <c r="E97" s="492"/>
    </row>
    <row r="98" spans="2:5" ht="15.5" x14ac:dyDescent="0.25">
      <c r="B98" s="637"/>
      <c r="C98" s="642" t="s">
        <v>106</v>
      </c>
      <c r="D98" s="628" t="s">
        <v>213</v>
      </c>
      <c r="E98" s="492"/>
    </row>
    <row r="99" spans="2:5" ht="15.5" x14ac:dyDescent="0.25">
      <c r="B99" s="637"/>
      <c r="C99" s="642" t="s">
        <v>106</v>
      </c>
      <c r="D99" s="628" t="s">
        <v>214</v>
      </c>
      <c r="E99" s="492"/>
    </row>
    <row r="100" spans="2:5" ht="15.5" x14ac:dyDescent="0.25">
      <c r="B100" s="637"/>
      <c r="C100" s="642" t="s">
        <v>106</v>
      </c>
      <c r="D100" s="628" t="s">
        <v>215</v>
      </c>
      <c r="E100" s="492"/>
    </row>
    <row r="101" spans="2:5" ht="15.5" x14ac:dyDescent="0.25">
      <c r="B101" s="637"/>
      <c r="C101" s="632"/>
      <c r="D101" s="632"/>
      <c r="E101" s="492"/>
    </row>
    <row r="102" spans="2:5" ht="15.5" x14ac:dyDescent="0.25">
      <c r="B102" s="637"/>
      <c r="C102" s="641" t="s">
        <v>198</v>
      </c>
      <c r="D102" s="632"/>
      <c r="E102" s="492"/>
    </row>
    <row r="103" spans="2:5" ht="15.5" x14ac:dyDescent="0.25">
      <c r="B103" s="637"/>
      <c r="C103" s="642" t="s">
        <v>106</v>
      </c>
      <c r="D103" s="630" t="s">
        <v>216</v>
      </c>
      <c r="E103" s="494"/>
    </row>
    <row r="104" spans="2:5" ht="15.5" x14ac:dyDescent="0.25">
      <c r="B104" s="637"/>
      <c r="C104" s="642" t="s">
        <v>106</v>
      </c>
      <c r="D104" s="628" t="s">
        <v>218</v>
      </c>
      <c r="E104" s="8"/>
    </row>
    <row r="105" spans="2:5" ht="15.5" x14ac:dyDescent="0.25">
      <c r="B105" s="637"/>
      <c r="C105" s="642" t="s">
        <v>106</v>
      </c>
      <c r="D105" s="628" t="s">
        <v>217</v>
      </c>
      <c r="E105" s="8"/>
    </row>
    <row r="106" spans="2:5" ht="15.5" x14ac:dyDescent="0.25">
      <c r="B106" s="637"/>
      <c r="C106" s="642"/>
      <c r="D106" s="632"/>
      <c r="E106" s="8"/>
    </row>
    <row r="107" spans="2:5" ht="15.5" x14ac:dyDescent="0.25">
      <c r="B107" s="637"/>
      <c r="C107" s="630" t="s">
        <v>107</v>
      </c>
      <c r="D107" s="630"/>
      <c r="E107" s="8"/>
    </row>
    <row r="108" spans="2:5" ht="15.5" x14ac:dyDescent="0.25">
      <c r="B108" s="637"/>
      <c r="C108" s="642" t="s">
        <v>106</v>
      </c>
      <c r="D108" s="630" t="s">
        <v>108</v>
      </c>
      <c r="E108" s="8"/>
    </row>
    <row r="109" spans="2:5" ht="15.5" x14ac:dyDescent="0.25">
      <c r="B109" s="637"/>
      <c r="C109" s="630"/>
      <c r="D109" s="630"/>
    </row>
    <row r="110" spans="2:5" ht="15.5" x14ac:dyDescent="0.25">
      <c r="B110" s="643"/>
      <c r="C110" s="644"/>
      <c r="D110" s="644"/>
    </row>
    <row r="111" spans="2:5" ht="15.5" x14ac:dyDescent="0.35">
      <c r="B111" s="643"/>
      <c r="C111" s="645" t="s">
        <v>133</v>
      </c>
      <c r="D111" s="646"/>
    </row>
    <row r="112" spans="2:5" ht="31" x14ac:dyDescent="0.35">
      <c r="B112" s="643"/>
      <c r="C112" s="647"/>
      <c r="D112" s="648" t="s">
        <v>554</v>
      </c>
    </row>
    <row r="113" spans="2:4" ht="17.5" x14ac:dyDescent="0.35">
      <c r="B113" s="490"/>
      <c r="C113" s="490"/>
      <c r="D113" s="490"/>
    </row>
    <row r="114" spans="2:4" ht="17.5" x14ac:dyDescent="0.35">
      <c r="B114" s="490"/>
      <c r="C114" s="490"/>
      <c r="D114" s="490"/>
    </row>
    <row r="115" spans="2:4" x14ac:dyDescent="0.25">
      <c r="B115" s="8"/>
      <c r="C115" s="8"/>
      <c r="D115" s="8"/>
    </row>
  </sheetData>
  <sheetProtection algorithmName="SHA-512" hashValue="ATDKxSOI+YCGAoSPMWVcFqkv5qJvKjKq8yVbhNhQ4b9cYYKNX1ThqrGOxTU44ZMy10kBb6e0SzmyQ6dGA0ESsw==" saltValue="GYw7pLSWobHrTIWO+8M+Kg==" spinCount="100000" sheet="1" objects="1" scenarios="1"/>
  <mergeCells count="1">
    <mergeCell ref="C61:D61"/>
  </mergeCells>
  <phoneticPr fontId="3" type="noConversion"/>
  <pageMargins left="0.25" right="0.25" top="0.75" bottom="0.75" header="0.3" footer="0.3"/>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filterMode="1">
    <pageSetUpPr fitToPage="1"/>
  </sheetPr>
  <dimension ref="A1:ED229"/>
  <sheetViews>
    <sheetView showGridLines="0" showRowColHeaders="0" topLeftCell="B1" zoomScale="70" zoomScaleNormal="70" workbookViewId="0">
      <selection activeCell="D9" sqref="D9:L9"/>
    </sheetView>
  </sheetViews>
  <sheetFormatPr defaultColWidth="8.81640625" defaultRowHeight="12.5" x14ac:dyDescent="0.25"/>
  <cols>
    <col min="1" max="1" width="5.1796875" style="10" hidden="1" customWidth="1"/>
    <col min="2" max="2" width="2.7265625" style="10" customWidth="1"/>
    <col min="3" max="3" width="3" style="9" bestFit="1" customWidth="1"/>
    <col min="4" max="4" width="17" style="10" customWidth="1"/>
    <col min="5" max="5" width="15.7265625" style="10" customWidth="1"/>
    <col min="6" max="6" width="25.7265625" style="10" customWidth="1"/>
    <col min="7" max="7" width="17.26953125" style="10" customWidth="1"/>
    <col min="8" max="9" width="9.54296875" style="10" customWidth="1"/>
    <col min="10" max="10" width="17.54296875" style="12" customWidth="1"/>
    <col min="11" max="11" width="11.7265625" style="12" customWidth="1"/>
    <col min="12" max="12" width="14.54296875" style="298" customWidth="1"/>
    <col min="13" max="13" width="17.54296875" style="298" customWidth="1"/>
    <col min="14" max="14" width="11.7265625" style="12" customWidth="1"/>
    <col min="15" max="15" width="15.26953125" style="12" customWidth="1"/>
    <col min="16" max="17" width="22.81640625" style="283" customWidth="1"/>
    <col min="18" max="18" width="22.81640625" style="10" customWidth="1"/>
    <col min="19" max="19" width="13.81640625" style="10" hidden="1" customWidth="1"/>
    <col min="20" max="20" width="14.26953125" style="10" hidden="1" customWidth="1" collapsed="1"/>
    <col min="21" max="21" width="14" hidden="1" customWidth="1"/>
    <col min="22" max="22" width="11.7265625" style="10" hidden="1" customWidth="1"/>
    <col min="23" max="23" width="12.1796875" style="10" hidden="1" customWidth="1"/>
    <col min="24" max="27" width="11.1796875" style="10" hidden="1" customWidth="1"/>
    <col min="28" max="29" width="11.1796875" style="13" hidden="1" customWidth="1"/>
    <col min="30" max="30" width="11.1796875" style="10" hidden="1" customWidth="1"/>
    <col min="31" max="45" width="11" style="10" hidden="1" customWidth="1"/>
    <col min="46" max="46" width="9.1796875" style="10" hidden="1" customWidth="1" collapsed="1"/>
    <col min="47" max="50" width="11.1796875" style="10" hidden="1" customWidth="1"/>
    <col min="51" max="51" width="10" style="10" hidden="1" customWidth="1"/>
    <col min="52" max="53" width="11.26953125" style="10" hidden="1" customWidth="1"/>
    <col min="54" max="54" width="11.1796875" style="10" hidden="1" customWidth="1"/>
    <col min="55" max="56" width="8.453125" style="10" hidden="1" customWidth="1"/>
    <col min="57" max="58" width="10.54296875" style="10" hidden="1" customWidth="1"/>
    <col min="59" max="59" width="36.26953125" style="276" hidden="1" customWidth="1"/>
    <col min="60" max="61" width="36.26953125" style="10" hidden="1" customWidth="1"/>
    <col min="62" max="62" width="36.453125" style="10" hidden="1" customWidth="1"/>
    <col min="63" max="63" width="42" style="10" hidden="1" customWidth="1"/>
    <col min="64" max="66" width="13.7265625" style="10" hidden="1" customWidth="1"/>
    <col min="67" max="67" width="12.1796875" style="10" hidden="1" customWidth="1"/>
    <col min="68" max="68" width="14.7265625" style="10" hidden="1" customWidth="1"/>
    <col min="69" max="73" width="12.1796875" style="10" hidden="1" customWidth="1"/>
    <col min="74" max="74" width="12" style="25" hidden="1" customWidth="1"/>
    <col min="75" max="75" width="12" style="10" hidden="1" customWidth="1"/>
    <col min="76" max="76" width="15.1796875" style="10" hidden="1" customWidth="1"/>
    <col min="77" max="77" width="2.7265625" style="10" hidden="1" customWidth="1"/>
    <col min="78" max="78" width="10.7265625" style="10" hidden="1" customWidth="1"/>
    <col min="79" max="79" width="2.7265625" style="10" hidden="1" customWidth="1"/>
    <col min="80" max="81" width="6.26953125" style="10" hidden="1" customWidth="1"/>
    <col min="82" max="82" width="9.1796875" style="10" hidden="1" customWidth="1"/>
    <col min="83" max="83" width="2" hidden="1" customWidth="1"/>
    <col min="84" max="84" width="1.81640625" style="10" hidden="1" customWidth="1"/>
    <col min="85" max="85" width="2" style="10" hidden="1" customWidth="1"/>
    <col min="86" max="86" width="2" style="10" customWidth="1"/>
    <col min="87" max="87" width="4.26953125" style="10" customWidth="1"/>
    <col min="88" max="88" width="16.453125" style="10" customWidth="1"/>
    <col min="89" max="89" width="52.7265625" style="10" customWidth="1"/>
    <col min="90" max="90" width="22.26953125" style="10" customWidth="1"/>
    <col min="91" max="91" width="16.1796875" style="10" customWidth="1"/>
    <col min="92" max="92" width="17.7265625" style="10" customWidth="1"/>
    <col min="93" max="93" width="21.81640625" style="10" customWidth="1"/>
    <col min="94" max="94" width="11.453125" style="10" customWidth="1"/>
    <col min="95" max="95" width="18.453125" style="10" customWidth="1"/>
    <col min="96" max="96" width="2.453125" style="10" customWidth="1"/>
    <col min="97" max="97" width="2.26953125" style="10" customWidth="1"/>
    <col min="98" max="108" width="8.81640625" style="10" customWidth="1"/>
    <col min="109" max="114" width="8.81640625" style="10" hidden="1" customWidth="1"/>
    <col min="115" max="115" width="10.1796875" style="10" hidden="1" customWidth="1"/>
    <col min="116" max="121" width="8.81640625" style="10" hidden="1" customWidth="1"/>
    <col min="122" max="122" width="10.26953125" style="10" hidden="1" customWidth="1"/>
    <col min="123" max="126" width="10.81640625" style="10" hidden="1" customWidth="1"/>
    <col min="127" max="132" width="8.81640625" style="10" hidden="1" customWidth="1"/>
    <col min="133" max="134" width="9.7265625" style="10" hidden="1" customWidth="1"/>
    <col min="135" max="135" width="7" style="10" customWidth="1"/>
    <col min="136" max="138" width="8.81640625" style="10" customWidth="1"/>
    <col min="139" max="16384" width="8.81640625" style="10"/>
  </cols>
  <sheetData>
    <row r="1" spans="1:133" ht="167.15" customHeight="1" x14ac:dyDescent="0.25">
      <c r="A1" s="26"/>
      <c r="B1" s="651"/>
      <c r="C1" s="652"/>
      <c r="D1" s="651"/>
      <c r="E1" s="651"/>
      <c r="F1" s="651"/>
      <c r="G1" s="651"/>
      <c r="H1" s="651"/>
      <c r="I1" s="651"/>
      <c r="J1" s="653"/>
      <c r="K1" s="653"/>
      <c r="L1" s="653"/>
      <c r="M1" s="653"/>
      <c r="N1" s="653"/>
      <c r="O1" s="653"/>
      <c r="P1" s="653"/>
      <c r="Q1" s="653"/>
      <c r="R1" s="651"/>
      <c r="CF1" s="75"/>
      <c r="CG1" s="26"/>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26"/>
      <c r="DF1" s="26"/>
    </row>
    <row r="2" spans="1:133" ht="40" customHeight="1" x14ac:dyDescent="0.25">
      <c r="A2" s="26"/>
      <c r="B2" s="739"/>
      <c r="C2" s="740"/>
      <c r="D2" s="739"/>
      <c r="E2" s="739"/>
      <c r="F2" s="739"/>
      <c r="G2" s="739"/>
      <c r="H2" s="739"/>
      <c r="I2" s="739"/>
      <c r="J2" s="741"/>
      <c r="K2" s="741"/>
      <c r="L2" s="741"/>
      <c r="M2" s="741"/>
      <c r="N2" s="741"/>
      <c r="O2" s="741"/>
      <c r="P2" s="741"/>
      <c r="Q2" s="741"/>
      <c r="R2" s="742" t="s">
        <v>515</v>
      </c>
      <c r="S2" s="333"/>
      <c r="T2" s="333"/>
      <c r="U2" s="422"/>
      <c r="CE2" s="73"/>
      <c r="CF2" s="26"/>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row>
    <row r="3" spans="1:133" ht="17.5" x14ac:dyDescent="0.35">
      <c r="A3" s="26"/>
      <c r="B3" s="495"/>
      <c r="C3" s="496"/>
      <c r="D3" s="495"/>
      <c r="E3" s="495"/>
      <c r="F3" s="495"/>
      <c r="G3" s="495"/>
      <c r="H3" s="495"/>
      <c r="I3" s="495"/>
      <c r="J3" s="497"/>
      <c r="K3" s="497"/>
      <c r="L3" s="497"/>
      <c r="M3" s="497"/>
      <c r="N3" s="497"/>
      <c r="O3" s="497"/>
      <c r="P3" s="497"/>
      <c r="Q3" s="497"/>
      <c r="R3" s="495"/>
      <c r="S3" s="333"/>
      <c r="T3" s="333"/>
      <c r="U3" s="422"/>
      <c r="CE3" s="73"/>
      <c r="CF3" s="26"/>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row>
    <row r="4" spans="1:133" ht="12.75" hidden="1" customHeight="1" x14ac:dyDescent="0.25">
      <c r="A4" s="26"/>
      <c r="S4" s="333"/>
      <c r="T4" s="333"/>
      <c r="CE4" s="73"/>
      <c r="CF4" s="26"/>
      <c r="CG4" s="26"/>
      <c r="CH4" s="26"/>
      <c r="CI4" s="26"/>
      <c r="CJ4" s="26"/>
      <c r="CK4" s="26"/>
      <c r="CL4" s="26"/>
      <c r="CM4" s="26"/>
      <c r="CN4" s="26"/>
      <c r="CO4" s="26"/>
      <c r="CP4" s="26"/>
      <c r="CQ4" s="26"/>
      <c r="CR4" s="26"/>
      <c r="CS4" s="26"/>
      <c r="CT4" s="26"/>
      <c r="CU4" s="26"/>
      <c r="CV4" s="26"/>
      <c r="CW4" s="26"/>
      <c r="CX4" s="26"/>
      <c r="CY4" s="26"/>
      <c r="CZ4" s="26"/>
      <c r="DA4" s="26"/>
      <c r="DB4" s="26"/>
      <c r="DC4" s="26"/>
      <c r="DD4" s="26"/>
    </row>
    <row r="5" spans="1:133" ht="12.75" hidden="1" customHeight="1" x14ac:dyDescent="0.25">
      <c r="A5" s="26"/>
      <c r="G5" s="11"/>
      <c r="H5" s="11"/>
      <c r="S5" s="333"/>
      <c r="T5" s="333"/>
      <c r="CE5" s="73"/>
      <c r="CF5" s="26"/>
      <c r="CG5" s="26"/>
      <c r="CH5" s="26"/>
      <c r="CI5" s="26"/>
      <c r="CJ5" s="26"/>
      <c r="CK5" s="26"/>
      <c r="CL5" s="26"/>
      <c r="CM5" s="26"/>
      <c r="CN5" s="26"/>
      <c r="CO5" s="26"/>
      <c r="CP5" s="26"/>
      <c r="CQ5" s="26"/>
      <c r="CR5" s="26"/>
      <c r="CS5" s="26"/>
      <c r="CT5" s="26"/>
      <c r="CU5" s="26"/>
      <c r="CV5" s="26"/>
      <c r="CW5" s="26"/>
      <c r="CX5" s="26"/>
      <c r="CY5" s="26"/>
      <c r="CZ5" s="26"/>
      <c r="DA5" s="26"/>
      <c r="DB5" s="26"/>
      <c r="DC5" s="26"/>
      <c r="DD5" s="26"/>
    </row>
    <row r="6" spans="1:133" ht="12.75" hidden="1" customHeight="1" x14ac:dyDescent="0.25">
      <c r="A6" s="26"/>
      <c r="H6" s="11"/>
      <c r="I6" s="11"/>
      <c r="S6" s="333"/>
      <c r="T6" s="333"/>
      <c r="CE6" s="73"/>
      <c r="CF6" s="26"/>
      <c r="CG6" s="26"/>
      <c r="CH6" s="26"/>
      <c r="CI6" s="26"/>
      <c r="CJ6" s="26"/>
      <c r="CK6" s="26"/>
      <c r="CL6" s="26"/>
      <c r="CM6" s="26"/>
      <c r="CN6" s="26"/>
      <c r="CO6" s="26"/>
      <c r="CP6" s="26"/>
      <c r="CQ6" s="26"/>
      <c r="CR6" s="26"/>
      <c r="CS6" s="26"/>
      <c r="CT6" s="26"/>
      <c r="CU6" s="26"/>
      <c r="CV6" s="26"/>
      <c r="CW6" s="26"/>
      <c r="CX6" s="26"/>
      <c r="CY6" s="26"/>
      <c r="CZ6" s="26"/>
      <c r="DA6" s="26"/>
      <c r="DB6" s="26"/>
      <c r="DC6" s="26"/>
      <c r="DD6" s="26"/>
    </row>
    <row r="7" spans="1:133" ht="13.5" hidden="1" customHeight="1" x14ac:dyDescent="0.25">
      <c r="A7" s="26"/>
      <c r="H7" s="11"/>
      <c r="O7" s="10"/>
      <c r="S7" s="333"/>
      <c r="T7" s="333"/>
      <c r="CE7" s="73"/>
      <c r="CF7" s="26"/>
      <c r="CG7" s="26"/>
      <c r="CQ7" s="26"/>
      <c r="CR7" s="26"/>
      <c r="CS7" s="26"/>
      <c r="CT7" s="26"/>
      <c r="CU7" s="26"/>
      <c r="CV7" s="26"/>
      <c r="CW7" s="26"/>
      <c r="CX7" s="26"/>
      <c r="CY7" s="26"/>
      <c r="CZ7" s="26"/>
      <c r="DA7" s="26"/>
      <c r="DB7" s="26"/>
      <c r="DC7" s="26"/>
      <c r="DD7" s="26"/>
    </row>
    <row r="8" spans="1:133" ht="28.5" customHeight="1" x14ac:dyDescent="0.35">
      <c r="A8" s="26"/>
      <c r="B8" s="495"/>
      <c r="C8" s="496"/>
      <c r="D8" s="763" t="s">
        <v>569</v>
      </c>
      <c r="E8" s="764"/>
      <c r="F8" s="764"/>
      <c r="G8" s="764"/>
      <c r="H8" s="764"/>
      <c r="I8" s="764"/>
      <c r="J8" s="764"/>
      <c r="K8" s="764"/>
      <c r="L8" s="764"/>
      <c r="M8" s="498"/>
      <c r="N8" s="810" t="str">
        <f>IF(NOT(J98),"Classification","Enter Classification")</f>
        <v>Classification</v>
      </c>
      <c r="O8" s="811"/>
      <c r="P8" s="761" t="str">
        <f>IF(ClassificationTwo=Class2,"This calculator is applicable only to a sole-occupancy unit (SOU).","")</f>
        <v/>
      </c>
      <c r="Q8" s="762"/>
      <c r="R8" s="762"/>
      <c r="S8" s="333"/>
      <c r="T8" s="333"/>
      <c r="U8" s="422"/>
      <c r="X8" s="10" t="b">
        <f>OR(ISNUMBER(T26), ISNUMBER(U26))</f>
        <v>0</v>
      </c>
      <c r="Y8" s="143" t="s">
        <v>289</v>
      </c>
      <c r="CE8" s="73"/>
      <c r="CF8" s="26"/>
      <c r="CG8" s="333"/>
      <c r="CH8" s="333"/>
      <c r="CI8" s="333"/>
      <c r="CJ8" s="333"/>
      <c r="CK8" s="333"/>
      <c r="CL8" s="333"/>
      <c r="CM8" s="333"/>
      <c r="CN8" s="333"/>
      <c r="CO8" s="333"/>
      <c r="CP8" s="333"/>
      <c r="CQ8" s="333"/>
      <c r="CR8" s="333"/>
      <c r="CS8" s="333"/>
      <c r="CT8" s="333"/>
      <c r="CU8" s="333"/>
      <c r="CV8" s="333"/>
      <c r="CW8" s="333"/>
      <c r="CX8" s="333"/>
      <c r="CY8" s="333"/>
      <c r="CZ8" s="333"/>
      <c r="DA8" s="333"/>
      <c r="DB8" s="333"/>
      <c r="DC8" s="333"/>
      <c r="DD8" s="333"/>
      <c r="EC8" s="243" t="s">
        <v>363</v>
      </c>
    </row>
    <row r="9" spans="1:133" ht="29.5" customHeight="1" x14ac:dyDescent="0.35">
      <c r="A9" s="26"/>
      <c r="B9" s="495"/>
      <c r="C9" s="496"/>
      <c r="D9" s="834"/>
      <c r="E9" s="835"/>
      <c r="F9" s="835"/>
      <c r="G9" s="835"/>
      <c r="H9" s="835"/>
      <c r="I9" s="835"/>
      <c r="J9" s="835"/>
      <c r="K9" s="835"/>
      <c r="L9" s="835"/>
      <c r="M9" s="499"/>
      <c r="N9" s="808"/>
      <c r="O9" s="809"/>
      <c r="P9" s="761"/>
      <c r="Q9" s="762"/>
      <c r="R9" s="762"/>
      <c r="S9" s="333"/>
      <c r="T9" s="333"/>
      <c r="U9" s="422"/>
      <c r="CE9" s="73"/>
      <c r="CF9" s="26"/>
      <c r="CG9" s="333"/>
      <c r="CH9" s="333"/>
      <c r="CI9" s="333"/>
      <c r="CJ9" s="333"/>
      <c r="CK9" s="333"/>
      <c r="CL9" s="333"/>
      <c r="CM9" s="333"/>
      <c r="CN9" s="333"/>
      <c r="CO9" s="333"/>
      <c r="CP9" s="333"/>
      <c r="CQ9" s="333"/>
      <c r="CR9" s="333"/>
      <c r="CS9" s="333"/>
      <c r="CT9" s="333"/>
      <c r="CU9" s="333"/>
      <c r="CV9" s="333"/>
      <c r="CW9" s="333"/>
      <c r="CX9" s="333"/>
      <c r="CY9" s="333"/>
      <c r="CZ9" s="333"/>
      <c r="DA9" s="333"/>
      <c r="DB9" s="333"/>
      <c r="DC9" s="333"/>
      <c r="DD9" s="333"/>
      <c r="EC9" s="242" t="b">
        <f>COUNTA(DescriptionTwo,ClassificationTwo)=2</f>
        <v>0</v>
      </c>
    </row>
    <row r="10" spans="1:133" ht="6" customHeight="1" x14ac:dyDescent="0.25">
      <c r="A10" s="26"/>
      <c r="B10" s="333"/>
      <c r="C10" s="334"/>
      <c r="D10" s="333"/>
      <c r="E10" s="333"/>
      <c r="F10" s="333"/>
      <c r="G10" s="333"/>
      <c r="H10" s="340"/>
      <c r="I10" s="333"/>
      <c r="J10" s="335"/>
      <c r="K10" s="335"/>
      <c r="L10" s="335"/>
      <c r="M10" s="335"/>
      <c r="N10" s="335"/>
      <c r="O10" s="335"/>
      <c r="P10" s="335"/>
      <c r="Q10" s="335"/>
      <c r="R10" s="333"/>
      <c r="S10" s="333"/>
      <c r="T10" s="333"/>
      <c r="U10" s="422"/>
      <c r="X10" s="10" t="s">
        <v>334</v>
      </c>
      <c r="CE10" s="73"/>
      <c r="CF10" s="26"/>
      <c r="CG10" s="333"/>
      <c r="CH10" s="333"/>
      <c r="CI10" s="333"/>
      <c r="CJ10" s="333"/>
      <c r="CK10" s="333"/>
      <c r="CL10" s="333"/>
      <c r="CM10" s="333"/>
      <c r="CN10" s="333"/>
      <c r="CO10" s="333"/>
      <c r="CP10" s="333"/>
      <c r="CQ10" s="333"/>
      <c r="CR10" s="333"/>
      <c r="CS10" s="333"/>
      <c r="CT10" s="333"/>
      <c r="CU10" s="333"/>
      <c r="CV10" s="333"/>
      <c r="CW10" s="333"/>
      <c r="CX10" s="333"/>
      <c r="CY10" s="333"/>
      <c r="CZ10" s="333"/>
      <c r="DA10" s="333"/>
      <c r="DB10" s="333"/>
      <c r="DC10" s="333"/>
      <c r="DD10" s="333"/>
    </row>
    <row r="11" spans="1:133" ht="12.75" hidden="1" customHeight="1" x14ac:dyDescent="0.25">
      <c r="A11" s="26"/>
      <c r="H11" s="11"/>
      <c r="U11" s="10"/>
      <c r="BX11" s="11"/>
      <c r="CE11" s="73"/>
      <c r="CF11" s="26"/>
      <c r="CG11" s="26"/>
      <c r="CQ11" s="73"/>
      <c r="CR11" s="26"/>
      <c r="CS11" s="26"/>
      <c r="CT11" s="26"/>
      <c r="CU11" s="26"/>
      <c r="CV11" s="26"/>
      <c r="CW11" s="26"/>
      <c r="CX11" s="26"/>
      <c r="CY11" s="26"/>
      <c r="CZ11" s="26"/>
      <c r="DA11" s="26"/>
      <c r="DB11" s="26"/>
      <c r="DC11" s="26"/>
      <c r="DD11" s="26"/>
    </row>
    <row r="12" spans="1:133" ht="12.75" hidden="1" customHeight="1" x14ac:dyDescent="0.25">
      <c r="A12" s="26"/>
      <c r="U12" s="10"/>
      <c r="CE12" s="73"/>
      <c r="CF12" s="26"/>
      <c r="CG12" s="26"/>
      <c r="CQ12" s="73"/>
      <c r="CR12" s="26"/>
      <c r="CS12" s="26"/>
      <c r="CT12" s="26"/>
      <c r="CU12" s="26"/>
      <c r="CV12" s="26"/>
      <c r="CW12" s="26"/>
      <c r="CX12" s="26"/>
      <c r="CY12" s="26"/>
      <c r="CZ12" s="26"/>
      <c r="DA12" s="26"/>
      <c r="DB12" s="26"/>
      <c r="DC12" s="26"/>
      <c r="DD12" s="26"/>
    </row>
    <row r="13" spans="1:133" ht="12.75" hidden="1" customHeight="1" x14ac:dyDescent="0.25">
      <c r="A13" s="26"/>
      <c r="U13" s="10"/>
      <c r="CE13" s="73"/>
      <c r="CF13" s="26"/>
      <c r="CG13" s="26"/>
      <c r="CQ13" s="73"/>
      <c r="CR13" s="26"/>
      <c r="CS13" s="26"/>
      <c r="CT13" s="26"/>
      <c r="CU13" s="26"/>
      <c r="CV13" s="26"/>
      <c r="CW13" s="26"/>
      <c r="CX13" s="26"/>
      <c r="CY13" s="26"/>
      <c r="CZ13" s="26"/>
      <c r="DA13" s="26"/>
      <c r="DB13" s="26"/>
      <c r="DC13" s="26"/>
      <c r="DD13" s="26"/>
    </row>
    <row r="14" spans="1:133" ht="12.75" hidden="1" customHeight="1" x14ac:dyDescent="0.25">
      <c r="A14" s="26"/>
      <c r="U14" s="10"/>
      <c r="BG14" s="42"/>
      <c r="BH14" s="11"/>
      <c r="BI14" s="11"/>
      <c r="BJ14" s="11"/>
      <c r="BK14" s="11"/>
      <c r="BL14" s="11"/>
      <c r="BM14" s="11"/>
      <c r="BN14" s="11"/>
      <c r="BO14" s="11"/>
      <c r="BP14" s="11"/>
      <c r="BQ14" s="11"/>
      <c r="BR14" s="11"/>
      <c r="BS14" s="11"/>
      <c r="BT14" s="11"/>
      <c r="BU14" s="11"/>
      <c r="BZ14" s="43" t="s">
        <v>37</v>
      </c>
      <c r="CA14" s="44"/>
      <c r="CB14" s="45">
        <f>G16</f>
        <v>5</v>
      </c>
      <c r="CE14" s="73"/>
      <c r="CF14" s="26"/>
      <c r="CG14" s="26"/>
      <c r="CQ14" s="73"/>
      <c r="CR14" s="26"/>
      <c r="CS14" s="26"/>
      <c r="CT14" s="26"/>
      <c r="CU14" s="26"/>
      <c r="CV14" s="26"/>
      <c r="CW14" s="26"/>
      <c r="CX14" s="26"/>
      <c r="CY14" s="26"/>
      <c r="CZ14" s="26"/>
      <c r="DA14" s="26"/>
      <c r="DB14" s="26"/>
      <c r="DC14" s="26"/>
      <c r="DD14" s="26"/>
    </row>
    <row r="15" spans="1:133" ht="12.75" hidden="1" customHeight="1" x14ac:dyDescent="0.25">
      <c r="A15" s="26"/>
      <c r="H15" s="11"/>
      <c r="U15" s="10"/>
      <c r="BZ15" s="46" t="s">
        <v>33</v>
      </c>
      <c r="CA15" s="47"/>
      <c r="CB15" s="48">
        <f>SUBTOTAL(2,BZ26:BZ65)</f>
        <v>5</v>
      </c>
      <c r="CE15" s="73"/>
      <c r="CF15" s="26"/>
      <c r="CG15" s="26"/>
      <c r="CO15" s="11"/>
      <c r="CQ15" s="73"/>
      <c r="CR15" s="26"/>
      <c r="CS15" s="26"/>
      <c r="CT15" s="26"/>
      <c r="CU15" s="26"/>
      <c r="CV15" s="26"/>
      <c r="CW15" s="26"/>
      <c r="CX15" s="26"/>
      <c r="CY15" s="26"/>
      <c r="CZ15" s="26"/>
      <c r="DA15" s="26"/>
      <c r="DB15" s="26"/>
      <c r="DC15" s="26"/>
      <c r="DD15" s="26"/>
    </row>
    <row r="16" spans="1:133" ht="27" customHeight="1" x14ac:dyDescent="0.3">
      <c r="A16" s="26"/>
      <c r="B16" s="333"/>
      <c r="C16" s="334"/>
      <c r="D16" s="812" t="s">
        <v>31</v>
      </c>
      <c r="E16" s="813"/>
      <c r="F16" s="814"/>
      <c r="G16" s="654">
        <v>5</v>
      </c>
      <c r="H16" s="829" t="str">
        <f>IF(RowsPreferredTwo=RowsShownTwo,"
(as currently displayed)",IF(RowsPreferredTwo&lt;RowsFilledTwo,"The number entered will hide rows containing data. Try again.",IF(RowsPreferredTwo&lt;&gt;RowsShownTwo,"Click arrow beside 'ID' and select only '"&amp;RowsPreferredTwo&amp;"' from drop down list","")))</f>
        <v xml:space="preserve">
(as currently displayed)</v>
      </c>
      <c r="I16" s="829"/>
      <c r="J16" s="829"/>
      <c r="K16" s="829"/>
      <c r="L16" s="829"/>
      <c r="M16" s="829"/>
      <c r="N16" s="829"/>
      <c r="O16" s="766" t="str">
        <f>IF(H116&lt;&gt;"","Advisory Note","")</f>
        <v/>
      </c>
      <c r="P16" s="416"/>
      <c r="Q16" s="416"/>
      <c r="R16" s="416"/>
      <c r="S16" s="416"/>
      <c r="T16" s="416"/>
      <c r="U16" s="422"/>
      <c r="X16"/>
      <c r="Y16"/>
      <c r="Z16"/>
      <c r="CE16" s="73"/>
      <c r="CF16" s="26"/>
      <c r="CG16" s="333"/>
      <c r="CH16" s="333"/>
      <c r="CP16" s="333"/>
      <c r="CQ16" s="333"/>
      <c r="CR16" s="333"/>
      <c r="CS16" s="333"/>
      <c r="CT16" s="333"/>
      <c r="CU16" s="333"/>
      <c r="CV16" s="333"/>
      <c r="CW16" s="333"/>
      <c r="CX16" s="333"/>
      <c r="CY16" s="333"/>
      <c r="CZ16" s="333"/>
      <c r="DA16" s="333"/>
      <c r="DB16" s="333"/>
      <c r="DC16" s="333"/>
      <c r="DD16" s="333"/>
    </row>
    <row r="17" spans="1:134" ht="23.25" customHeight="1" x14ac:dyDescent="0.25">
      <c r="A17" s="26"/>
      <c r="B17" s="422"/>
      <c r="C17" s="334"/>
      <c r="D17" s="333"/>
      <c r="E17" s="333"/>
      <c r="F17" s="333"/>
      <c r="G17" s="333"/>
      <c r="H17" s="333"/>
      <c r="I17" s="333"/>
      <c r="J17" s="338"/>
      <c r="K17" s="338"/>
      <c r="L17" s="338"/>
      <c r="M17" s="338"/>
      <c r="N17" s="338"/>
      <c r="O17" s="766"/>
      <c r="P17" s="338"/>
      <c r="Q17" s="416"/>
      <c r="R17" s="416"/>
      <c r="S17" s="416"/>
      <c r="T17" s="416"/>
      <c r="U17" s="422"/>
      <c r="CE17" s="73"/>
      <c r="CF17" s="26"/>
      <c r="CG17" s="333"/>
      <c r="CH17" s="333"/>
      <c r="CI17" s="333"/>
      <c r="CJ17" s="333"/>
      <c r="CK17" s="333"/>
      <c r="CL17" s="333"/>
      <c r="CM17" s="333"/>
      <c r="CN17" s="333"/>
      <c r="CO17" s="333"/>
      <c r="CP17" s="333"/>
      <c r="CQ17" s="333"/>
      <c r="CR17" s="333"/>
      <c r="CS17" s="333"/>
      <c r="CT17" s="333"/>
      <c r="CU17" s="333"/>
      <c r="CV17" s="333"/>
      <c r="CW17" s="333"/>
      <c r="CX17" s="333"/>
      <c r="CY17" s="333"/>
      <c r="CZ17" s="333"/>
      <c r="DA17" s="333"/>
      <c r="DB17" s="333"/>
      <c r="DC17" s="333"/>
      <c r="DD17" s="333"/>
    </row>
    <row r="18" spans="1:134" ht="4" customHeight="1" x14ac:dyDescent="0.25">
      <c r="A18" s="26"/>
      <c r="B18" s="340"/>
      <c r="C18" s="334"/>
      <c r="D18" s="333"/>
      <c r="E18" s="333"/>
      <c r="F18" s="333"/>
      <c r="G18" s="333"/>
      <c r="H18" s="333"/>
      <c r="I18" s="333"/>
      <c r="J18" s="338"/>
      <c r="K18" s="338"/>
      <c r="L18" s="338"/>
      <c r="M18" s="338"/>
      <c r="N18" s="338"/>
      <c r="O18" s="338"/>
      <c r="P18" s="335"/>
      <c r="Q18" s="335"/>
      <c r="R18" s="335"/>
      <c r="S18" s="335"/>
      <c r="T18" s="335"/>
      <c r="U18" s="422"/>
      <c r="CE18" s="73"/>
      <c r="CF18" s="26"/>
      <c r="CG18" s="333"/>
      <c r="CH18" s="333"/>
      <c r="CI18" s="333"/>
      <c r="CJ18" s="333"/>
      <c r="CK18" s="333"/>
      <c r="CL18" s="333"/>
      <c r="CM18" s="333"/>
      <c r="CN18" s="333"/>
      <c r="CO18" s="333"/>
      <c r="CP18" s="333"/>
      <c r="CQ18" s="333"/>
      <c r="CR18" s="333"/>
      <c r="CS18" s="333"/>
      <c r="CT18" s="333"/>
      <c r="CU18" s="333"/>
      <c r="CV18" s="333"/>
      <c r="CW18" s="333"/>
      <c r="CX18" s="333"/>
      <c r="CY18" s="333"/>
      <c r="CZ18" s="333"/>
      <c r="DA18" s="333"/>
      <c r="DB18" s="333"/>
      <c r="DC18" s="333"/>
      <c r="DD18" s="333"/>
    </row>
    <row r="19" spans="1:134" ht="13" customHeight="1" x14ac:dyDescent="0.25">
      <c r="A19" s="26"/>
      <c r="B19" s="340"/>
      <c r="C19" s="334"/>
      <c r="D19" s="333"/>
      <c r="E19" s="333"/>
      <c r="F19" s="333"/>
      <c r="G19" s="333"/>
      <c r="H19" s="333"/>
      <c r="I19" s="333"/>
      <c r="J19" s="338"/>
      <c r="K19" s="338"/>
      <c r="L19" s="338"/>
      <c r="M19" s="338"/>
      <c r="N19" s="338"/>
      <c r="O19" s="824" t="str">
        <f>IF(BX69&lt;&gt;"OK","Input Alert",IF(OR(W26:W65),"Advisory Note",""))</f>
        <v/>
      </c>
      <c r="P19" s="869" t="str">
        <f>IF(O19&lt;&gt;"",GeneralAdviceTwo,"")</f>
        <v/>
      </c>
      <c r="Q19" s="869"/>
      <c r="R19" s="869"/>
      <c r="S19" s="475"/>
      <c r="T19" s="475"/>
      <c r="U19" s="422"/>
      <c r="BX19" s="205" t="s">
        <v>324</v>
      </c>
      <c r="CE19" s="73"/>
      <c r="CF19" s="26"/>
      <c r="CG19" s="333"/>
      <c r="CH19" s="333"/>
      <c r="CI19" s="333"/>
      <c r="CJ19" s="333"/>
      <c r="CK19" s="333"/>
      <c r="CL19" s="333"/>
      <c r="CM19" s="333"/>
      <c r="CN19" s="333"/>
      <c r="CO19" s="333"/>
      <c r="CP19" s="333"/>
      <c r="CQ19" s="333"/>
      <c r="CR19" s="333"/>
      <c r="CS19" s="333"/>
      <c r="CT19" s="333"/>
      <c r="CU19" s="333"/>
      <c r="CV19" s="333"/>
      <c r="CW19" s="333"/>
      <c r="CX19" s="333"/>
      <c r="CY19" s="333"/>
      <c r="CZ19" s="333"/>
      <c r="DA19" s="333"/>
      <c r="DB19" s="333"/>
      <c r="DC19" s="333"/>
      <c r="DD19" s="333"/>
      <c r="DE19" s="134"/>
      <c r="DF19" s="141"/>
    </row>
    <row r="20" spans="1:134" ht="13" customHeight="1" x14ac:dyDescent="0.3">
      <c r="A20" s="26"/>
      <c r="B20" s="340"/>
      <c r="C20" s="334"/>
      <c r="D20" s="333"/>
      <c r="E20" s="333"/>
      <c r="F20" s="333"/>
      <c r="G20" s="333"/>
      <c r="H20" s="333"/>
      <c r="I20" s="333"/>
      <c r="J20" s="338"/>
      <c r="K20" s="338"/>
      <c r="L20" s="338"/>
      <c r="M20" s="338"/>
      <c r="N20" s="338"/>
      <c r="O20" s="824"/>
      <c r="P20" s="869"/>
      <c r="Q20" s="869"/>
      <c r="R20" s="869"/>
      <c r="S20" s="475"/>
      <c r="T20" s="475"/>
      <c r="U20" s="422"/>
      <c r="AB20" s="237"/>
      <c r="AD20" s="75"/>
      <c r="AY20" s="234">
        <f>COUNTIF(AW26:AW65,TRUE)</f>
        <v>0</v>
      </c>
      <c r="AZ20" s="238" t="s">
        <v>357</v>
      </c>
      <c r="BX20" s="206">
        <v>2</v>
      </c>
      <c r="CE20" s="73"/>
      <c r="CF20" s="26"/>
      <c r="CG20" s="333"/>
      <c r="CH20" s="333"/>
      <c r="CI20" s="333"/>
      <c r="CJ20" s="333"/>
      <c r="CK20" s="333"/>
      <c r="CL20" s="333"/>
      <c r="CM20" s="333"/>
      <c r="CN20" s="333"/>
      <c r="CO20" s="333"/>
      <c r="CP20" s="333"/>
      <c r="CQ20" s="333"/>
      <c r="CR20" s="333"/>
      <c r="CS20" s="333"/>
      <c r="CT20" s="333"/>
      <c r="CU20" s="333"/>
      <c r="CV20" s="333"/>
      <c r="CW20" s="333"/>
      <c r="CX20" s="333"/>
      <c r="CY20" s="333"/>
      <c r="CZ20" s="333"/>
      <c r="DA20" s="333"/>
      <c r="DB20" s="333"/>
      <c r="DC20" s="333"/>
      <c r="DD20" s="333"/>
    </row>
    <row r="21" spans="1:134" ht="6" customHeight="1" x14ac:dyDescent="0.25">
      <c r="A21" s="26"/>
      <c r="B21" s="340"/>
      <c r="C21" s="334"/>
      <c r="D21" s="333"/>
      <c r="E21" s="333"/>
      <c r="F21" s="333"/>
      <c r="G21" s="333"/>
      <c r="H21" s="333"/>
      <c r="I21" s="333"/>
      <c r="J21" s="338"/>
      <c r="K21" s="338"/>
      <c r="L21" s="338"/>
      <c r="M21" s="338"/>
      <c r="N21" s="338"/>
      <c r="O21" s="338"/>
      <c r="P21" s="338"/>
      <c r="Q21" s="338"/>
      <c r="R21" s="333"/>
      <c r="S21" s="333"/>
      <c r="T21" s="333"/>
      <c r="U21" s="422"/>
      <c r="CE21" s="73"/>
      <c r="CF21" s="26"/>
      <c r="CG21" s="333"/>
      <c r="CH21" s="333"/>
      <c r="CI21" s="333"/>
      <c r="CJ21" s="333"/>
      <c r="CK21" s="333"/>
      <c r="CL21" s="333"/>
      <c r="CM21" s="333"/>
      <c r="CN21" s="333"/>
      <c r="CO21" s="333"/>
      <c r="CP21" s="333"/>
      <c r="CQ21" s="333"/>
      <c r="CR21" s="333"/>
      <c r="CS21" s="333"/>
      <c r="CT21" s="333"/>
      <c r="CU21" s="333"/>
      <c r="CV21" s="333"/>
      <c r="CW21" s="333"/>
      <c r="CX21" s="333"/>
      <c r="CY21" s="333"/>
      <c r="CZ21" s="333"/>
      <c r="DA21" s="333"/>
      <c r="DB21" s="333"/>
      <c r="DC21" s="333"/>
      <c r="DD21" s="333"/>
    </row>
    <row r="22" spans="1:134" ht="18" x14ac:dyDescent="0.4">
      <c r="A22" s="26"/>
      <c r="B22" s="655"/>
      <c r="C22" s="656"/>
      <c r="D22" s="825" t="s">
        <v>16</v>
      </c>
      <c r="E22" s="772" t="s">
        <v>144</v>
      </c>
      <c r="F22" s="772" t="s">
        <v>99</v>
      </c>
      <c r="G22" s="772" t="s">
        <v>291</v>
      </c>
      <c r="H22" s="772" t="s">
        <v>0</v>
      </c>
      <c r="I22" s="816"/>
      <c r="J22" s="771" t="s">
        <v>79</v>
      </c>
      <c r="K22" s="772"/>
      <c r="L22" s="773"/>
      <c r="M22" s="815" t="str">
        <f>"Adjustment Factor Two"</f>
        <v>Adjustment Factor Two</v>
      </c>
      <c r="N22" s="772"/>
      <c r="O22" s="773"/>
      <c r="P22" s="892" t="str">
        <f>IFERROR(IF($J$108="Green","OVERALL DESIGN SATISFIES PART J6.2",IF($J$109="Red","PART J6.2 NOT SATISFIED","CALCULATED OUTCOMES")),"CALCULATED OUTCOMES")</f>
        <v>CALCULATED OUTCOMES</v>
      </c>
      <c r="Q22" s="893"/>
      <c r="R22" s="894"/>
      <c r="S22" s="422"/>
      <c r="T22" s="805" t="s">
        <v>1</v>
      </c>
      <c r="U22" s="805" t="s">
        <v>2</v>
      </c>
      <c r="V22" s="805" t="s">
        <v>60</v>
      </c>
      <c r="W22" s="805" t="s">
        <v>63</v>
      </c>
      <c r="X22" s="805" t="s">
        <v>61</v>
      </c>
      <c r="Y22" s="805" t="s">
        <v>62</v>
      </c>
      <c r="Z22" s="802" t="s">
        <v>81</v>
      </c>
      <c r="AA22" s="802" t="s">
        <v>18</v>
      </c>
      <c r="AB22" s="805" t="s">
        <v>3</v>
      </c>
      <c r="AC22" s="839" t="s">
        <v>181</v>
      </c>
      <c r="AD22" s="840"/>
      <c r="AE22" s="840"/>
      <c r="AF22" s="840"/>
      <c r="AG22" s="841"/>
      <c r="AH22" s="789" t="s">
        <v>182</v>
      </c>
      <c r="AI22" s="845"/>
      <c r="AJ22" s="845"/>
      <c r="AK22" s="845"/>
      <c r="AL22" s="790"/>
      <c r="AM22" s="839" t="s">
        <v>183</v>
      </c>
      <c r="AN22" s="840"/>
      <c r="AO22" s="840"/>
      <c r="AP22" s="840"/>
      <c r="AQ22" s="841"/>
      <c r="AR22" s="805" t="s">
        <v>110</v>
      </c>
      <c r="AS22" s="795" t="s">
        <v>128</v>
      </c>
      <c r="AT22" s="795" t="s">
        <v>482</v>
      </c>
      <c r="AU22" s="795" t="s">
        <v>129</v>
      </c>
      <c r="AV22" s="795" t="s">
        <v>157</v>
      </c>
      <c r="AW22" s="795" t="s">
        <v>159</v>
      </c>
      <c r="AX22" s="795" t="s">
        <v>161</v>
      </c>
      <c r="AY22" s="795" t="s">
        <v>160</v>
      </c>
      <c r="AZ22" s="795" t="s">
        <v>130</v>
      </c>
      <c r="BA22" s="789" t="s">
        <v>36</v>
      </c>
      <c r="BB22" s="790"/>
      <c r="BC22" s="798" t="s">
        <v>94</v>
      </c>
      <c r="BD22" s="799"/>
      <c r="BE22" s="786" t="s">
        <v>98</v>
      </c>
      <c r="BF22" s="852" t="s">
        <v>319</v>
      </c>
      <c r="BG22" s="786" t="s">
        <v>243</v>
      </c>
      <c r="BH22" s="786" t="s">
        <v>244</v>
      </c>
      <c r="BI22" s="847" t="s">
        <v>320</v>
      </c>
      <c r="BJ22" s="777" t="s">
        <v>149</v>
      </c>
      <c r="BK22" s="875" t="s">
        <v>141</v>
      </c>
      <c r="BL22" s="876"/>
      <c r="BM22" s="876"/>
      <c r="BN22" s="876"/>
      <c r="BO22" s="876"/>
      <c r="BP22" s="876"/>
      <c r="BQ22" s="876"/>
      <c r="BR22" s="876"/>
      <c r="BS22" s="877"/>
      <c r="BT22" s="836" t="s">
        <v>44</v>
      </c>
      <c r="BU22" s="863" t="s">
        <v>42</v>
      </c>
      <c r="BV22" s="860" t="s">
        <v>28</v>
      </c>
      <c r="BX22" s="805" t="s">
        <v>288</v>
      </c>
      <c r="CC22"/>
      <c r="CD22" s="59"/>
      <c r="CE22" s="74"/>
      <c r="CF22" s="26"/>
      <c r="CG22" s="333"/>
      <c r="CH22" s="668"/>
      <c r="CI22" s="866" t="s">
        <v>32</v>
      </c>
      <c r="CJ22" s="825" t="s">
        <v>16</v>
      </c>
      <c r="CK22" s="772" t="s">
        <v>0</v>
      </c>
      <c r="CL22" s="772" t="s">
        <v>570</v>
      </c>
      <c r="CM22" s="772" t="s">
        <v>79</v>
      </c>
      <c r="CN22" s="772" t="s">
        <v>80</v>
      </c>
      <c r="CO22" s="773" t="s">
        <v>571</v>
      </c>
      <c r="CP22" s="333"/>
      <c r="CQ22" s="333"/>
      <c r="CR22" s="333"/>
      <c r="CS22" s="333"/>
      <c r="CT22" s="333"/>
      <c r="CU22" s="333"/>
      <c r="CV22" s="333"/>
      <c r="CW22" s="333"/>
      <c r="CX22" s="333"/>
      <c r="CY22" s="333"/>
      <c r="CZ22" s="333"/>
      <c r="DA22" s="333"/>
      <c r="DB22" s="333"/>
      <c r="DC22" s="333"/>
      <c r="DD22" s="333"/>
      <c r="DF22" s="86" t="s">
        <v>270</v>
      </c>
      <c r="DH22" s="143" t="s">
        <v>290</v>
      </c>
    </row>
    <row r="23" spans="1:134" ht="48" customHeight="1" x14ac:dyDescent="0.3">
      <c r="A23" s="26"/>
      <c r="B23" s="657"/>
      <c r="C23" s="658"/>
      <c r="D23" s="818"/>
      <c r="E23" s="823"/>
      <c r="F23" s="826"/>
      <c r="G23" s="826"/>
      <c r="H23" s="817"/>
      <c r="I23" s="818"/>
      <c r="J23" s="821" t="s">
        <v>572</v>
      </c>
      <c r="K23" s="830" t="s">
        <v>460</v>
      </c>
      <c r="L23" s="832" t="str">
        <f>"Illuminance Turndown"</f>
        <v>Illuminance Turndown</v>
      </c>
      <c r="M23" s="827" t="s">
        <v>80</v>
      </c>
      <c r="N23" s="830" t="s">
        <v>460</v>
      </c>
      <c r="O23" s="832" t="s">
        <v>461</v>
      </c>
      <c r="P23" s="888" t="s">
        <v>239</v>
      </c>
      <c r="Q23" s="890"/>
      <c r="R23" s="832" t="s">
        <v>242</v>
      </c>
      <c r="S23" s="422"/>
      <c r="T23" s="806"/>
      <c r="U23" s="806"/>
      <c r="V23" s="806"/>
      <c r="W23" s="806"/>
      <c r="X23" s="806"/>
      <c r="Y23" s="806"/>
      <c r="Z23" s="803"/>
      <c r="AA23" s="803"/>
      <c r="AB23" s="806"/>
      <c r="AC23" s="842"/>
      <c r="AD23" s="843"/>
      <c r="AE23" s="843"/>
      <c r="AF23" s="843"/>
      <c r="AG23" s="844"/>
      <c r="AH23" s="791"/>
      <c r="AI23" s="846"/>
      <c r="AJ23" s="846"/>
      <c r="AK23" s="846"/>
      <c r="AL23" s="792"/>
      <c r="AM23" s="842"/>
      <c r="AN23" s="843"/>
      <c r="AO23" s="843"/>
      <c r="AP23" s="843"/>
      <c r="AQ23" s="844"/>
      <c r="AR23" s="806"/>
      <c r="AS23" s="796"/>
      <c r="AT23" s="796"/>
      <c r="AU23" s="796"/>
      <c r="AV23" s="796"/>
      <c r="AW23" s="796"/>
      <c r="AX23" s="796"/>
      <c r="AY23" s="796"/>
      <c r="AZ23" s="796"/>
      <c r="BA23" s="791"/>
      <c r="BB23" s="792"/>
      <c r="BC23" s="800"/>
      <c r="BD23" s="801"/>
      <c r="BE23" s="787"/>
      <c r="BF23" s="853"/>
      <c r="BG23" s="787"/>
      <c r="BH23" s="787"/>
      <c r="BI23" s="848"/>
      <c r="BJ23" s="778"/>
      <c r="BK23" s="875" t="s">
        <v>95</v>
      </c>
      <c r="BL23" s="877"/>
      <c r="BM23" s="774" t="s">
        <v>118</v>
      </c>
      <c r="BN23" s="775"/>
      <c r="BO23" s="775"/>
      <c r="BP23" s="776"/>
      <c r="BQ23" s="774" t="s">
        <v>45</v>
      </c>
      <c r="BR23" s="775"/>
      <c r="BS23" s="891"/>
      <c r="BT23" s="837"/>
      <c r="BU23" s="864"/>
      <c r="BV23" s="861"/>
      <c r="BX23" s="806"/>
      <c r="BZ23" s="10">
        <f>SUBTOTAL(2,BZ26:BZ65)</f>
        <v>5</v>
      </c>
      <c r="CC23"/>
      <c r="CD23" s="59"/>
      <c r="CE23" s="74"/>
      <c r="CF23" s="26"/>
      <c r="CG23" s="333"/>
      <c r="CH23" s="669"/>
      <c r="CI23" s="867"/>
      <c r="CJ23" s="857"/>
      <c r="CK23" s="817"/>
      <c r="CL23" s="817"/>
      <c r="CM23" s="817"/>
      <c r="CN23" s="817"/>
      <c r="CO23" s="855"/>
      <c r="CP23" s="333"/>
      <c r="CQ23" s="333"/>
      <c r="CR23" s="333"/>
      <c r="CS23" s="333"/>
      <c r="CT23" s="333"/>
      <c r="CU23" s="333"/>
      <c r="CV23" s="333"/>
      <c r="CW23" s="333"/>
      <c r="CX23" s="333"/>
      <c r="CY23" s="333"/>
      <c r="CZ23" s="333"/>
      <c r="DA23" s="333"/>
      <c r="DB23" s="333"/>
      <c r="DC23" s="333"/>
      <c r="DD23" s="333"/>
      <c r="DF23" s="150" t="s">
        <v>279</v>
      </c>
      <c r="DG23" s="150"/>
      <c r="DH23" s="150"/>
      <c r="DI23" s="150"/>
      <c r="DJ23" s="150"/>
      <c r="DK23" s="150" t="s">
        <v>278</v>
      </c>
      <c r="DL23" s="150"/>
      <c r="DM23" s="150"/>
      <c r="DN23" s="150"/>
      <c r="DO23" s="150"/>
      <c r="DP23" s="150"/>
      <c r="DQ23" s="150"/>
      <c r="DR23" s="150"/>
      <c r="DS23" s="150"/>
      <c r="DT23" s="150"/>
      <c r="DU23" s="150" t="s">
        <v>280</v>
      </c>
      <c r="DV23" s="150"/>
      <c r="DW23" s="150"/>
      <c r="DX23" s="150"/>
      <c r="DY23" s="150"/>
      <c r="DZ23" s="150"/>
      <c r="EC23" s="142">
        <f>SUM(EC26:EC65)</f>
        <v>0</v>
      </c>
      <c r="ED23" s="143" t="s">
        <v>272</v>
      </c>
    </row>
    <row r="24" spans="1:134" ht="41" x14ac:dyDescent="0.3">
      <c r="A24" s="26"/>
      <c r="B24" s="659"/>
      <c r="C24" s="658"/>
      <c r="D24" s="818"/>
      <c r="E24" s="823"/>
      <c r="F24" s="826"/>
      <c r="G24" s="826"/>
      <c r="H24" s="817"/>
      <c r="I24" s="818"/>
      <c r="J24" s="821"/>
      <c r="K24" s="830"/>
      <c r="L24" s="832"/>
      <c r="M24" s="827"/>
      <c r="N24" s="830"/>
      <c r="O24" s="832"/>
      <c r="P24" s="888" t="s">
        <v>240</v>
      </c>
      <c r="Q24" s="888" t="s">
        <v>241</v>
      </c>
      <c r="R24" s="832"/>
      <c r="S24" s="422"/>
      <c r="T24" s="806"/>
      <c r="U24" s="806"/>
      <c r="V24" s="806"/>
      <c r="W24" s="806"/>
      <c r="X24" s="806"/>
      <c r="Y24" s="806"/>
      <c r="Z24" s="803"/>
      <c r="AA24" s="803"/>
      <c r="AB24" s="806"/>
      <c r="AC24" s="151" t="s">
        <v>185</v>
      </c>
      <c r="AD24" s="172" t="s">
        <v>292</v>
      </c>
      <c r="AE24" s="793" t="s">
        <v>95</v>
      </c>
      <c r="AF24" s="794"/>
      <c r="AG24" s="170" t="s">
        <v>333</v>
      </c>
      <c r="AH24" s="151" t="s">
        <v>185</v>
      </c>
      <c r="AI24" s="172" t="s">
        <v>292</v>
      </c>
      <c r="AJ24" s="793" t="s">
        <v>95</v>
      </c>
      <c r="AK24" s="794"/>
      <c r="AL24" s="170" t="s">
        <v>333</v>
      </c>
      <c r="AM24" s="151" t="s">
        <v>185</v>
      </c>
      <c r="AN24" s="172" t="s">
        <v>292</v>
      </c>
      <c r="AO24" s="793" t="s">
        <v>95</v>
      </c>
      <c r="AP24" s="794"/>
      <c r="AQ24" s="170" t="s">
        <v>333</v>
      </c>
      <c r="AR24" s="806"/>
      <c r="AS24" s="796"/>
      <c r="AT24" s="796"/>
      <c r="AU24" s="796"/>
      <c r="AV24" s="796"/>
      <c r="AW24" s="796"/>
      <c r="AX24" s="796"/>
      <c r="AY24" s="796"/>
      <c r="AZ24" s="796"/>
      <c r="BA24" s="886" t="s">
        <v>24</v>
      </c>
      <c r="BB24" s="850" t="s">
        <v>25</v>
      </c>
      <c r="BC24" s="873" t="s">
        <v>95</v>
      </c>
      <c r="BD24" s="884" t="s">
        <v>96</v>
      </c>
      <c r="BE24" s="787"/>
      <c r="BF24" s="853"/>
      <c r="BG24" s="787"/>
      <c r="BH24" s="787"/>
      <c r="BI24" s="848"/>
      <c r="BJ24" s="778"/>
      <c r="BK24" s="878" t="s">
        <v>275</v>
      </c>
      <c r="BL24" s="878" t="s">
        <v>276</v>
      </c>
      <c r="BM24" s="783" t="s">
        <v>275</v>
      </c>
      <c r="BN24" s="785" t="s">
        <v>276</v>
      </c>
      <c r="BO24" s="783" t="s">
        <v>277</v>
      </c>
      <c r="BP24" s="881" t="s">
        <v>325</v>
      </c>
      <c r="BQ24" s="783" t="s">
        <v>275</v>
      </c>
      <c r="BR24" s="785" t="s">
        <v>276</v>
      </c>
      <c r="BS24" s="785" t="s">
        <v>336</v>
      </c>
      <c r="BT24" s="837"/>
      <c r="BU24" s="864"/>
      <c r="BV24" s="861"/>
      <c r="BX24" s="806"/>
      <c r="BZ24" s="229" t="s">
        <v>348</v>
      </c>
      <c r="CC24"/>
      <c r="CD24" s="59"/>
      <c r="CE24" s="74"/>
      <c r="CF24" s="26"/>
      <c r="CG24" s="333"/>
      <c r="CH24" s="670"/>
      <c r="CI24" s="867"/>
      <c r="CJ24" s="857"/>
      <c r="CK24" s="817"/>
      <c r="CL24" s="817"/>
      <c r="CM24" s="817"/>
      <c r="CN24" s="817"/>
      <c r="CO24" s="855"/>
      <c r="CP24" s="333"/>
      <c r="CQ24" s="333"/>
      <c r="CR24" s="333"/>
      <c r="CS24" s="333"/>
      <c r="CT24" s="333"/>
      <c r="CU24" s="333"/>
      <c r="CV24" s="333"/>
      <c r="CW24" s="333"/>
      <c r="CX24" s="333"/>
      <c r="CY24" s="333"/>
      <c r="CZ24" s="333"/>
      <c r="DA24" s="333"/>
      <c r="DB24" s="333"/>
      <c r="DC24" s="333"/>
      <c r="DD24" s="333"/>
      <c r="DF24" s="189" t="s">
        <v>16</v>
      </c>
      <c r="DG24" s="189" t="s">
        <v>4</v>
      </c>
      <c r="DH24" s="189" t="s">
        <v>185</v>
      </c>
      <c r="DI24" s="189" t="s">
        <v>292</v>
      </c>
      <c r="DJ24" s="190" t="s">
        <v>0</v>
      </c>
      <c r="DK24" s="189" t="s">
        <v>313</v>
      </c>
      <c r="DL24" s="189" t="s">
        <v>312</v>
      </c>
      <c r="DM24" s="189" t="s">
        <v>317</v>
      </c>
      <c r="DN24" s="189" t="s">
        <v>483</v>
      </c>
      <c r="DO24" s="189" t="s">
        <v>484</v>
      </c>
      <c r="DP24" s="189" t="s">
        <v>485</v>
      </c>
      <c r="DQ24" s="319" t="s">
        <v>486</v>
      </c>
      <c r="DR24" s="319" t="s">
        <v>487</v>
      </c>
      <c r="DS24" s="322" t="s">
        <v>488</v>
      </c>
      <c r="DT24" s="323" t="s">
        <v>489</v>
      </c>
      <c r="DU24" s="189" t="s">
        <v>1</v>
      </c>
      <c r="DV24" s="189" t="s">
        <v>313</v>
      </c>
      <c r="DW24" s="189" t="s">
        <v>316</v>
      </c>
      <c r="DX24" s="189" t="s">
        <v>317</v>
      </c>
      <c r="DY24" s="189" t="s">
        <v>314</v>
      </c>
      <c r="DZ24" s="189" t="s">
        <v>315</v>
      </c>
      <c r="EA24" s="200" t="s">
        <v>318</v>
      </c>
      <c r="EB24" s="192" t="s">
        <v>323</v>
      </c>
      <c r="EC24" s="144" t="s">
        <v>273</v>
      </c>
      <c r="ED24" s="191" t="s">
        <v>308</v>
      </c>
    </row>
    <row r="25" spans="1:134" ht="48" customHeight="1" x14ac:dyDescent="0.3">
      <c r="A25" s="26"/>
      <c r="B25" s="660"/>
      <c r="C25" s="661" t="s">
        <v>32</v>
      </c>
      <c r="D25" s="718"/>
      <c r="E25" s="718"/>
      <c r="F25" s="719"/>
      <c r="G25" s="720"/>
      <c r="H25" s="819"/>
      <c r="I25" s="820"/>
      <c r="J25" s="822"/>
      <c r="K25" s="831"/>
      <c r="L25" s="833"/>
      <c r="M25" s="828"/>
      <c r="N25" s="831"/>
      <c r="O25" s="833"/>
      <c r="P25" s="889"/>
      <c r="Q25" s="889"/>
      <c r="R25" s="833"/>
      <c r="S25" s="422"/>
      <c r="T25" s="807"/>
      <c r="U25" s="807"/>
      <c r="V25" s="807"/>
      <c r="W25" s="807"/>
      <c r="X25" s="807"/>
      <c r="Y25" s="807"/>
      <c r="Z25" s="804"/>
      <c r="AA25" s="804"/>
      <c r="AB25" s="807"/>
      <c r="AC25" s="162"/>
      <c r="AD25" s="162"/>
      <c r="AE25" s="171" t="s">
        <v>287</v>
      </c>
      <c r="AF25" s="171" t="s">
        <v>335</v>
      </c>
      <c r="AG25" s="152"/>
      <c r="AH25" s="162"/>
      <c r="AI25" s="162"/>
      <c r="AJ25" s="171" t="s">
        <v>287</v>
      </c>
      <c r="AK25" s="171" t="s">
        <v>335</v>
      </c>
      <c r="AL25" s="169"/>
      <c r="AM25" s="152"/>
      <c r="AN25" s="162"/>
      <c r="AO25" s="171" t="s">
        <v>287</v>
      </c>
      <c r="AP25" s="171" t="s">
        <v>335</v>
      </c>
      <c r="AQ25" s="169"/>
      <c r="AR25" s="807"/>
      <c r="AS25" s="797"/>
      <c r="AT25" s="797"/>
      <c r="AU25" s="797"/>
      <c r="AV25" s="797"/>
      <c r="AW25" s="797"/>
      <c r="AX25" s="797"/>
      <c r="AY25" s="797"/>
      <c r="AZ25" s="797"/>
      <c r="BA25" s="887"/>
      <c r="BB25" s="851"/>
      <c r="BC25" s="874"/>
      <c r="BD25" s="885"/>
      <c r="BE25" s="788"/>
      <c r="BF25" s="854"/>
      <c r="BG25" s="788"/>
      <c r="BH25" s="788"/>
      <c r="BI25" s="849"/>
      <c r="BJ25" s="779"/>
      <c r="BK25" s="879"/>
      <c r="BL25" s="883"/>
      <c r="BM25" s="784"/>
      <c r="BN25" s="784"/>
      <c r="BO25" s="784"/>
      <c r="BP25" s="882"/>
      <c r="BQ25" s="784"/>
      <c r="BR25" s="880"/>
      <c r="BS25" s="784"/>
      <c r="BT25" s="838"/>
      <c r="BU25" s="865"/>
      <c r="BV25" s="862"/>
      <c r="BX25" s="807"/>
      <c r="BZ25" s="16" t="s">
        <v>29</v>
      </c>
      <c r="CA25" s="138" t="s">
        <v>30</v>
      </c>
      <c r="CC25"/>
      <c r="CD25" s="59"/>
      <c r="CE25" s="73"/>
      <c r="CF25" s="60"/>
      <c r="CG25" s="340"/>
      <c r="CH25" s="669"/>
      <c r="CI25" s="868"/>
      <c r="CJ25" s="858"/>
      <c r="CK25" s="859"/>
      <c r="CL25" s="859"/>
      <c r="CM25" s="859"/>
      <c r="CN25" s="859"/>
      <c r="CO25" s="856"/>
      <c r="CP25" s="333"/>
      <c r="CQ25" s="340"/>
      <c r="CR25" s="340"/>
      <c r="CS25" s="340"/>
      <c r="CT25" s="333"/>
      <c r="CU25" s="333"/>
      <c r="CV25" s="333"/>
      <c r="CW25" s="333"/>
      <c r="CX25" s="333"/>
      <c r="CY25" s="333"/>
      <c r="CZ25" s="333"/>
      <c r="DA25" s="333"/>
      <c r="DB25" s="333"/>
      <c r="DC25" s="333"/>
      <c r="DD25" s="333"/>
      <c r="DJ25" s="193"/>
      <c r="DQ25" s="321"/>
      <c r="DR25" s="11"/>
      <c r="DS25" s="11"/>
      <c r="DT25" s="149"/>
      <c r="EA25" s="11"/>
      <c r="EB25" s="193"/>
      <c r="EC25" s="194"/>
      <c r="ED25" s="194"/>
    </row>
    <row r="26" spans="1:134" ht="17.5" x14ac:dyDescent="0.3">
      <c r="A26" s="231"/>
      <c r="B26" s="419">
        <f t="shared" ref="B26:B65" si="0">CA26</f>
        <v>5</v>
      </c>
      <c r="C26" s="329">
        <v>1</v>
      </c>
      <c r="D26" s="589"/>
      <c r="E26" s="590"/>
      <c r="F26" s="591"/>
      <c r="G26" s="592"/>
      <c r="H26" s="769"/>
      <c r="I26" s="770"/>
      <c r="J26" s="593"/>
      <c r="K26" s="596"/>
      <c r="L26" s="597"/>
      <c r="M26" s="594"/>
      <c r="N26" s="596"/>
      <c r="O26" s="597"/>
      <c r="P26" s="501" t="str">
        <f t="shared" ref="P26:P65" si="1">BC26</f>
        <v/>
      </c>
      <c r="Q26" s="501" t="str">
        <f>BD26</f>
        <v/>
      </c>
      <c r="R26" s="502" t="str">
        <f t="shared" ref="R26:R65" si="2">BV26</f>
        <v/>
      </c>
      <c r="S26" s="422"/>
      <c r="T26" s="66" t="str">
        <f>IF(AND(ISNUMBER(L26),J26=FixedDim),MAX('Adjustment factors'!$S$16,0.2+0.8*L26),IF(ISTEXT(J26),VLOOKUP(J26,Afactors,2,TRUE),""))</f>
        <v/>
      </c>
      <c r="U26" s="204" t="str">
        <f>IF(AND(ISNUMBER(O26),M26=FixedDim),MAX('Adjustment factors'!$S$16,0.2+0.8*O26),IF(ISTEXT(M26),VLOOKUP(M26,Afactors,2,FALSE),""))</f>
        <v/>
      </c>
      <c r="V26" s="18" t="b">
        <f>ISNUMBER(T26)</f>
        <v>0</v>
      </c>
      <c r="W26" s="18" t="b">
        <f t="shared" ref="W26:W65" si="3">AND(ISNUMBER(T26),ISNUMBER(U26))</f>
        <v>0</v>
      </c>
      <c r="X26" s="17" t="str">
        <f t="shared" ref="X26:X65" si="4">IF(OR(ISNUMBER(T26),ISNUMBER(U26)),SMALL(T26:U26,1),"")</f>
        <v/>
      </c>
      <c r="Y26" s="18" t="str">
        <f t="shared" ref="Y26:Y65" si="5">IF(W26,SMALL(T26:U26,2),"")</f>
        <v/>
      </c>
      <c r="Z26" s="17" t="str">
        <f t="shared" ref="Z26:Z65" si="6">IF(V26,CL26/T26,CL26)</f>
        <v/>
      </c>
      <c r="AA26" s="17" t="str">
        <f t="shared" ref="AA26:AA65" si="7">IF(W26,(X26*(Y26+((1-Y26)/2))),"")</f>
        <v/>
      </c>
      <c r="AB26" s="163" t="str">
        <f t="shared" ref="AB26:AB65" si="8">IF(W26,CL26/AA26,"")</f>
        <v/>
      </c>
      <c r="AC26" s="210">
        <f t="shared" ref="AC26:AC65" si="9">IF(OR($H26=$H$84,$H26=$H$85,$H26=$H$86),$F26,0)</f>
        <v>0</v>
      </c>
      <c r="AD26" s="211">
        <f>IF(AC26&gt;0,$G26,0)</f>
        <v>0</v>
      </c>
      <c r="AE26" s="211">
        <f t="shared" ref="AE26:AE65" si="10">IF(AC26&gt;0,$P26,0)</f>
        <v>0</v>
      </c>
      <c r="AF26" s="211">
        <f t="shared" ref="AF26:AF65" si="11">AC26*AE26</f>
        <v>0</v>
      </c>
      <c r="AG26" s="212">
        <f t="shared" ref="AG26:AG65" si="12">IF(AC26&gt;0,$Q26,0)</f>
        <v>0</v>
      </c>
      <c r="AH26" s="210">
        <f t="shared" ref="AH26:AH65" si="13">IF($H26=$H$87,$F26,0)</f>
        <v>0</v>
      </c>
      <c r="AI26" s="211">
        <f>IF(AH26&gt;0,$G26,0)</f>
        <v>0</v>
      </c>
      <c r="AJ26" s="211">
        <f t="shared" ref="AJ26:AJ65" si="14">IF(AH26&gt;0,$P26,0)</f>
        <v>0</v>
      </c>
      <c r="AK26" s="211">
        <f>AH26*AJ26</f>
        <v>0</v>
      </c>
      <c r="AL26" s="212">
        <f t="shared" ref="AL26:AL65" si="15">IF(AH26&gt;0,$Q26,0)</f>
        <v>0</v>
      </c>
      <c r="AM26" s="210">
        <f t="shared" ref="AM26:AM65" si="16">IF($H26=$H$88,$F26,0)</f>
        <v>0</v>
      </c>
      <c r="AN26" s="211">
        <f>IF(AM26&gt;0,$G26,0)</f>
        <v>0</v>
      </c>
      <c r="AO26" s="211">
        <f t="shared" ref="AO26:AO65" si="17">IF(AM26&gt;0,$P26,0)</f>
        <v>0</v>
      </c>
      <c r="AP26" s="211">
        <f>AM26*AO26</f>
        <v>0</v>
      </c>
      <c r="AQ26" s="212">
        <f t="shared" ref="AQ26:AQ65" si="18">IF(AM26&gt;0,$Q26,0)</f>
        <v>0</v>
      </c>
      <c r="AR26" s="218" t="b">
        <f t="shared" ref="AR26:AR66" si="19">OR(NOT(COUNTBLANK(D26:H26)&gt;0),COUNTBLANK(D26:H26)=5)</f>
        <v>1</v>
      </c>
      <c r="AS26" s="20" t="b">
        <f t="shared" ref="AS26:AS65" si="20">AND(OR(ClassificationTwo=Class2,ClassificationTwo=Class4),OR(AY26,AND(ISNUMBER(F26),ISNUMBER(G26),ISTEXT(H26))))</f>
        <v>0</v>
      </c>
      <c r="AT26" s="20" t="b">
        <f t="shared" ref="AT26:AT66" si="21">IF(ISBLANK(ClassificationTwo),FALSE,IF(COUNTBLANK(J26:L26)=3,TRUE,OR(AND(VLOOKUP(J26,Afactors,3,TRUE),NOT(ISNUMBER(K26)),NOT(ISNUMBER(L26))),AND(J26=FixedDim,NOT(ISNUMBER(K26)),(ISNUMBER(L26))),AND(J26=ProgDim,NOT(ISNUMBER(L26)),(ISNUMBER(K26)),K26&gt;=0.75))))</f>
        <v>0</v>
      </c>
      <c r="AU26" s="20" t="b">
        <f t="shared" ref="AU26:AU66" si="22">IF(COUNTBLANK(M26:O26)=3,TRUE,OR(AND(VLOOKUP(M26,Afactors,3,TRUE),NOT(ISNUMBER(N26)),NOT(ISNUMBER(O26))),AND(M26=FixedDim,NOT(ISNUMBER(N26)),(ISNUMBER(O26))),AND(M26=ProgDim,NOT(ISNUMBER(O26)),(ISNUMBER(N26)),N26&gt;=0.75)))</f>
        <v>1</v>
      </c>
      <c r="AV26" s="20" t="str">
        <f t="shared" ref="AV26:AV66" si="23">IF(ISTEXT(E26),VLOOKUP(E26,TypeofSpaceres,3,FALSE),"")</f>
        <v/>
      </c>
      <c r="AW26" s="20" t="b">
        <f t="shared" ref="AW26:AW65" si="24">NOT(COUNTBLANK(D26:H26)=5)</f>
        <v>0</v>
      </c>
      <c r="AX26" s="221" t="b">
        <f>IF(OR(COUNTBLANK(D26:I26)=6,AND(COUNTBLANK(D26:G26)=4,H26=0)),OR(AW27:AW$65),NOT(AW26))</f>
        <v>0</v>
      </c>
      <c r="AY26" s="20" t="b">
        <f t="shared" ref="AY26:AY65" si="25">OR(COUNTBLANK(D26:I26)=6,AND(COUNTBLANK(D26:G26)=4,H26=0))</f>
        <v>1</v>
      </c>
      <c r="AZ26" s="20" t="b">
        <f>AND(AR26,AS26,OR(AT26),AU26)</f>
        <v>0</v>
      </c>
      <c r="BA26" s="21">
        <f t="shared" ref="BA26:BA65" si="26">G26</f>
        <v>0</v>
      </c>
      <c r="BB26" s="21" t="str">
        <f t="shared" ref="BB26:BB65" si="27">P26</f>
        <v/>
      </c>
      <c r="BC26" s="235" t="str">
        <f t="shared" ref="BC26:BC65" si="28">IF(AZ26,IF(ISNUMBER(Y26),IF(ISNUMBER(AB26),ROUND(AB26,1),AB26),IF(ISNUMBER(Z26),ROUND(Z26,1),Z26)),"")</f>
        <v/>
      </c>
      <c r="BD26" s="236" t="str">
        <f t="shared" ref="BD26:BD65" si="29">IF(AND(AZ26,AW26,Allinputsokres),ROUND(G26/F26,1),"")</f>
        <v/>
      </c>
      <c r="BE26" s="67" t="str">
        <f>IF(DF26&lt;&gt;"OK",DF26,IF(DG26&lt;&gt;"OK",DG26,IF(DH26&lt;&gt;"OK",DH26,IF(DI26&lt;&gt;"OK",DI26,IF(DJ26&lt;&gt;"OK",DJ26,BG26)))))</f>
        <v/>
      </c>
      <c r="BF26" s="195"/>
      <c r="BG26" s="67" t="str">
        <f>IF(DT26&lt;&gt;"OK",DT26,IF(DP26&lt;&gt;"OK",DP26,IF(DM26&lt;&gt;"OK",DM26,IF(DN26&lt;&gt;"OK",DN26,IF(DO26&lt;&gt;"OK",DO26,IF(DL26&lt;&gt;"OK",DL26,IF(DQ26&lt;&gt;"OK",DQ26,IF(DR26&lt;&gt;"OK",DR26,IF(DS26&lt;&gt;"OK",DS26,IF(DK26&lt;&gt;"OK",DK26,BH26))))))))))</f>
        <v/>
      </c>
      <c r="BH26" s="202" t="str">
        <f>IF(DU26&lt;&gt;"OK",DU26,IF(DV26&lt;&gt;"OK",DV26,IF(DW26&lt;&gt;"OK",DW26,IF(DX26&lt;&gt;"OK",DX26,IF(DY26&lt;&gt;"OK",DY26,IF(DZ26&lt;&gt;"OK",DZ26,IF(EA26&lt;&gt;"OK",EA26,IF(EB26&lt;&gt;"OK",EB26,IF(ED26&lt;&gt;"OK",ED26,"")))))))))</f>
        <v/>
      </c>
      <c r="BI26" s="780" t="str">
        <f>IF(BX69&lt;&gt;"OK","Classification and highlighted Location entries are not compatible",IF(OR(W26:W65),"Two adjustment factors have been used. Ensure that they are for different but compatible control devices.",""))</f>
        <v/>
      </c>
      <c r="BJ26" s="780" t="b">
        <f>OR(W26:W65)</f>
        <v>0</v>
      </c>
      <c r="BK26" s="224" t="b">
        <f>AND(AZ26,AW26,NOT(AY26),InputIssuesTwo=0,BD26&lt;=BC26,BU26&lt;=1)</f>
        <v>0</v>
      </c>
      <c r="BL26" s="225" t="b">
        <f>AND(AZ26,AW26,NOT(AY26),InputIssuesTwo=0,BD26&gt;BC26,BU26&gt;1)</f>
        <v>0</v>
      </c>
      <c r="BM26" s="226" t="b">
        <f t="shared" ref="BM26:BM65" si="30">AND(AZ26,InputIssuesTwo=0,TopInputsOKTwo,AND(AW26,BD26&lt;=BC26,BU26&lt;=1))</f>
        <v>0</v>
      </c>
      <c r="BN26" s="224" t="b">
        <f t="shared" ref="BN26:BN65" si="31">AND(AZ26,InputIssuesTwo=0,TopInputsOKTwo,BD26&gt;BC26,BU26&gt;1)</f>
        <v>0</v>
      </c>
      <c r="BO26" s="224" t="b">
        <f t="shared" ref="BO26:BO65" si="32">AND(AZ26,InputIssuesTwo=0,TopInputsOKTwo,BD26&lt;=BC26,BU26&gt;1)</f>
        <v>0</v>
      </c>
      <c r="BP26" s="225" t="b">
        <f t="shared" ref="BP26:BP65" si="33">AND(InputIssuesTwo=0,TopInputsOKTwo,BD26&gt;BC26,BU26&lt;=1)</f>
        <v>0</v>
      </c>
      <c r="BQ26" s="226" t="b">
        <f t="shared" ref="BQ26:BQ65" si="34">AND(AW26,AZ26,InputIssuesTwo=0,TopInputsOKTwo,OR(IF(H26=$H$84,PassClass1,IF(H26=$H$85,PassClass1,IF(H26=$H$86,PassClass1,IF(H26=$H$87,PassBalcony,IF(H26=$H$88,PassClass10,"FALSE")))))))</f>
        <v>0</v>
      </c>
      <c r="BR26" s="224" t="b">
        <f t="shared" ref="BR26:BR65" si="35">AND(AR26,AS26,NOT(AY26),AZ26,InputIssuesTwo=0,TopInputsOKTwo,IF(H26=$H$84,FailClass1,IF(H26=$H$85,FailClass1,IF(H26=$H$86,FailClass1,IF(H26=$H$87,FailBalcony,IF(H26=$H$88,FailClass10,"FALSE"))))))</f>
        <v>0</v>
      </c>
      <c r="BS26" s="225" t="b">
        <f>EC26&gt;0</f>
        <v>0</v>
      </c>
      <c r="BT26" s="227" t="b">
        <f t="shared" ref="BT26:BT65" si="36">IF(AND(AZ26,AW26),IF(H26=$H$84,Q26/TotalAllowClass1,IF(H26=$H$85,Q26/TotalAllowClass1,IF(H26=$H$86,Q26/TotalAllowClass1,IF(H26=$H$87,Q26/TotalAllowBalc,IF(H26=$H$88,Q26/TotalAllowClass10,""))))))</f>
        <v>0</v>
      </c>
      <c r="BU26" s="228" t="b">
        <f t="shared" ref="BU26:BU65" si="37">IF(AND(AZ26,AW26),IF(H26=$H$84,Percent1,IF(H26=$H$85,Percent1,IF(H26=$H$86,Percent1,IF(H26=$H$87,PercentBalcony,IF(H26=$H$88,Percent10,""))))))</f>
        <v>0</v>
      </c>
      <c r="BV26" s="207" t="str">
        <f t="shared" ref="BV26:BV65" si="38">IF(AND(AZ26,AW26),TEXT(BT26,"0%")&amp;" of "&amp;TEXT(IF(AND(BU26&gt;0.99,BU26&lt;1),ROUNDDOWN(BU26,BX$20)*100,IF(AND(BU26&gt;1,BU26&lt;1.01),ROUNDUP(BU26,BX$20),ROUND(BU26,2))*100),"General")&amp;"%","")</f>
        <v/>
      </c>
      <c r="BX26" s="167" t="str">
        <f t="shared" ref="BX26:BX65" si="39">IF(COUNTA(D26:O26)=0,"no data",MATCH(H26,ValidLocationsTwo,0))</f>
        <v>no data</v>
      </c>
      <c r="BZ26" s="49">
        <v>1</v>
      </c>
      <c r="CA26" s="49">
        <f t="shared" ref="CA26:CA65" si="40">IF(RowsPreferredTwo&gt;=BZ26,RowsPreferredTwo,"-")</f>
        <v>5</v>
      </c>
      <c r="CC26"/>
      <c r="CD26" s="59"/>
      <c r="CE26" s="73"/>
      <c r="CF26" s="60"/>
      <c r="CG26" s="340"/>
      <c r="CH26" s="333"/>
      <c r="CI26" s="354">
        <f t="shared" ref="CI26:CI65" si="41">C26</f>
        <v>1</v>
      </c>
      <c r="CJ26" s="503">
        <f t="shared" ref="CJ26:CJ65" si="42">D26</f>
        <v>0</v>
      </c>
      <c r="CK26" s="503">
        <f t="shared" ref="CK26:CK65" si="43">H26</f>
        <v>0</v>
      </c>
      <c r="CL26" s="504" t="str">
        <f t="shared" ref="CL26:CL65" si="44">IF(ISBLANK(H26),"",VLOOKUP(H26,LocationLimitsTwo,2,FALSE))</f>
        <v/>
      </c>
      <c r="CM26" s="505" t="str">
        <f>T26</f>
        <v/>
      </c>
      <c r="CN26" s="505" t="str">
        <f>U26</f>
        <v/>
      </c>
      <c r="CO26" s="506" t="str">
        <f>IF(AZ26,BC26,"")</f>
        <v/>
      </c>
      <c r="CP26" s="340"/>
      <c r="CQ26" s="340"/>
      <c r="CR26" s="340"/>
      <c r="CS26" s="340"/>
      <c r="CT26" s="333"/>
      <c r="CU26" s="333"/>
      <c r="CV26" s="333"/>
      <c r="CW26" s="333"/>
      <c r="CX26" s="333"/>
      <c r="CY26" s="333"/>
      <c r="CZ26" s="333"/>
      <c r="DA26" s="333"/>
      <c r="DB26" s="333"/>
      <c r="DC26" s="333"/>
      <c r="DD26" s="333"/>
      <c r="DF26" s="167" t="str">
        <f t="shared" ref="DF26:DF65" si="45">IF(AND(COUNTA(DescriptionTwo,ClassificationTwo)=2,COUNTA(D26:O26)&gt;0,ISBLANK(D26)),"Enter Description","OK")</f>
        <v>OK</v>
      </c>
      <c r="DG26" s="167" t="str">
        <f t="shared" ref="DG26:DG65" si="46">IF(AND(COUNTA(DescriptionTwo,ClassificationTwo)=2,COUNTA(D26:O26)&gt;0,ISBLANK(E26)),"Enter Type of space","OK")</f>
        <v>OK</v>
      </c>
      <c r="DH26" s="167" t="str">
        <f t="shared" ref="DH26:DH65" si="47">IF(AND(COUNTA(DescriptionTwo,ClassificationTwo)=2,COUNTA(D26:O26)&gt;0,ISBLANK(F26)),"Enter Floor area of the space","OK")</f>
        <v>OK</v>
      </c>
      <c r="DI26" s="167" t="str">
        <f t="shared" ref="DI26:DI65" si="48">IF(AND(COUNTA(DescriptionTwo,ClassificationTwo)=2,COUNTA(D26:O26)&gt;0,ISBLANK(G26)),"Enter Design Power Load","OK")</f>
        <v>OK</v>
      </c>
      <c r="DJ26" s="168" t="str">
        <f t="shared" ref="DJ26:DJ65" si="49">IF(AND(COUNTA(DescriptionTwo,ClassificationTwo)=2,COUNTA(D26:O26)&gt;0,ISBLANK(H26)),"Enter Location","OK")</f>
        <v>OK</v>
      </c>
      <c r="DK26" s="153" t="str">
        <f t="shared" ref="DK26:DK65" si="50">IF(AND(COUNTA(DescriptionTwo,ClassificationTwo)=2,COUNTA(D26:O26)&gt;0,OR(J26=ProgDim,J26=V2FixedDim,J26=V2ManualDim,J26=V2ProgDim),ISBLANK(K26)),"Enter % of floor area controlled","OK")</f>
        <v>OK</v>
      </c>
      <c r="DL26" s="153" t="str">
        <f>"OK"</f>
        <v>OK</v>
      </c>
      <c r="DM26" s="153" t="str">
        <f t="shared" ref="DM26:DM65" si="51">IF(AND(COUNTA(K26)&gt;0,NOT(OR(J26=ProgDim,J26=V2FixedDim,J26=V2ManualDim,J26=V2ProgDim))),"Adjustment Factor is missing or inappropriate","OK")</f>
        <v>OK</v>
      </c>
      <c r="DN26" s="153" t="str">
        <f t="shared" ref="DN26:DN65" si="52">IF(AND(ISNUMBER(L26),J26&lt;&gt;FixedDim),"Select fixed dimming with an illuminance factor","OK")</f>
        <v>OK</v>
      </c>
      <c r="DO26" s="153" t="str">
        <f t="shared" ref="DO26:DO65" si="53">IF(AND(NOT(ISNUMBER(L26)),J26=FixedDim),"Enter an illuminance factor","OK")</f>
        <v>OK</v>
      </c>
      <c r="DP26" s="153" t="str">
        <f>IF(ISNUMBER(FIND("NA",$J26)),"Adjustment Factor not applicable","OK")</f>
        <v>OK</v>
      </c>
      <c r="DQ26" s="320" t="str">
        <f>"OK"</f>
        <v>OK</v>
      </c>
      <c r="DR26" s="320" t="str">
        <f>"OK"</f>
        <v>OK</v>
      </c>
      <c r="DS26" s="320" t="str">
        <f>"OK"</f>
        <v>OK</v>
      </c>
      <c r="DT26" s="168" t="str">
        <f t="shared" ref="DT26:DT65" si="54">IF(OR(ISTEXT(VLOOKUP(J26,Afactors,1,FALSE)),ISBLANK(J26)),"OK","Invalid adjustment factor")</f>
        <v>OK</v>
      </c>
      <c r="DU26" s="153" t="str">
        <f>IF(AND(ISTEXT(M26),NOT(ISTEXT(J26))),"Adjustment Factor 1 is missing", "OK")</f>
        <v>OK</v>
      </c>
      <c r="DV26" s="153" t="str">
        <f t="shared" ref="DV26:DV65" si="55">IF(AND(COUNTA(DescriptionTwo,ClassificationTwo)=2,COUNTA($D26:$O26)&gt;0, OR(M26=ProgDim),ISBLANK(N26)),"Enter % of floor area controlled","OK")</f>
        <v>OK</v>
      </c>
      <c r="DW26" s="153" t="str">
        <f>"OK"</f>
        <v>OK</v>
      </c>
      <c r="DX26" s="153" t="str">
        <f t="shared" ref="DX26:DX65" si="56">IF(AND(COUNTA(N26)&gt;0,NOT(OR(M26=ProgDim))),"Adjustment Factor is missing","OK")</f>
        <v>OK</v>
      </c>
      <c r="DY26" s="153" t="str">
        <f t="shared" ref="DY26:DY65" si="57">IF(AND(ISNUMBER(O26),M26&lt;&gt;FixedDim),"Select fixed dimming to suit the illuminance factor","OK")</f>
        <v>OK</v>
      </c>
      <c r="DZ26" s="153" t="str">
        <f t="shared" ref="DZ26:DZ65" si="58">IF(AND(NOT(ISNUMBER(O26)),M26=FixedDim),"Enter an illuminance factor","OK")</f>
        <v>OK</v>
      </c>
      <c r="EA26" s="201" t="str">
        <f t="shared" ref="EA26:EA65" si="59">IF(ISNUMBER(FIND("NA",$M26)),"Adjustment Factor not applicable","OK")</f>
        <v>OK</v>
      </c>
      <c r="EB26" s="168" t="str">
        <f>"OK"</f>
        <v>OK</v>
      </c>
      <c r="EC26" s="157">
        <f>COUNTIF(DF26:EB26,"&lt;&gt;OK")+IF(ISNA(BX26),1,0)</f>
        <v>0</v>
      </c>
      <c r="ED26" s="156" t="str">
        <f>IF(AX26,"ROW SKIPPED (OK if intentional)","OK")</f>
        <v>OK</v>
      </c>
    </row>
    <row r="27" spans="1:134" ht="17.5" x14ac:dyDescent="0.3">
      <c r="A27" s="232"/>
      <c r="B27" s="420">
        <f t="shared" si="0"/>
        <v>5</v>
      </c>
      <c r="C27" s="329">
        <v>2</v>
      </c>
      <c r="D27" s="589"/>
      <c r="E27" s="590"/>
      <c r="F27" s="591"/>
      <c r="G27" s="592"/>
      <c r="H27" s="769"/>
      <c r="I27" s="770"/>
      <c r="J27" s="593"/>
      <c r="K27" s="596"/>
      <c r="L27" s="597"/>
      <c r="M27" s="595"/>
      <c r="N27" s="596"/>
      <c r="O27" s="597"/>
      <c r="P27" s="501" t="str">
        <f t="shared" si="1"/>
        <v/>
      </c>
      <c r="Q27" s="501" t="str">
        <f t="shared" ref="Q27:Q65" si="60">BD27</f>
        <v/>
      </c>
      <c r="R27" s="502" t="str">
        <f t="shared" si="2"/>
        <v/>
      </c>
      <c r="S27" s="422"/>
      <c r="T27" s="66" t="str">
        <f>IF(AND(ISNUMBER(L27),J27=FixedDim),MAX('Adjustment factors'!$S$16,0.2+0.8*L27),IF(ISTEXT(J27),VLOOKUP(J27,Afactors,2,TRUE),""))</f>
        <v/>
      </c>
      <c r="U27" s="204" t="str">
        <f>IF(AND(ISNUMBER(O27),M27=FixedDim),MAX('Adjustment factors'!$S$16,0.2+0.8*O27),IF(ISTEXT(M27),VLOOKUP(M27,Afactors,2,FALSE),""))</f>
        <v/>
      </c>
      <c r="V27" s="18" t="b">
        <f t="shared" ref="V27:V65" si="61">ISNUMBER(T27)</f>
        <v>0</v>
      </c>
      <c r="W27" s="18" t="b">
        <f t="shared" si="3"/>
        <v>0</v>
      </c>
      <c r="X27" s="17" t="str">
        <f t="shared" si="4"/>
        <v/>
      </c>
      <c r="Y27" s="18" t="str">
        <f t="shared" si="5"/>
        <v/>
      </c>
      <c r="Z27" s="17" t="str">
        <f t="shared" si="6"/>
        <v/>
      </c>
      <c r="AA27" s="17" t="str">
        <f t="shared" si="7"/>
        <v/>
      </c>
      <c r="AB27" s="163" t="str">
        <f t="shared" si="8"/>
        <v/>
      </c>
      <c r="AC27" s="210">
        <f t="shared" si="9"/>
        <v>0</v>
      </c>
      <c r="AD27" s="211">
        <f t="shared" ref="AD27:AD65" si="62">IF(AC27&gt;0,$G27,0)</f>
        <v>0</v>
      </c>
      <c r="AE27" s="211">
        <f t="shared" si="10"/>
        <v>0</v>
      </c>
      <c r="AF27" s="211">
        <f>AC27*AE27</f>
        <v>0</v>
      </c>
      <c r="AG27" s="212">
        <f t="shared" si="12"/>
        <v>0</v>
      </c>
      <c r="AH27" s="210">
        <f t="shared" si="13"/>
        <v>0</v>
      </c>
      <c r="AI27" s="211">
        <f t="shared" ref="AI27:AI65" si="63">IF(AH27&gt;0,$G27,0)</f>
        <v>0</v>
      </c>
      <c r="AJ27" s="211">
        <f t="shared" si="14"/>
        <v>0</v>
      </c>
      <c r="AK27" s="211">
        <f t="shared" ref="AK27:AK65" si="64">AH27*AJ27</f>
        <v>0</v>
      </c>
      <c r="AL27" s="212">
        <f t="shared" si="15"/>
        <v>0</v>
      </c>
      <c r="AM27" s="210">
        <f t="shared" si="16"/>
        <v>0</v>
      </c>
      <c r="AN27" s="211">
        <f t="shared" ref="AN27:AN65" si="65">IF(AM27&gt;0,$G27,0)</f>
        <v>0</v>
      </c>
      <c r="AO27" s="211">
        <f t="shared" si="17"/>
        <v>0</v>
      </c>
      <c r="AP27" s="211">
        <f t="shared" ref="AP27:AP65" si="66">AM27*AO27</f>
        <v>0</v>
      </c>
      <c r="AQ27" s="212">
        <f t="shared" si="18"/>
        <v>0</v>
      </c>
      <c r="AR27" s="218" t="b">
        <f t="shared" si="19"/>
        <v>1</v>
      </c>
      <c r="AS27" s="20" t="b">
        <f t="shared" si="20"/>
        <v>0</v>
      </c>
      <c r="AT27" s="20" t="b">
        <f t="shared" si="21"/>
        <v>0</v>
      </c>
      <c r="AU27" s="20" t="b">
        <f t="shared" si="22"/>
        <v>1</v>
      </c>
      <c r="AV27" s="20" t="str">
        <f t="shared" si="23"/>
        <v/>
      </c>
      <c r="AW27" s="20" t="b">
        <f t="shared" si="24"/>
        <v>0</v>
      </c>
      <c r="AX27" s="221" t="b">
        <f>IF(OR(COUNTBLANK(D27:I27)=6,AND(COUNTBLANK(D27:G27)=4,H27=0)),OR(AW28:AW$65),NOT(AW27))</f>
        <v>0</v>
      </c>
      <c r="AY27" s="20" t="b">
        <f t="shared" si="25"/>
        <v>1</v>
      </c>
      <c r="AZ27" s="20" t="b">
        <f t="shared" ref="AZ27:AZ65" si="67">AND(AR27,AS27,OR(AT27),AU27)</f>
        <v>0</v>
      </c>
      <c r="BA27" s="21">
        <f t="shared" si="26"/>
        <v>0</v>
      </c>
      <c r="BB27" s="21" t="str">
        <f t="shared" si="27"/>
        <v/>
      </c>
      <c r="BC27" s="235" t="str">
        <f t="shared" si="28"/>
        <v/>
      </c>
      <c r="BD27" s="236" t="str">
        <f t="shared" si="29"/>
        <v/>
      </c>
      <c r="BE27" s="67" t="str">
        <f>IF(DF27&lt;&gt;"OK",DF27,IF(DG27&lt;&gt;"OK",DG27,IF(DH27&lt;&gt;"OK",DH27,IF(DI27&lt;&gt;"OK",DI27,IF(DJ27&lt;&gt;"OK",DJ27,BG27)))))</f>
        <v/>
      </c>
      <c r="BF27" s="195"/>
      <c r="BG27" s="67" t="str">
        <f>IF(DT27&lt;&gt;"OK",DT27,IF(DP27&lt;&gt;"OK",DP27,IF(DM27&lt;&gt;"OK",DM27,IF(DN27&lt;&gt;"OK",DN27,IF(DO27&lt;&gt;"OK",DO27,IF(DL27&lt;&gt;"OK",DL27,IF(DQ27&lt;&gt;"OK",DQ27,IF(DR27&lt;&gt;"OK",DR27,IF(DS27&lt;&gt;"OK",DS27,IF(DK27&lt;&gt;"OK",DK27,BH27))))))))))</f>
        <v/>
      </c>
      <c r="BH27" s="202" t="str">
        <f t="shared" ref="BH27:BH65" si="68">IF(DU27&lt;&gt;"OK",DU27,IF(DV27&lt;&gt;"OK",DV27,IF(DW27&lt;&gt;"OK",DW27,IF(DX27&lt;&gt;"OK",DX27,IF(DY27&lt;&gt;"OK",DY27,IF(DZ27&lt;&gt;"OK",DZ27,IF(EA27&lt;&gt;"OK",EA27,IF(EB27&lt;&gt;"OK",EB27,IF(ED27&lt;&gt;"OK",ED27,"")))))))))</f>
        <v/>
      </c>
      <c r="BI27" s="781"/>
      <c r="BJ27" s="781"/>
      <c r="BK27" s="224" t="b">
        <f t="shared" ref="BK27:BK65" si="69">AND(AZ27,AW27,NOT(AY27),InputIssuesTwo=0,BD27&lt;=BC27,BU27&lt;=1)</f>
        <v>0</v>
      </c>
      <c r="BL27" s="225" t="b">
        <f t="shared" ref="BL27:BL65" si="70">AND(AZ27,AW27,NOT(AY27),InputIssuesTwo=0,BD27&gt;BC27,BU27&gt;1)</f>
        <v>0</v>
      </c>
      <c r="BM27" s="226" t="b">
        <f t="shared" si="30"/>
        <v>0</v>
      </c>
      <c r="BN27" s="224" t="b">
        <f t="shared" si="31"/>
        <v>0</v>
      </c>
      <c r="BO27" s="224" t="b">
        <f t="shared" si="32"/>
        <v>0</v>
      </c>
      <c r="BP27" s="225" t="b">
        <f t="shared" si="33"/>
        <v>0</v>
      </c>
      <c r="BQ27" s="226" t="b">
        <f t="shared" si="34"/>
        <v>0</v>
      </c>
      <c r="BR27" s="224" t="b">
        <f t="shared" si="35"/>
        <v>0</v>
      </c>
      <c r="BS27" s="225" t="b">
        <f t="shared" ref="BS27:BS65" si="71">EC27&gt;0</f>
        <v>0</v>
      </c>
      <c r="BT27" s="227" t="b">
        <f t="shared" si="36"/>
        <v>0</v>
      </c>
      <c r="BU27" s="228" t="b">
        <f t="shared" si="37"/>
        <v>0</v>
      </c>
      <c r="BV27" s="207" t="str">
        <f t="shared" si="38"/>
        <v/>
      </c>
      <c r="BX27" s="167" t="str">
        <f t="shared" si="39"/>
        <v>no data</v>
      </c>
      <c r="BZ27" s="50">
        <v>2</v>
      </c>
      <c r="CA27" s="50">
        <f t="shared" si="40"/>
        <v>5</v>
      </c>
      <c r="CC27"/>
      <c r="CD27" s="75"/>
      <c r="CE27" s="73"/>
      <c r="CF27" s="60"/>
      <c r="CG27" s="340"/>
      <c r="CH27" s="333"/>
      <c r="CI27" s="354">
        <f t="shared" si="41"/>
        <v>2</v>
      </c>
      <c r="CJ27" s="503">
        <f t="shared" si="42"/>
        <v>0</v>
      </c>
      <c r="CK27" s="503">
        <f t="shared" si="43"/>
        <v>0</v>
      </c>
      <c r="CL27" s="504" t="str">
        <f t="shared" si="44"/>
        <v/>
      </c>
      <c r="CM27" s="505" t="str">
        <f>IF(AZ27,IF(ISNUMBER(L27),MAX('Adjustment factors'!$S$16,0.2+0.8*L27),IF(ISTEXT(J27),VLOOKUP(J27,Afactors,2,FALSE),"")),"")</f>
        <v/>
      </c>
      <c r="CN27" s="505" t="str">
        <f>IF(AZ27,IF(ISNUMBER(O27),MAX('Adjustment factors'!$S$16,0.2+0.8*O27),IF(ISTEXT(M27),VLOOKUP(M27,Afactors,2,FALSE),"")),"")</f>
        <v/>
      </c>
      <c r="CO27" s="506" t="str">
        <f t="shared" ref="CO27:CO65" si="72">IF(AZ27,BC27,"")</f>
        <v/>
      </c>
      <c r="CP27" s="340"/>
      <c r="CQ27" s="340"/>
      <c r="CR27" s="340"/>
      <c r="CS27" s="340"/>
      <c r="CT27" s="333"/>
      <c r="CU27" s="333"/>
      <c r="CV27" s="333"/>
      <c r="CW27" s="333"/>
      <c r="CX27" s="333"/>
      <c r="CY27" s="333"/>
      <c r="CZ27" s="333"/>
      <c r="DA27" s="333"/>
      <c r="DB27" s="333"/>
      <c r="DC27" s="333"/>
      <c r="DD27" s="333"/>
      <c r="DF27" s="167" t="str">
        <f t="shared" si="45"/>
        <v>OK</v>
      </c>
      <c r="DG27" s="167" t="str">
        <f t="shared" si="46"/>
        <v>OK</v>
      </c>
      <c r="DH27" s="167" t="str">
        <f t="shared" si="47"/>
        <v>OK</v>
      </c>
      <c r="DI27" s="167" t="str">
        <f t="shared" si="48"/>
        <v>OK</v>
      </c>
      <c r="DJ27" s="168" t="str">
        <f t="shared" si="49"/>
        <v>OK</v>
      </c>
      <c r="DK27" s="153" t="str">
        <f t="shared" si="50"/>
        <v>OK</v>
      </c>
      <c r="DL27" s="153" t="str">
        <f t="shared" ref="DL27:DL65" si="73">"OK"</f>
        <v>OK</v>
      </c>
      <c r="DM27" s="153" t="str">
        <f t="shared" si="51"/>
        <v>OK</v>
      </c>
      <c r="DN27" s="153" t="str">
        <f t="shared" si="52"/>
        <v>OK</v>
      </c>
      <c r="DO27" s="153" t="str">
        <f t="shared" si="53"/>
        <v>OK</v>
      </c>
      <c r="DP27" s="153" t="str">
        <f t="shared" ref="DP27:DP65" si="74">IF(ISNUMBER(FIND("NA",$J27)),"Adjustment Factor not applicable","OK")</f>
        <v>OK</v>
      </c>
      <c r="DQ27" s="320" t="str">
        <f t="shared" ref="DQ27:DS65" si="75">"OK"</f>
        <v>OK</v>
      </c>
      <c r="DR27" s="320" t="str">
        <f t="shared" si="75"/>
        <v>OK</v>
      </c>
      <c r="DS27" s="320" t="str">
        <f t="shared" si="75"/>
        <v>OK</v>
      </c>
      <c r="DT27" s="168" t="str">
        <f t="shared" si="54"/>
        <v>OK</v>
      </c>
      <c r="DU27" s="153" t="str">
        <f t="shared" ref="DU27:DU65" si="76">IF(AND(ISTEXT(M27),NOT(ISTEXT(J27))),"Adjustment Factor 1 is missing", "OK")</f>
        <v>OK</v>
      </c>
      <c r="DV27" s="153" t="str">
        <f t="shared" si="55"/>
        <v>OK</v>
      </c>
      <c r="DW27" s="153" t="str">
        <f t="shared" ref="DW27:DW65" si="77">"OK"</f>
        <v>OK</v>
      </c>
      <c r="DX27" s="153" t="str">
        <f t="shared" si="56"/>
        <v>OK</v>
      </c>
      <c r="DY27" s="153" t="str">
        <f t="shared" si="57"/>
        <v>OK</v>
      </c>
      <c r="DZ27" s="153" t="str">
        <f t="shared" si="58"/>
        <v>OK</v>
      </c>
      <c r="EA27" s="201" t="str">
        <f t="shared" si="59"/>
        <v>OK</v>
      </c>
      <c r="EB27" s="168" t="str">
        <f t="shared" ref="EB27:EB65" si="78">"OK"</f>
        <v>OK</v>
      </c>
      <c r="EC27" s="157">
        <f t="shared" ref="EC27:EC65" si="79">COUNTIF(DF27:EB27,"&lt;&gt;OK")+IF(ISNA(BX27),1,0)</f>
        <v>0</v>
      </c>
      <c r="ED27" s="156" t="str">
        <f t="shared" ref="ED27:ED65" si="80">IF(AX27,"ROW SKIPPED (OK if intentional)","OK")</f>
        <v>OK</v>
      </c>
    </row>
    <row r="28" spans="1:134" ht="17.5" x14ac:dyDescent="0.3">
      <c r="A28" s="232"/>
      <c r="B28" s="420">
        <f t="shared" si="0"/>
        <v>5</v>
      </c>
      <c r="C28" s="329">
        <v>3</v>
      </c>
      <c r="D28" s="589"/>
      <c r="E28" s="590"/>
      <c r="F28" s="591"/>
      <c r="G28" s="592"/>
      <c r="H28" s="769"/>
      <c r="I28" s="770"/>
      <c r="J28" s="593"/>
      <c r="K28" s="596"/>
      <c r="L28" s="597"/>
      <c r="M28" s="595"/>
      <c r="N28" s="596"/>
      <c r="O28" s="597"/>
      <c r="P28" s="501" t="str">
        <f t="shared" si="1"/>
        <v/>
      </c>
      <c r="Q28" s="501" t="str">
        <f t="shared" si="60"/>
        <v/>
      </c>
      <c r="R28" s="502" t="str">
        <f t="shared" si="2"/>
        <v/>
      </c>
      <c r="S28" s="422"/>
      <c r="T28" s="66" t="str">
        <f>IF(AND(ISNUMBER(L28),J28=FixedDim),MAX('Adjustment factors'!$S$16,0.2+0.8*L28),IF(ISTEXT(J28),VLOOKUP(J28,Afactors,2,TRUE),""))</f>
        <v/>
      </c>
      <c r="U28" s="204" t="str">
        <f>IF(AND(ISNUMBER(O28),M28=FixedDim),MAX('Adjustment factors'!$S$16,0.2+0.8*O28),IF(ISTEXT(M28),VLOOKUP(M28,Afactors,2,FALSE),""))</f>
        <v/>
      </c>
      <c r="V28" s="18" t="b">
        <f t="shared" si="61"/>
        <v>0</v>
      </c>
      <c r="W28" s="18" t="b">
        <f t="shared" si="3"/>
        <v>0</v>
      </c>
      <c r="X28" s="17" t="str">
        <f t="shared" si="4"/>
        <v/>
      </c>
      <c r="Y28" s="18" t="str">
        <f t="shared" si="5"/>
        <v/>
      </c>
      <c r="Z28" s="17" t="str">
        <f t="shared" si="6"/>
        <v/>
      </c>
      <c r="AA28" s="17" t="str">
        <f t="shared" si="7"/>
        <v/>
      </c>
      <c r="AB28" s="163" t="str">
        <f t="shared" si="8"/>
        <v/>
      </c>
      <c r="AC28" s="210">
        <f t="shared" si="9"/>
        <v>0</v>
      </c>
      <c r="AD28" s="211">
        <f t="shared" si="62"/>
        <v>0</v>
      </c>
      <c r="AE28" s="211">
        <f t="shared" si="10"/>
        <v>0</v>
      </c>
      <c r="AF28" s="211">
        <f t="shared" si="11"/>
        <v>0</v>
      </c>
      <c r="AG28" s="212">
        <f t="shared" si="12"/>
        <v>0</v>
      </c>
      <c r="AH28" s="210">
        <f t="shared" si="13"/>
        <v>0</v>
      </c>
      <c r="AI28" s="211">
        <f t="shared" si="63"/>
        <v>0</v>
      </c>
      <c r="AJ28" s="211">
        <f t="shared" si="14"/>
        <v>0</v>
      </c>
      <c r="AK28" s="211">
        <f t="shared" si="64"/>
        <v>0</v>
      </c>
      <c r="AL28" s="212">
        <f t="shared" si="15"/>
        <v>0</v>
      </c>
      <c r="AM28" s="210">
        <f t="shared" si="16"/>
        <v>0</v>
      </c>
      <c r="AN28" s="211">
        <f t="shared" si="65"/>
        <v>0</v>
      </c>
      <c r="AO28" s="211">
        <f t="shared" si="17"/>
        <v>0</v>
      </c>
      <c r="AP28" s="211">
        <f t="shared" si="66"/>
        <v>0</v>
      </c>
      <c r="AQ28" s="212">
        <f t="shared" si="18"/>
        <v>0</v>
      </c>
      <c r="AR28" s="218" t="b">
        <f t="shared" si="19"/>
        <v>1</v>
      </c>
      <c r="AS28" s="20" t="b">
        <f t="shared" si="20"/>
        <v>0</v>
      </c>
      <c r="AT28" s="20" t="b">
        <f t="shared" si="21"/>
        <v>0</v>
      </c>
      <c r="AU28" s="20" t="b">
        <f t="shared" si="22"/>
        <v>1</v>
      </c>
      <c r="AV28" s="20" t="str">
        <f t="shared" si="23"/>
        <v/>
      </c>
      <c r="AW28" s="20" t="b">
        <f t="shared" si="24"/>
        <v>0</v>
      </c>
      <c r="AX28" s="221" t="b">
        <f>IF(OR(COUNTBLANK(D28:I28)=6,AND(COUNTBLANK(D28:G28)=4,H28=0)),OR(AW29:AW$65),NOT(AW28))</f>
        <v>0</v>
      </c>
      <c r="AY28" s="20" t="b">
        <f t="shared" si="25"/>
        <v>1</v>
      </c>
      <c r="AZ28" s="20" t="b">
        <f t="shared" si="67"/>
        <v>0</v>
      </c>
      <c r="BA28" s="21">
        <f t="shared" si="26"/>
        <v>0</v>
      </c>
      <c r="BB28" s="21" t="str">
        <f t="shared" si="27"/>
        <v/>
      </c>
      <c r="BC28" s="235" t="str">
        <f t="shared" si="28"/>
        <v/>
      </c>
      <c r="BD28" s="236" t="str">
        <f t="shared" si="29"/>
        <v/>
      </c>
      <c r="BE28" s="67" t="str">
        <f t="shared" ref="BE28:BE65" si="81">IF(DF28&lt;&gt;"OK",DF28,IF(DG28&lt;&gt;"OK",DG28,IF(DH28&lt;&gt;"OK",DH28,IF(DI28&lt;&gt;"OK",DI28,IF(DJ28&lt;&gt;"OK",DJ28,BG28)))))</f>
        <v/>
      </c>
      <c r="BF28" s="195"/>
      <c r="BG28" s="67" t="str">
        <f t="shared" ref="BG28:BG65" si="82">IF(DT28&lt;&gt;"OK",DT28,IF(DP28&lt;&gt;"OK",DP28,IF(DM28&lt;&gt;"OK",DM28,IF(DN28&lt;&gt;"OK",DN28,IF(DO28&lt;&gt;"OK",DO28,IF(DL28&lt;&gt;"OK",DL28,IF(DQ28&lt;&gt;"OK",DQ28,IF(DR28&lt;&gt;"OK",DR28,IF(DS28&lt;&gt;"OK",DS28,IF(DK28&lt;&gt;"OK",DK28,BH28))))))))))</f>
        <v/>
      </c>
      <c r="BH28" s="202" t="str">
        <f t="shared" si="68"/>
        <v/>
      </c>
      <c r="BI28" s="781"/>
      <c r="BJ28" s="781"/>
      <c r="BK28" s="224" t="b">
        <f t="shared" si="69"/>
        <v>0</v>
      </c>
      <c r="BL28" s="225" t="b">
        <f t="shared" si="70"/>
        <v>0</v>
      </c>
      <c r="BM28" s="226" t="b">
        <f t="shared" si="30"/>
        <v>0</v>
      </c>
      <c r="BN28" s="224" t="b">
        <f t="shared" si="31"/>
        <v>0</v>
      </c>
      <c r="BO28" s="224" t="b">
        <f t="shared" si="32"/>
        <v>0</v>
      </c>
      <c r="BP28" s="225" t="b">
        <f t="shared" si="33"/>
        <v>0</v>
      </c>
      <c r="BQ28" s="226" t="b">
        <f t="shared" si="34"/>
        <v>0</v>
      </c>
      <c r="BR28" s="224" t="b">
        <f t="shared" si="35"/>
        <v>0</v>
      </c>
      <c r="BS28" s="225" t="b">
        <f t="shared" si="71"/>
        <v>0</v>
      </c>
      <c r="BT28" s="227" t="b">
        <f t="shared" si="36"/>
        <v>0</v>
      </c>
      <c r="BU28" s="228" t="b">
        <f t="shared" si="37"/>
        <v>0</v>
      </c>
      <c r="BV28" s="207" t="str">
        <f t="shared" si="38"/>
        <v/>
      </c>
      <c r="BX28" s="167" t="str">
        <f t="shared" si="39"/>
        <v>no data</v>
      </c>
      <c r="BZ28" s="50">
        <v>3</v>
      </c>
      <c r="CA28" s="50">
        <f t="shared" si="40"/>
        <v>5</v>
      </c>
      <c r="CC28"/>
      <c r="CD28" s="75"/>
      <c r="CE28" s="73"/>
      <c r="CF28" s="60"/>
      <c r="CG28" s="340"/>
      <c r="CH28" s="333"/>
      <c r="CI28" s="354">
        <f t="shared" si="41"/>
        <v>3</v>
      </c>
      <c r="CJ28" s="503">
        <f t="shared" si="42"/>
        <v>0</v>
      </c>
      <c r="CK28" s="503">
        <f t="shared" si="43"/>
        <v>0</v>
      </c>
      <c r="CL28" s="504" t="str">
        <f t="shared" si="44"/>
        <v/>
      </c>
      <c r="CM28" s="505" t="str">
        <f>IF(AZ28,IF(ISNUMBER(L28),MAX('Adjustment factors'!$S$16,0.2+0.8*L28),IF(ISTEXT(J28),VLOOKUP(J28,Afactors,2,FALSE),"")),"")</f>
        <v/>
      </c>
      <c r="CN28" s="505" t="str">
        <f>IF(AZ28,IF(ISNUMBER(O28),MAX('Adjustment factors'!$S$16,0.2+0.8*O28),IF(ISTEXT(M28),VLOOKUP(M28,Afactors,2,FALSE),"")),"")</f>
        <v/>
      </c>
      <c r="CO28" s="506" t="str">
        <f t="shared" si="72"/>
        <v/>
      </c>
      <c r="CP28" s="340"/>
      <c r="CQ28" s="340"/>
      <c r="CR28" s="340"/>
      <c r="CS28" s="340"/>
      <c r="CT28" s="333"/>
      <c r="CU28" s="333"/>
      <c r="CV28" s="333"/>
      <c r="CW28" s="333"/>
      <c r="CX28" s="333"/>
      <c r="CY28" s="333"/>
      <c r="CZ28" s="333"/>
      <c r="DA28" s="333"/>
      <c r="DB28" s="333"/>
      <c r="DC28" s="333"/>
      <c r="DD28" s="333"/>
      <c r="DF28" s="167" t="str">
        <f t="shared" si="45"/>
        <v>OK</v>
      </c>
      <c r="DG28" s="167" t="str">
        <f t="shared" si="46"/>
        <v>OK</v>
      </c>
      <c r="DH28" s="167" t="str">
        <f t="shared" si="47"/>
        <v>OK</v>
      </c>
      <c r="DI28" s="167" t="str">
        <f t="shared" si="48"/>
        <v>OK</v>
      </c>
      <c r="DJ28" s="168" t="str">
        <f t="shared" si="49"/>
        <v>OK</v>
      </c>
      <c r="DK28" s="153" t="str">
        <f t="shared" si="50"/>
        <v>OK</v>
      </c>
      <c r="DL28" s="153" t="str">
        <f t="shared" si="73"/>
        <v>OK</v>
      </c>
      <c r="DM28" s="153" t="str">
        <f t="shared" si="51"/>
        <v>OK</v>
      </c>
      <c r="DN28" s="153" t="str">
        <f t="shared" si="52"/>
        <v>OK</v>
      </c>
      <c r="DO28" s="153" t="str">
        <f t="shared" si="53"/>
        <v>OK</v>
      </c>
      <c r="DP28" s="153" t="str">
        <f t="shared" si="74"/>
        <v>OK</v>
      </c>
      <c r="DQ28" s="320" t="str">
        <f t="shared" si="75"/>
        <v>OK</v>
      </c>
      <c r="DR28" s="320" t="str">
        <f t="shared" si="75"/>
        <v>OK</v>
      </c>
      <c r="DS28" s="320" t="str">
        <f t="shared" si="75"/>
        <v>OK</v>
      </c>
      <c r="DT28" s="168" t="str">
        <f t="shared" si="54"/>
        <v>OK</v>
      </c>
      <c r="DU28" s="153" t="str">
        <f t="shared" si="76"/>
        <v>OK</v>
      </c>
      <c r="DV28" s="153" t="str">
        <f t="shared" si="55"/>
        <v>OK</v>
      </c>
      <c r="DW28" s="153" t="str">
        <f t="shared" si="77"/>
        <v>OK</v>
      </c>
      <c r="DX28" s="153" t="str">
        <f t="shared" si="56"/>
        <v>OK</v>
      </c>
      <c r="DY28" s="153" t="str">
        <f t="shared" si="57"/>
        <v>OK</v>
      </c>
      <c r="DZ28" s="153" t="str">
        <f t="shared" si="58"/>
        <v>OK</v>
      </c>
      <c r="EA28" s="201" t="str">
        <f t="shared" si="59"/>
        <v>OK</v>
      </c>
      <c r="EB28" s="168" t="str">
        <f t="shared" si="78"/>
        <v>OK</v>
      </c>
      <c r="EC28" s="157">
        <f t="shared" si="79"/>
        <v>0</v>
      </c>
      <c r="ED28" s="156" t="str">
        <f t="shared" si="80"/>
        <v>OK</v>
      </c>
    </row>
    <row r="29" spans="1:134" ht="17.5" x14ac:dyDescent="0.3">
      <c r="A29" s="232"/>
      <c r="B29" s="420">
        <f t="shared" si="0"/>
        <v>5</v>
      </c>
      <c r="C29" s="329">
        <v>4</v>
      </c>
      <c r="D29" s="589"/>
      <c r="E29" s="590"/>
      <c r="F29" s="591"/>
      <c r="G29" s="592"/>
      <c r="H29" s="769"/>
      <c r="I29" s="770"/>
      <c r="J29" s="593"/>
      <c r="K29" s="596"/>
      <c r="L29" s="597"/>
      <c r="M29" s="595"/>
      <c r="N29" s="596"/>
      <c r="O29" s="597"/>
      <c r="P29" s="501" t="str">
        <f t="shared" si="1"/>
        <v/>
      </c>
      <c r="Q29" s="501" t="str">
        <f t="shared" si="60"/>
        <v/>
      </c>
      <c r="R29" s="502" t="str">
        <f t="shared" si="2"/>
        <v/>
      </c>
      <c r="S29" s="422"/>
      <c r="T29" s="66" t="str">
        <f>IF(AND(ISNUMBER(L29),J29=FixedDim),MAX('Adjustment factors'!$S$16,0.2+0.8*L29),IF(ISTEXT(J29),VLOOKUP(J29,Afactors,2,TRUE),""))</f>
        <v/>
      </c>
      <c r="U29" s="204" t="str">
        <f>IF(AND(ISNUMBER(O29),M29=FixedDim),MAX('Adjustment factors'!$S$16,0.2+0.8*O29),IF(ISTEXT(M29),VLOOKUP(M29,Afactors,2,FALSE),""))</f>
        <v/>
      </c>
      <c r="V29" s="18" t="b">
        <f t="shared" si="61"/>
        <v>0</v>
      </c>
      <c r="W29" s="18" t="b">
        <f t="shared" si="3"/>
        <v>0</v>
      </c>
      <c r="X29" s="17" t="str">
        <f t="shared" si="4"/>
        <v/>
      </c>
      <c r="Y29" s="18" t="str">
        <f t="shared" si="5"/>
        <v/>
      </c>
      <c r="Z29" s="17" t="str">
        <f t="shared" si="6"/>
        <v/>
      </c>
      <c r="AA29" s="17" t="str">
        <f t="shared" si="7"/>
        <v/>
      </c>
      <c r="AB29" s="163" t="str">
        <f t="shared" si="8"/>
        <v/>
      </c>
      <c r="AC29" s="210">
        <f t="shared" si="9"/>
        <v>0</v>
      </c>
      <c r="AD29" s="211">
        <f t="shared" si="62"/>
        <v>0</v>
      </c>
      <c r="AE29" s="211">
        <f t="shared" si="10"/>
        <v>0</v>
      </c>
      <c r="AF29" s="211">
        <f t="shared" si="11"/>
        <v>0</v>
      </c>
      <c r="AG29" s="212">
        <f t="shared" si="12"/>
        <v>0</v>
      </c>
      <c r="AH29" s="210">
        <f t="shared" si="13"/>
        <v>0</v>
      </c>
      <c r="AI29" s="211">
        <f t="shared" si="63"/>
        <v>0</v>
      </c>
      <c r="AJ29" s="211">
        <f t="shared" si="14"/>
        <v>0</v>
      </c>
      <c r="AK29" s="211">
        <f t="shared" si="64"/>
        <v>0</v>
      </c>
      <c r="AL29" s="212">
        <f t="shared" si="15"/>
        <v>0</v>
      </c>
      <c r="AM29" s="210">
        <f t="shared" si="16"/>
        <v>0</v>
      </c>
      <c r="AN29" s="211">
        <f t="shared" si="65"/>
        <v>0</v>
      </c>
      <c r="AO29" s="211">
        <f t="shared" si="17"/>
        <v>0</v>
      </c>
      <c r="AP29" s="211">
        <f t="shared" si="66"/>
        <v>0</v>
      </c>
      <c r="AQ29" s="212">
        <f t="shared" si="18"/>
        <v>0</v>
      </c>
      <c r="AR29" s="218" t="b">
        <f t="shared" si="19"/>
        <v>1</v>
      </c>
      <c r="AS29" s="20" t="b">
        <f t="shared" si="20"/>
        <v>0</v>
      </c>
      <c r="AT29" s="20" t="b">
        <f t="shared" si="21"/>
        <v>0</v>
      </c>
      <c r="AU29" s="20" t="b">
        <f t="shared" si="22"/>
        <v>1</v>
      </c>
      <c r="AV29" s="20" t="str">
        <f t="shared" si="23"/>
        <v/>
      </c>
      <c r="AW29" s="20" t="b">
        <f t="shared" si="24"/>
        <v>0</v>
      </c>
      <c r="AX29" s="221" t="b">
        <f>IF(OR(COUNTBLANK(D29:I29)=6,AND(COUNTBLANK(D29:G29)=4,H29=0)),OR(AW30:AW$65),NOT(AW29))</f>
        <v>0</v>
      </c>
      <c r="AY29" s="20" t="b">
        <f t="shared" si="25"/>
        <v>1</v>
      </c>
      <c r="AZ29" s="20" t="b">
        <f t="shared" si="67"/>
        <v>0</v>
      </c>
      <c r="BA29" s="21">
        <f t="shared" si="26"/>
        <v>0</v>
      </c>
      <c r="BB29" s="21" t="str">
        <f t="shared" si="27"/>
        <v/>
      </c>
      <c r="BC29" s="235" t="str">
        <f t="shared" si="28"/>
        <v/>
      </c>
      <c r="BD29" s="236" t="str">
        <f t="shared" si="29"/>
        <v/>
      </c>
      <c r="BE29" s="67" t="str">
        <f t="shared" si="81"/>
        <v/>
      </c>
      <c r="BF29" s="195"/>
      <c r="BG29" s="67" t="str">
        <f t="shared" si="82"/>
        <v/>
      </c>
      <c r="BH29" s="202" t="str">
        <f t="shared" si="68"/>
        <v/>
      </c>
      <c r="BI29" s="781"/>
      <c r="BJ29" s="781"/>
      <c r="BK29" s="224" t="b">
        <f t="shared" si="69"/>
        <v>0</v>
      </c>
      <c r="BL29" s="225" t="b">
        <f t="shared" si="70"/>
        <v>0</v>
      </c>
      <c r="BM29" s="226" t="b">
        <f t="shared" si="30"/>
        <v>0</v>
      </c>
      <c r="BN29" s="224" t="b">
        <f t="shared" si="31"/>
        <v>0</v>
      </c>
      <c r="BO29" s="224" t="b">
        <f t="shared" si="32"/>
        <v>0</v>
      </c>
      <c r="BP29" s="225" t="b">
        <f t="shared" si="33"/>
        <v>0</v>
      </c>
      <c r="BQ29" s="226" t="b">
        <f t="shared" si="34"/>
        <v>0</v>
      </c>
      <c r="BR29" s="224" t="b">
        <f t="shared" si="35"/>
        <v>0</v>
      </c>
      <c r="BS29" s="225" t="b">
        <f t="shared" si="71"/>
        <v>0</v>
      </c>
      <c r="BT29" s="227" t="b">
        <f t="shared" si="36"/>
        <v>0</v>
      </c>
      <c r="BU29" s="228" t="b">
        <f t="shared" si="37"/>
        <v>0</v>
      </c>
      <c r="BV29" s="207" t="str">
        <f t="shared" si="38"/>
        <v/>
      </c>
      <c r="BX29" s="167" t="str">
        <f t="shared" si="39"/>
        <v>no data</v>
      </c>
      <c r="BZ29" s="50">
        <v>4</v>
      </c>
      <c r="CA29" s="50">
        <f t="shared" si="40"/>
        <v>5</v>
      </c>
      <c r="CC29"/>
      <c r="CD29" s="75"/>
      <c r="CE29" s="73"/>
      <c r="CF29" s="60"/>
      <c r="CG29" s="340"/>
      <c r="CH29" s="333"/>
      <c r="CI29" s="354">
        <f t="shared" si="41"/>
        <v>4</v>
      </c>
      <c r="CJ29" s="503">
        <f t="shared" si="42"/>
        <v>0</v>
      </c>
      <c r="CK29" s="503">
        <f t="shared" si="43"/>
        <v>0</v>
      </c>
      <c r="CL29" s="504" t="str">
        <f t="shared" si="44"/>
        <v/>
      </c>
      <c r="CM29" s="505" t="str">
        <f>IF(AZ29,IF(ISNUMBER(L29),MAX('Adjustment factors'!$S$16,0.2+0.8*L29),IF(ISTEXT(J29),VLOOKUP(J29,Afactors,2,FALSE),"")),"")</f>
        <v/>
      </c>
      <c r="CN29" s="505" t="str">
        <f>IF(AZ29,IF(ISNUMBER(O29),MAX('Adjustment factors'!$S$16,0.2+0.8*O29),IF(ISTEXT(M29),VLOOKUP(M29,Afactors,2,FALSE),"")),"")</f>
        <v/>
      </c>
      <c r="CO29" s="506" t="str">
        <f t="shared" si="72"/>
        <v/>
      </c>
      <c r="CP29" s="340"/>
      <c r="CQ29" s="340"/>
      <c r="CR29" s="340"/>
      <c r="CS29" s="340"/>
      <c r="CT29" s="333"/>
      <c r="CU29" s="333"/>
      <c r="CV29" s="333"/>
      <c r="CW29" s="333"/>
      <c r="CX29" s="333"/>
      <c r="CY29" s="333"/>
      <c r="CZ29" s="333"/>
      <c r="DA29" s="333"/>
      <c r="DB29" s="333"/>
      <c r="DC29" s="333"/>
      <c r="DD29" s="333"/>
      <c r="DF29" s="167" t="str">
        <f t="shared" si="45"/>
        <v>OK</v>
      </c>
      <c r="DG29" s="167" t="str">
        <f t="shared" si="46"/>
        <v>OK</v>
      </c>
      <c r="DH29" s="167" t="str">
        <f t="shared" si="47"/>
        <v>OK</v>
      </c>
      <c r="DI29" s="167" t="str">
        <f t="shared" si="48"/>
        <v>OK</v>
      </c>
      <c r="DJ29" s="168" t="str">
        <f t="shared" si="49"/>
        <v>OK</v>
      </c>
      <c r="DK29" s="153" t="str">
        <f t="shared" si="50"/>
        <v>OK</v>
      </c>
      <c r="DL29" s="153" t="str">
        <f t="shared" si="73"/>
        <v>OK</v>
      </c>
      <c r="DM29" s="153" t="str">
        <f t="shared" si="51"/>
        <v>OK</v>
      </c>
      <c r="DN29" s="153" t="str">
        <f t="shared" si="52"/>
        <v>OK</v>
      </c>
      <c r="DO29" s="153" t="str">
        <f t="shared" si="53"/>
        <v>OK</v>
      </c>
      <c r="DP29" s="153" t="str">
        <f t="shared" si="74"/>
        <v>OK</v>
      </c>
      <c r="DQ29" s="320" t="str">
        <f t="shared" si="75"/>
        <v>OK</v>
      </c>
      <c r="DR29" s="320" t="str">
        <f t="shared" si="75"/>
        <v>OK</v>
      </c>
      <c r="DS29" s="320" t="str">
        <f t="shared" si="75"/>
        <v>OK</v>
      </c>
      <c r="DT29" s="168" t="str">
        <f t="shared" si="54"/>
        <v>OK</v>
      </c>
      <c r="DU29" s="153" t="str">
        <f t="shared" si="76"/>
        <v>OK</v>
      </c>
      <c r="DV29" s="153" t="str">
        <f t="shared" si="55"/>
        <v>OK</v>
      </c>
      <c r="DW29" s="153" t="str">
        <f t="shared" si="77"/>
        <v>OK</v>
      </c>
      <c r="DX29" s="153" t="str">
        <f t="shared" si="56"/>
        <v>OK</v>
      </c>
      <c r="DY29" s="153" t="str">
        <f t="shared" si="57"/>
        <v>OK</v>
      </c>
      <c r="DZ29" s="153" t="str">
        <f t="shared" si="58"/>
        <v>OK</v>
      </c>
      <c r="EA29" s="201" t="str">
        <f t="shared" si="59"/>
        <v>OK</v>
      </c>
      <c r="EB29" s="168" t="str">
        <f t="shared" si="78"/>
        <v>OK</v>
      </c>
      <c r="EC29" s="157">
        <f t="shared" si="79"/>
        <v>0</v>
      </c>
      <c r="ED29" s="156" t="str">
        <f t="shared" si="80"/>
        <v>OK</v>
      </c>
    </row>
    <row r="30" spans="1:134" ht="17.5" x14ac:dyDescent="0.3">
      <c r="A30" s="232"/>
      <c r="B30" s="420">
        <f t="shared" si="0"/>
        <v>5</v>
      </c>
      <c r="C30" s="329">
        <v>5</v>
      </c>
      <c r="D30" s="589"/>
      <c r="E30" s="590"/>
      <c r="F30" s="591"/>
      <c r="G30" s="592"/>
      <c r="H30" s="769"/>
      <c r="I30" s="770"/>
      <c r="J30" s="593"/>
      <c r="K30" s="596"/>
      <c r="L30" s="597"/>
      <c r="M30" s="595"/>
      <c r="N30" s="596"/>
      <c r="O30" s="597"/>
      <c r="P30" s="501" t="str">
        <f t="shared" si="1"/>
        <v/>
      </c>
      <c r="Q30" s="501" t="str">
        <f t="shared" si="60"/>
        <v/>
      </c>
      <c r="R30" s="502" t="str">
        <f t="shared" si="2"/>
        <v/>
      </c>
      <c r="S30" s="422"/>
      <c r="T30" s="66" t="str">
        <f>IF(AND(ISNUMBER(L30),J30=FixedDim),MAX('Adjustment factors'!$S$16,0.2+0.8*L30),IF(ISTEXT(J30),VLOOKUP(J30,Afactors,2,TRUE),""))</f>
        <v/>
      </c>
      <c r="U30" s="204" t="str">
        <f>IF(AND(ISNUMBER(O30),M30=FixedDim),MAX('Adjustment factors'!$S$16,0.2+0.8*O30),IF(ISTEXT(M30),VLOOKUP(M30,Afactors,2,FALSE),""))</f>
        <v/>
      </c>
      <c r="V30" s="18" t="b">
        <f t="shared" si="61"/>
        <v>0</v>
      </c>
      <c r="W30" s="18" t="b">
        <f t="shared" si="3"/>
        <v>0</v>
      </c>
      <c r="X30" s="17" t="str">
        <f t="shared" si="4"/>
        <v/>
      </c>
      <c r="Y30" s="18" t="str">
        <f t="shared" si="5"/>
        <v/>
      </c>
      <c r="Z30" s="17" t="str">
        <f t="shared" si="6"/>
        <v/>
      </c>
      <c r="AA30" s="17" t="str">
        <f t="shared" si="7"/>
        <v/>
      </c>
      <c r="AB30" s="163" t="str">
        <f t="shared" si="8"/>
        <v/>
      </c>
      <c r="AC30" s="210">
        <f t="shared" si="9"/>
        <v>0</v>
      </c>
      <c r="AD30" s="211">
        <f t="shared" si="62"/>
        <v>0</v>
      </c>
      <c r="AE30" s="211">
        <f t="shared" si="10"/>
        <v>0</v>
      </c>
      <c r="AF30" s="211">
        <f t="shared" si="11"/>
        <v>0</v>
      </c>
      <c r="AG30" s="212">
        <f t="shared" si="12"/>
        <v>0</v>
      </c>
      <c r="AH30" s="210">
        <f t="shared" si="13"/>
        <v>0</v>
      </c>
      <c r="AI30" s="211">
        <f t="shared" si="63"/>
        <v>0</v>
      </c>
      <c r="AJ30" s="211">
        <f t="shared" si="14"/>
        <v>0</v>
      </c>
      <c r="AK30" s="211">
        <f t="shared" si="64"/>
        <v>0</v>
      </c>
      <c r="AL30" s="212">
        <f t="shared" si="15"/>
        <v>0</v>
      </c>
      <c r="AM30" s="210">
        <f t="shared" si="16"/>
        <v>0</v>
      </c>
      <c r="AN30" s="211">
        <f t="shared" si="65"/>
        <v>0</v>
      </c>
      <c r="AO30" s="211">
        <f t="shared" si="17"/>
        <v>0</v>
      </c>
      <c r="AP30" s="211">
        <f t="shared" si="66"/>
        <v>0</v>
      </c>
      <c r="AQ30" s="212">
        <f t="shared" si="18"/>
        <v>0</v>
      </c>
      <c r="AR30" s="218" t="b">
        <f t="shared" si="19"/>
        <v>1</v>
      </c>
      <c r="AS30" s="20" t="b">
        <f t="shared" si="20"/>
        <v>0</v>
      </c>
      <c r="AT30" s="20" t="b">
        <f t="shared" si="21"/>
        <v>0</v>
      </c>
      <c r="AU30" s="20" t="b">
        <f t="shared" si="22"/>
        <v>1</v>
      </c>
      <c r="AV30" s="20" t="str">
        <f t="shared" si="23"/>
        <v/>
      </c>
      <c r="AW30" s="20" t="b">
        <f t="shared" si="24"/>
        <v>0</v>
      </c>
      <c r="AX30" s="221" t="b">
        <f>IF(OR(COUNTBLANK(D30:I30)=6,AND(COUNTBLANK(D30:G30)=4,H30=0)),OR(AW31:AW$65),NOT(AW30))</f>
        <v>0</v>
      </c>
      <c r="AY30" s="20" t="b">
        <f t="shared" si="25"/>
        <v>1</v>
      </c>
      <c r="AZ30" s="20" t="b">
        <f t="shared" si="67"/>
        <v>0</v>
      </c>
      <c r="BA30" s="21">
        <f t="shared" si="26"/>
        <v>0</v>
      </c>
      <c r="BB30" s="21" t="str">
        <f t="shared" si="27"/>
        <v/>
      </c>
      <c r="BC30" s="235" t="str">
        <f t="shared" si="28"/>
        <v/>
      </c>
      <c r="BD30" s="236" t="str">
        <f t="shared" si="29"/>
        <v/>
      </c>
      <c r="BE30" s="67" t="str">
        <f t="shared" si="81"/>
        <v/>
      </c>
      <c r="BF30" s="195"/>
      <c r="BG30" s="67" t="str">
        <f t="shared" si="82"/>
        <v/>
      </c>
      <c r="BH30" s="202" t="str">
        <f t="shared" si="68"/>
        <v/>
      </c>
      <c r="BI30" s="781"/>
      <c r="BJ30" s="781"/>
      <c r="BK30" s="224" t="b">
        <f t="shared" si="69"/>
        <v>0</v>
      </c>
      <c r="BL30" s="225" t="b">
        <f t="shared" si="70"/>
        <v>0</v>
      </c>
      <c r="BM30" s="226" t="b">
        <f t="shared" si="30"/>
        <v>0</v>
      </c>
      <c r="BN30" s="224" t="b">
        <f t="shared" si="31"/>
        <v>0</v>
      </c>
      <c r="BO30" s="224" t="b">
        <f t="shared" si="32"/>
        <v>0</v>
      </c>
      <c r="BP30" s="225" t="b">
        <f t="shared" si="33"/>
        <v>0</v>
      </c>
      <c r="BQ30" s="226" t="b">
        <f t="shared" si="34"/>
        <v>0</v>
      </c>
      <c r="BR30" s="224" t="b">
        <f t="shared" si="35"/>
        <v>0</v>
      </c>
      <c r="BS30" s="225" t="b">
        <f t="shared" si="71"/>
        <v>0</v>
      </c>
      <c r="BT30" s="227" t="b">
        <f t="shared" si="36"/>
        <v>0</v>
      </c>
      <c r="BU30" s="228" t="b">
        <f t="shared" si="37"/>
        <v>0</v>
      </c>
      <c r="BV30" s="207" t="str">
        <f t="shared" si="38"/>
        <v/>
      </c>
      <c r="BX30" s="167" t="str">
        <f t="shared" si="39"/>
        <v>no data</v>
      </c>
      <c r="BZ30" s="50">
        <v>5</v>
      </c>
      <c r="CA30" s="50">
        <f t="shared" si="40"/>
        <v>5</v>
      </c>
      <c r="CC30"/>
      <c r="CD30" s="75"/>
      <c r="CE30" s="74"/>
      <c r="CF30" s="60"/>
      <c r="CG30" s="340"/>
      <c r="CH30" s="333"/>
      <c r="CI30" s="354">
        <f t="shared" si="41"/>
        <v>5</v>
      </c>
      <c r="CJ30" s="503">
        <f t="shared" si="42"/>
        <v>0</v>
      </c>
      <c r="CK30" s="503">
        <f t="shared" si="43"/>
        <v>0</v>
      </c>
      <c r="CL30" s="504" t="str">
        <f t="shared" si="44"/>
        <v/>
      </c>
      <c r="CM30" s="505" t="str">
        <f>IF(AZ30,IF(ISNUMBER(L30),MAX('Adjustment factors'!$S$16,0.2+0.8*L30),IF(ISTEXT(J30),VLOOKUP(J30,Afactors,2,FALSE),"")),"")</f>
        <v/>
      </c>
      <c r="CN30" s="505" t="str">
        <f>IF(AZ30,IF(ISNUMBER(O30),MAX('Adjustment factors'!$S$16,0.2+0.8*O30),IF(ISTEXT(M30),VLOOKUP(M30,Afactors,2,FALSE),"")),"")</f>
        <v/>
      </c>
      <c r="CO30" s="506" t="str">
        <f t="shared" si="72"/>
        <v/>
      </c>
      <c r="CP30" s="340"/>
      <c r="CQ30" s="340"/>
      <c r="CR30" s="340"/>
      <c r="CS30" s="340"/>
      <c r="CT30" s="333"/>
      <c r="CU30" s="333"/>
      <c r="CV30" s="333"/>
      <c r="CW30" s="333"/>
      <c r="CX30" s="333"/>
      <c r="CY30" s="333"/>
      <c r="CZ30" s="333"/>
      <c r="DA30" s="333"/>
      <c r="DB30" s="333"/>
      <c r="DC30" s="333"/>
      <c r="DD30" s="333"/>
      <c r="DF30" s="167" t="str">
        <f t="shared" si="45"/>
        <v>OK</v>
      </c>
      <c r="DG30" s="167" t="str">
        <f t="shared" si="46"/>
        <v>OK</v>
      </c>
      <c r="DH30" s="167" t="str">
        <f t="shared" si="47"/>
        <v>OK</v>
      </c>
      <c r="DI30" s="167" t="str">
        <f t="shared" si="48"/>
        <v>OK</v>
      </c>
      <c r="DJ30" s="168" t="str">
        <f t="shared" si="49"/>
        <v>OK</v>
      </c>
      <c r="DK30" s="153" t="str">
        <f t="shared" si="50"/>
        <v>OK</v>
      </c>
      <c r="DL30" s="153" t="str">
        <f t="shared" si="73"/>
        <v>OK</v>
      </c>
      <c r="DM30" s="153" t="str">
        <f t="shared" si="51"/>
        <v>OK</v>
      </c>
      <c r="DN30" s="153" t="str">
        <f t="shared" si="52"/>
        <v>OK</v>
      </c>
      <c r="DO30" s="153" t="str">
        <f t="shared" si="53"/>
        <v>OK</v>
      </c>
      <c r="DP30" s="153" t="str">
        <f t="shared" si="74"/>
        <v>OK</v>
      </c>
      <c r="DQ30" s="320" t="str">
        <f t="shared" si="75"/>
        <v>OK</v>
      </c>
      <c r="DR30" s="320" t="str">
        <f t="shared" si="75"/>
        <v>OK</v>
      </c>
      <c r="DS30" s="320" t="str">
        <f t="shared" si="75"/>
        <v>OK</v>
      </c>
      <c r="DT30" s="168" t="str">
        <f t="shared" si="54"/>
        <v>OK</v>
      </c>
      <c r="DU30" s="153" t="str">
        <f t="shared" si="76"/>
        <v>OK</v>
      </c>
      <c r="DV30" s="153" t="str">
        <f t="shared" si="55"/>
        <v>OK</v>
      </c>
      <c r="DW30" s="153" t="str">
        <f t="shared" si="77"/>
        <v>OK</v>
      </c>
      <c r="DX30" s="153" t="str">
        <f t="shared" si="56"/>
        <v>OK</v>
      </c>
      <c r="DY30" s="153" t="str">
        <f t="shared" si="57"/>
        <v>OK</v>
      </c>
      <c r="DZ30" s="153" t="str">
        <f t="shared" si="58"/>
        <v>OK</v>
      </c>
      <c r="EA30" s="201" t="str">
        <f t="shared" si="59"/>
        <v>OK</v>
      </c>
      <c r="EB30" s="168" t="str">
        <f t="shared" si="78"/>
        <v>OK</v>
      </c>
      <c r="EC30" s="157">
        <f t="shared" si="79"/>
        <v>0</v>
      </c>
      <c r="ED30" s="156" t="str">
        <f t="shared" si="80"/>
        <v>OK</v>
      </c>
    </row>
    <row r="31" spans="1:134" ht="17.5" hidden="1" x14ac:dyDescent="0.3">
      <c r="A31" s="232"/>
      <c r="B31" s="420" t="str">
        <f t="shared" si="0"/>
        <v>-</v>
      </c>
      <c r="C31" s="329">
        <v>6</v>
      </c>
      <c r="D31" s="589"/>
      <c r="E31" s="590"/>
      <c r="F31" s="591"/>
      <c r="G31" s="592"/>
      <c r="H31" s="769"/>
      <c r="I31" s="770"/>
      <c r="J31" s="593"/>
      <c r="K31" s="596"/>
      <c r="L31" s="597"/>
      <c r="M31" s="595"/>
      <c r="N31" s="596"/>
      <c r="O31" s="597"/>
      <c r="P31" s="501" t="str">
        <f t="shared" si="1"/>
        <v/>
      </c>
      <c r="Q31" s="501" t="str">
        <f t="shared" si="60"/>
        <v/>
      </c>
      <c r="R31" s="502" t="str">
        <f t="shared" si="2"/>
        <v/>
      </c>
      <c r="S31" s="422"/>
      <c r="T31" s="66" t="str">
        <f>IF(AND(ISNUMBER(L31),J31=FixedDim),MAX('Adjustment factors'!$S$16,0.2+0.8*L31),IF(ISTEXT(J31),VLOOKUP(J31,Afactors,2,TRUE),""))</f>
        <v/>
      </c>
      <c r="U31" s="204" t="str">
        <f>IF(AND(ISNUMBER(O31),M31=FixedDim),MAX('Adjustment factors'!$S$16,0.2+0.8*O31),IF(ISTEXT(M31),VLOOKUP(M31,Afactors,2,FALSE),""))</f>
        <v/>
      </c>
      <c r="V31" s="18" t="b">
        <f t="shared" si="61"/>
        <v>0</v>
      </c>
      <c r="W31" s="18" t="b">
        <f t="shared" si="3"/>
        <v>0</v>
      </c>
      <c r="X31" s="17" t="str">
        <f t="shared" si="4"/>
        <v/>
      </c>
      <c r="Y31" s="18" t="str">
        <f t="shared" si="5"/>
        <v/>
      </c>
      <c r="Z31" s="17" t="str">
        <f t="shared" si="6"/>
        <v/>
      </c>
      <c r="AA31" s="17" t="str">
        <f t="shared" si="7"/>
        <v/>
      </c>
      <c r="AB31" s="163" t="str">
        <f t="shared" si="8"/>
        <v/>
      </c>
      <c r="AC31" s="210">
        <f t="shared" si="9"/>
        <v>0</v>
      </c>
      <c r="AD31" s="211">
        <f t="shared" si="62"/>
        <v>0</v>
      </c>
      <c r="AE31" s="211">
        <f t="shared" si="10"/>
        <v>0</v>
      </c>
      <c r="AF31" s="211">
        <f t="shared" si="11"/>
        <v>0</v>
      </c>
      <c r="AG31" s="212">
        <f t="shared" si="12"/>
        <v>0</v>
      </c>
      <c r="AH31" s="210">
        <f t="shared" si="13"/>
        <v>0</v>
      </c>
      <c r="AI31" s="211">
        <f t="shared" si="63"/>
        <v>0</v>
      </c>
      <c r="AJ31" s="211">
        <f t="shared" si="14"/>
        <v>0</v>
      </c>
      <c r="AK31" s="211">
        <f t="shared" si="64"/>
        <v>0</v>
      </c>
      <c r="AL31" s="212">
        <f t="shared" si="15"/>
        <v>0</v>
      </c>
      <c r="AM31" s="210">
        <f t="shared" si="16"/>
        <v>0</v>
      </c>
      <c r="AN31" s="211">
        <f t="shared" si="65"/>
        <v>0</v>
      </c>
      <c r="AO31" s="211">
        <f t="shared" si="17"/>
        <v>0</v>
      </c>
      <c r="AP31" s="211">
        <f t="shared" si="66"/>
        <v>0</v>
      </c>
      <c r="AQ31" s="212">
        <f t="shared" si="18"/>
        <v>0</v>
      </c>
      <c r="AR31" s="218" t="b">
        <f t="shared" si="19"/>
        <v>1</v>
      </c>
      <c r="AS31" s="20" t="b">
        <f t="shared" si="20"/>
        <v>0</v>
      </c>
      <c r="AT31" s="20" t="b">
        <f t="shared" si="21"/>
        <v>0</v>
      </c>
      <c r="AU31" s="20" t="b">
        <f t="shared" si="22"/>
        <v>1</v>
      </c>
      <c r="AV31" s="20" t="str">
        <f t="shared" si="23"/>
        <v/>
      </c>
      <c r="AW31" s="20" t="b">
        <f t="shared" si="24"/>
        <v>0</v>
      </c>
      <c r="AX31" s="221" t="b">
        <f>IF(OR(COUNTBLANK(D31:I31)=6,AND(COUNTBLANK(D31:G31)=4,H31=0)),OR(AW32:AW$65),NOT(AW31))</f>
        <v>0</v>
      </c>
      <c r="AY31" s="20" t="b">
        <f t="shared" si="25"/>
        <v>1</v>
      </c>
      <c r="AZ31" s="20" t="b">
        <f t="shared" si="67"/>
        <v>0</v>
      </c>
      <c r="BA31" s="21">
        <f t="shared" si="26"/>
        <v>0</v>
      </c>
      <c r="BB31" s="21" t="str">
        <f t="shared" si="27"/>
        <v/>
      </c>
      <c r="BC31" s="235" t="str">
        <f t="shared" si="28"/>
        <v/>
      </c>
      <c r="BD31" s="236" t="str">
        <f t="shared" si="29"/>
        <v/>
      </c>
      <c r="BE31" s="67" t="str">
        <f t="shared" si="81"/>
        <v/>
      </c>
      <c r="BF31" s="195"/>
      <c r="BG31" s="67" t="str">
        <f t="shared" si="82"/>
        <v/>
      </c>
      <c r="BH31" s="202" t="str">
        <f t="shared" si="68"/>
        <v/>
      </c>
      <c r="BI31" s="781"/>
      <c r="BJ31" s="781"/>
      <c r="BK31" s="224" t="b">
        <f t="shared" si="69"/>
        <v>0</v>
      </c>
      <c r="BL31" s="225" t="b">
        <f t="shared" si="70"/>
        <v>0</v>
      </c>
      <c r="BM31" s="226" t="b">
        <f t="shared" si="30"/>
        <v>0</v>
      </c>
      <c r="BN31" s="224" t="b">
        <f t="shared" si="31"/>
        <v>0</v>
      </c>
      <c r="BO31" s="224" t="b">
        <f t="shared" si="32"/>
        <v>0</v>
      </c>
      <c r="BP31" s="225" t="b">
        <f t="shared" si="33"/>
        <v>0</v>
      </c>
      <c r="BQ31" s="226" t="b">
        <f t="shared" si="34"/>
        <v>0</v>
      </c>
      <c r="BR31" s="224" t="b">
        <f t="shared" si="35"/>
        <v>0</v>
      </c>
      <c r="BS31" s="225" t="b">
        <f t="shared" si="71"/>
        <v>0</v>
      </c>
      <c r="BT31" s="227" t="b">
        <f t="shared" si="36"/>
        <v>0</v>
      </c>
      <c r="BU31" s="228" t="b">
        <f t="shared" si="37"/>
        <v>0</v>
      </c>
      <c r="BV31" s="207" t="str">
        <f t="shared" si="38"/>
        <v/>
      </c>
      <c r="BX31" s="167" t="str">
        <f t="shared" si="39"/>
        <v>no data</v>
      </c>
      <c r="BZ31" s="50">
        <v>6</v>
      </c>
      <c r="CA31" s="50" t="str">
        <f t="shared" si="40"/>
        <v>-</v>
      </c>
      <c r="CC31"/>
      <c r="CD31" s="75"/>
      <c r="CE31" s="73"/>
      <c r="CF31" s="60"/>
      <c r="CG31" s="340"/>
      <c r="CH31" s="333"/>
      <c r="CI31" s="354">
        <f t="shared" si="41"/>
        <v>6</v>
      </c>
      <c r="CJ31" s="503">
        <f t="shared" si="42"/>
        <v>0</v>
      </c>
      <c r="CK31" s="503">
        <f t="shared" si="43"/>
        <v>0</v>
      </c>
      <c r="CL31" s="504" t="str">
        <f t="shared" si="44"/>
        <v/>
      </c>
      <c r="CM31" s="505" t="str">
        <f>IF(AZ31,IF(ISNUMBER(L31),MAX('Adjustment factors'!$S$16,0.2+0.8*L31),IF(ISTEXT(J31),VLOOKUP(J31,Afactors,2,FALSE),"")),"")</f>
        <v/>
      </c>
      <c r="CN31" s="505" t="str">
        <f>IF(AZ31,IF(ISNUMBER(O31),MAX('Adjustment factors'!$S$16,0.2+0.8*O31),IF(ISTEXT(M31),VLOOKUP(M31,Afactors,2,FALSE),"")),"")</f>
        <v/>
      </c>
      <c r="CO31" s="506" t="str">
        <f t="shared" si="72"/>
        <v/>
      </c>
      <c r="CP31" s="340"/>
      <c r="CQ31" s="340"/>
      <c r="CR31" s="340"/>
      <c r="CS31" s="340"/>
      <c r="CT31" s="333"/>
      <c r="CU31" s="333"/>
      <c r="CV31" s="333"/>
      <c r="CW31" s="333"/>
      <c r="CX31" s="333"/>
      <c r="CY31" s="333"/>
      <c r="CZ31" s="333"/>
      <c r="DA31" s="333"/>
      <c r="DB31" s="333"/>
      <c r="DC31" s="333"/>
      <c r="DD31" s="333"/>
      <c r="DF31" s="167" t="str">
        <f t="shared" si="45"/>
        <v>OK</v>
      </c>
      <c r="DG31" s="167" t="str">
        <f t="shared" si="46"/>
        <v>OK</v>
      </c>
      <c r="DH31" s="167" t="str">
        <f t="shared" si="47"/>
        <v>OK</v>
      </c>
      <c r="DI31" s="167" t="str">
        <f t="shared" si="48"/>
        <v>OK</v>
      </c>
      <c r="DJ31" s="168" t="str">
        <f t="shared" si="49"/>
        <v>OK</v>
      </c>
      <c r="DK31" s="153" t="str">
        <f t="shared" si="50"/>
        <v>OK</v>
      </c>
      <c r="DL31" s="153" t="str">
        <f t="shared" si="73"/>
        <v>OK</v>
      </c>
      <c r="DM31" s="153" t="str">
        <f t="shared" si="51"/>
        <v>OK</v>
      </c>
      <c r="DN31" s="153" t="str">
        <f t="shared" si="52"/>
        <v>OK</v>
      </c>
      <c r="DO31" s="153" t="str">
        <f t="shared" si="53"/>
        <v>OK</v>
      </c>
      <c r="DP31" s="153" t="str">
        <f t="shared" si="74"/>
        <v>OK</v>
      </c>
      <c r="DQ31" s="320" t="str">
        <f t="shared" si="75"/>
        <v>OK</v>
      </c>
      <c r="DR31" s="320" t="str">
        <f t="shared" si="75"/>
        <v>OK</v>
      </c>
      <c r="DS31" s="320" t="str">
        <f t="shared" si="75"/>
        <v>OK</v>
      </c>
      <c r="DT31" s="168" t="str">
        <f t="shared" si="54"/>
        <v>OK</v>
      </c>
      <c r="DU31" s="153" t="str">
        <f t="shared" si="76"/>
        <v>OK</v>
      </c>
      <c r="DV31" s="153" t="str">
        <f t="shared" si="55"/>
        <v>OK</v>
      </c>
      <c r="DW31" s="153" t="str">
        <f t="shared" si="77"/>
        <v>OK</v>
      </c>
      <c r="DX31" s="153" t="str">
        <f t="shared" si="56"/>
        <v>OK</v>
      </c>
      <c r="DY31" s="153" t="str">
        <f t="shared" si="57"/>
        <v>OK</v>
      </c>
      <c r="DZ31" s="153" t="str">
        <f t="shared" si="58"/>
        <v>OK</v>
      </c>
      <c r="EA31" s="201" t="str">
        <f t="shared" si="59"/>
        <v>OK</v>
      </c>
      <c r="EB31" s="168" t="str">
        <f t="shared" si="78"/>
        <v>OK</v>
      </c>
      <c r="EC31" s="157">
        <f t="shared" si="79"/>
        <v>0</v>
      </c>
      <c r="ED31" s="156" t="str">
        <f t="shared" si="80"/>
        <v>OK</v>
      </c>
    </row>
    <row r="32" spans="1:134" ht="17.5" hidden="1" x14ac:dyDescent="0.3">
      <c r="A32" s="232"/>
      <c r="B32" s="420" t="str">
        <f t="shared" si="0"/>
        <v>-</v>
      </c>
      <c r="C32" s="329">
        <v>7</v>
      </c>
      <c r="D32" s="589"/>
      <c r="E32" s="590"/>
      <c r="F32" s="591"/>
      <c r="G32" s="592"/>
      <c r="H32" s="769"/>
      <c r="I32" s="770"/>
      <c r="J32" s="593"/>
      <c r="K32" s="596"/>
      <c r="L32" s="597"/>
      <c r="M32" s="595"/>
      <c r="N32" s="596"/>
      <c r="O32" s="597"/>
      <c r="P32" s="501" t="str">
        <f t="shared" si="1"/>
        <v/>
      </c>
      <c r="Q32" s="501" t="str">
        <f t="shared" si="60"/>
        <v/>
      </c>
      <c r="R32" s="502" t="str">
        <f t="shared" si="2"/>
        <v/>
      </c>
      <c r="S32" s="422"/>
      <c r="T32" s="66" t="str">
        <f>IF(AND(ISNUMBER(L32),J32=FixedDim),MAX('Adjustment factors'!$S$16,0.2+0.8*L32),IF(ISTEXT(J32),VLOOKUP(J32,Afactors,2,TRUE),""))</f>
        <v/>
      </c>
      <c r="U32" s="204" t="str">
        <f>IF(AND(ISNUMBER(O32),M32=FixedDim),MAX('Adjustment factors'!$S$16,0.2+0.8*O32),IF(ISTEXT(M32),VLOOKUP(M32,Afactors,2,FALSE),""))</f>
        <v/>
      </c>
      <c r="V32" s="18" t="b">
        <f t="shared" si="61"/>
        <v>0</v>
      </c>
      <c r="W32" s="18" t="b">
        <f t="shared" si="3"/>
        <v>0</v>
      </c>
      <c r="X32" s="17" t="str">
        <f t="shared" si="4"/>
        <v/>
      </c>
      <c r="Y32" s="18" t="str">
        <f t="shared" si="5"/>
        <v/>
      </c>
      <c r="Z32" s="17" t="str">
        <f t="shared" si="6"/>
        <v/>
      </c>
      <c r="AA32" s="17" t="str">
        <f t="shared" si="7"/>
        <v/>
      </c>
      <c r="AB32" s="163" t="str">
        <f t="shared" si="8"/>
        <v/>
      </c>
      <c r="AC32" s="210">
        <f t="shared" si="9"/>
        <v>0</v>
      </c>
      <c r="AD32" s="211">
        <f t="shared" si="62"/>
        <v>0</v>
      </c>
      <c r="AE32" s="211">
        <f t="shared" si="10"/>
        <v>0</v>
      </c>
      <c r="AF32" s="211">
        <f t="shared" si="11"/>
        <v>0</v>
      </c>
      <c r="AG32" s="212">
        <f t="shared" si="12"/>
        <v>0</v>
      </c>
      <c r="AH32" s="210">
        <f t="shared" si="13"/>
        <v>0</v>
      </c>
      <c r="AI32" s="211">
        <f t="shared" si="63"/>
        <v>0</v>
      </c>
      <c r="AJ32" s="211">
        <f t="shared" si="14"/>
        <v>0</v>
      </c>
      <c r="AK32" s="211">
        <f t="shared" si="64"/>
        <v>0</v>
      </c>
      <c r="AL32" s="212">
        <f t="shared" si="15"/>
        <v>0</v>
      </c>
      <c r="AM32" s="210">
        <f t="shared" si="16"/>
        <v>0</v>
      </c>
      <c r="AN32" s="211">
        <f t="shared" si="65"/>
        <v>0</v>
      </c>
      <c r="AO32" s="211">
        <f t="shared" si="17"/>
        <v>0</v>
      </c>
      <c r="AP32" s="211">
        <f t="shared" si="66"/>
        <v>0</v>
      </c>
      <c r="AQ32" s="212">
        <f t="shared" si="18"/>
        <v>0</v>
      </c>
      <c r="AR32" s="218" t="b">
        <f t="shared" si="19"/>
        <v>1</v>
      </c>
      <c r="AS32" s="20" t="b">
        <f t="shared" si="20"/>
        <v>0</v>
      </c>
      <c r="AT32" s="20" t="b">
        <f t="shared" si="21"/>
        <v>0</v>
      </c>
      <c r="AU32" s="20" t="b">
        <f t="shared" si="22"/>
        <v>1</v>
      </c>
      <c r="AV32" s="20" t="str">
        <f t="shared" si="23"/>
        <v/>
      </c>
      <c r="AW32" s="20" t="b">
        <f t="shared" si="24"/>
        <v>0</v>
      </c>
      <c r="AX32" s="221" t="b">
        <f>IF(OR(COUNTBLANK(D32:I32)=6,AND(COUNTBLANK(D32:G32)=4,H32=0)),OR(AW33:AW$65),NOT(AW32))</f>
        <v>0</v>
      </c>
      <c r="AY32" s="20" t="b">
        <f t="shared" si="25"/>
        <v>1</v>
      </c>
      <c r="AZ32" s="20" t="b">
        <f t="shared" si="67"/>
        <v>0</v>
      </c>
      <c r="BA32" s="21">
        <f t="shared" si="26"/>
        <v>0</v>
      </c>
      <c r="BB32" s="21" t="str">
        <f t="shared" si="27"/>
        <v/>
      </c>
      <c r="BC32" s="235" t="str">
        <f t="shared" si="28"/>
        <v/>
      </c>
      <c r="BD32" s="236" t="str">
        <f t="shared" si="29"/>
        <v/>
      </c>
      <c r="BE32" s="67" t="str">
        <f t="shared" si="81"/>
        <v/>
      </c>
      <c r="BF32" s="195"/>
      <c r="BG32" s="67" t="str">
        <f t="shared" si="82"/>
        <v/>
      </c>
      <c r="BH32" s="202" t="str">
        <f t="shared" si="68"/>
        <v/>
      </c>
      <c r="BI32" s="781"/>
      <c r="BJ32" s="781"/>
      <c r="BK32" s="224" t="b">
        <f t="shared" si="69"/>
        <v>0</v>
      </c>
      <c r="BL32" s="225" t="b">
        <f t="shared" si="70"/>
        <v>0</v>
      </c>
      <c r="BM32" s="226" t="b">
        <f t="shared" si="30"/>
        <v>0</v>
      </c>
      <c r="BN32" s="224" t="b">
        <f t="shared" si="31"/>
        <v>0</v>
      </c>
      <c r="BO32" s="224" t="b">
        <f t="shared" si="32"/>
        <v>0</v>
      </c>
      <c r="BP32" s="225" t="b">
        <f t="shared" si="33"/>
        <v>0</v>
      </c>
      <c r="BQ32" s="226" t="b">
        <f t="shared" si="34"/>
        <v>0</v>
      </c>
      <c r="BR32" s="224" t="b">
        <f t="shared" si="35"/>
        <v>0</v>
      </c>
      <c r="BS32" s="225" t="b">
        <f t="shared" si="71"/>
        <v>0</v>
      </c>
      <c r="BT32" s="227" t="b">
        <f t="shared" si="36"/>
        <v>0</v>
      </c>
      <c r="BU32" s="228" t="b">
        <f t="shared" si="37"/>
        <v>0</v>
      </c>
      <c r="BV32" s="207" t="str">
        <f t="shared" si="38"/>
        <v/>
      </c>
      <c r="BX32" s="167" t="str">
        <f t="shared" si="39"/>
        <v>no data</v>
      </c>
      <c r="BZ32" s="50">
        <v>7</v>
      </c>
      <c r="CA32" s="50" t="str">
        <f t="shared" si="40"/>
        <v>-</v>
      </c>
      <c r="CC32"/>
      <c r="CD32" s="75"/>
      <c r="CE32" s="73"/>
      <c r="CF32" s="60"/>
      <c r="CG32" s="340"/>
      <c r="CH32" s="333"/>
      <c r="CI32" s="354">
        <f t="shared" si="41"/>
        <v>7</v>
      </c>
      <c r="CJ32" s="503">
        <f t="shared" si="42"/>
        <v>0</v>
      </c>
      <c r="CK32" s="503">
        <f t="shared" si="43"/>
        <v>0</v>
      </c>
      <c r="CL32" s="504" t="str">
        <f t="shared" si="44"/>
        <v/>
      </c>
      <c r="CM32" s="505" t="str">
        <f>IF(AZ32,IF(ISNUMBER(L32),MAX('Adjustment factors'!$S$16,0.2+0.8*L32),IF(ISTEXT(J32),VLOOKUP(J32,Afactors,2,FALSE),"")),"")</f>
        <v/>
      </c>
      <c r="CN32" s="505" t="str">
        <f>IF(AZ32,IF(ISNUMBER(O32),MAX('Adjustment factors'!$S$16,0.2+0.8*O32),IF(ISTEXT(M32),VLOOKUP(M32,Afactors,2,FALSE),"")),"")</f>
        <v/>
      </c>
      <c r="CO32" s="506" t="str">
        <f t="shared" si="72"/>
        <v/>
      </c>
      <c r="CP32" s="340"/>
      <c r="CQ32" s="340"/>
      <c r="CR32" s="340"/>
      <c r="CS32" s="340"/>
      <c r="CT32" s="333"/>
      <c r="CU32" s="333"/>
      <c r="CV32" s="333"/>
      <c r="CW32" s="333"/>
      <c r="CX32" s="333"/>
      <c r="CY32" s="333"/>
      <c r="CZ32" s="333"/>
      <c r="DA32" s="333"/>
      <c r="DB32" s="333"/>
      <c r="DC32" s="333"/>
      <c r="DD32" s="333"/>
      <c r="DF32" s="167" t="str">
        <f t="shared" si="45"/>
        <v>OK</v>
      </c>
      <c r="DG32" s="167" t="str">
        <f t="shared" si="46"/>
        <v>OK</v>
      </c>
      <c r="DH32" s="167" t="str">
        <f t="shared" si="47"/>
        <v>OK</v>
      </c>
      <c r="DI32" s="167" t="str">
        <f t="shared" si="48"/>
        <v>OK</v>
      </c>
      <c r="DJ32" s="168" t="str">
        <f t="shared" si="49"/>
        <v>OK</v>
      </c>
      <c r="DK32" s="153" t="str">
        <f t="shared" si="50"/>
        <v>OK</v>
      </c>
      <c r="DL32" s="153" t="str">
        <f t="shared" si="73"/>
        <v>OK</v>
      </c>
      <c r="DM32" s="153" t="str">
        <f t="shared" si="51"/>
        <v>OK</v>
      </c>
      <c r="DN32" s="153" t="str">
        <f t="shared" si="52"/>
        <v>OK</v>
      </c>
      <c r="DO32" s="153" t="str">
        <f t="shared" si="53"/>
        <v>OK</v>
      </c>
      <c r="DP32" s="153" t="str">
        <f t="shared" si="74"/>
        <v>OK</v>
      </c>
      <c r="DQ32" s="320" t="str">
        <f t="shared" si="75"/>
        <v>OK</v>
      </c>
      <c r="DR32" s="320" t="str">
        <f t="shared" si="75"/>
        <v>OK</v>
      </c>
      <c r="DS32" s="320" t="str">
        <f t="shared" si="75"/>
        <v>OK</v>
      </c>
      <c r="DT32" s="168" t="str">
        <f t="shared" si="54"/>
        <v>OK</v>
      </c>
      <c r="DU32" s="153" t="str">
        <f t="shared" si="76"/>
        <v>OK</v>
      </c>
      <c r="DV32" s="153" t="str">
        <f t="shared" si="55"/>
        <v>OK</v>
      </c>
      <c r="DW32" s="153" t="str">
        <f t="shared" si="77"/>
        <v>OK</v>
      </c>
      <c r="DX32" s="153" t="str">
        <f t="shared" si="56"/>
        <v>OK</v>
      </c>
      <c r="DY32" s="153" t="str">
        <f t="shared" si="57"/>
        <v>OK</v>
      </c>
      <c r="DZ32" s="153" t="str">
        <f t="shared" si="58"/>
        <v>OK</v>
      </c>
      <c r="EA32" s="201" t="str">
        <f t="shared" si="59"/>
        <v>OK</v>
      </c>
      <c r="EB32" s="168" t="str">
        <f t="shared" si="78"/>
        <v>OK</v>
      </c>
      <c r="EC32" s="157">
        <f t="shared" si="79"/>
        <v>0</v>
      </c>
      <c r="ED32" s="156" t="str">
        <f t="shared" si="80"/>
        <v>OK</v>
      </c>
    </row>
    <row r="33" spans="1:134" ht="17.5" hidden="1" x14ac:dyDescent="0.3">
      <c r="A33" s="232"/>
      <c r="B33" s="420" t="str">
        <f t="shared" si="0"/>
        <v>-</v>
      </c>
      <c r="C33" s="329">
        <v>8</v>
      </c>
      <c r="D33" s="589"/>
      <c r="E33" s="590"/>
      <c r="F33" s="591"/>
      <c r="G33" s="592"/>
      <c r="H33" s="769"/>
      <c r="I33" s="770"/>
      <c r="J33" s="593"/>
      <c r="K33" s="596"/>
      <c r="L33" s="597"/>
      <c r="M33" s="595"/>
      <c r="N33" s="596"/>
      <c r="O33" s="597"/>
      <c r="P33" s="501" t="str">
        <f t="shared" si="1"/>
        <v/>
      </c>
      <c r="Q33" s="501" t="str">
        <f t="shared" si="60"/>
        <v/>
      </c>
      <c r="R33" s="502" t="str">
        <f t="shared" si="2"/>
        <v/>
      </c>
      <c r="S33" s="422"/>
      <c r="T33" s="66" t="str">
        <f>IF(AND(ISNUMBER(L33),J33=FixedDim),MAX('Adjustment factors'!$S$16,0.2+0.8*L33),IF(ISTEXT(J33),VLOOKUP(J33,Afactors,2,TRUE),""))</f>
        <v/>
      </c>
      <c r="U33" s="204" t="str">
        <f>IF(AND(ISNUMBER(O33),M33=FixedDim),MAX('Adjustment factors'!$S$16,0.2+0.8*O33),IF(ISTEXT(M33),VLOOKUP(M33,Afactors,2,FALSE),""))</f>
        <v/>
      </c>
      <c r="V33" s="18" t="b">
        <f t="shared" si="61"/>
        <v>0</v>
      </c>
      <c r="W33" s="18" t="b">
        <f t="shared" si="3"/>
        <v>0</v>
      </c>
      <c r="X33" s="17" t="str">
        <f t="shared" si="4"/>
        <v/>
      </c>
      <c r="Y33" s="18" t="str">
        <f t="shared" si="5"/>
        <v/>
      </c>
      <c r="Z33" s="17" t="str">
        <f t="shared" si="6"/>
        <v/>
      </c>
      <c r="AA33" s="17" t="str">
        <f t="shared" si="7"/>
        <v/>
      </c>
      <c r="AB33" s="163" t="str">
        <f t="shared" si="8"/>
        <v/>
      </c>
      <c r="AC33" s="210">
        <f t="shared" si="9"/>
        <v>0</v>
      </c>
      <c r="AD33" s="211">
        <f t="shared" si="62"/>
        <v>0</v>
      </c>
      <c r="AE33" s="211">
        <f t="shared" si="10"/>
        <v>0</v>
      </c>
      <c r="AF33" s="211">
        <f t="shared" si="11"/>
        <v>0</v>
      </c>
      <c r="AG33" s="212">
        <f t="shared" si="12"/>
        <v>0</v>
      </c>
      <c r="AH33" s="210">
        <f t="shared" si="13"/>
        <v>0</v>
      </c>
      <c r="AI33" s="211">
        <f t="shared" si="63"/>
        <v>0</v>
      </c>
      <c r="AJ33" s="211">
        <f t="shared" si="14"/>
        <v>0</v>
      </c>
      <c r="AK33" s="211">
        <f t="shared" si="64"/>
        <v>0</v>
      </c>
      <c r="AL33" s="212">
        <f t="shared" si="15"/>
        <v>0</v>
      </c>
      <c r="AM33" s="210">
        <f t="shared" si="16"/>
        <v>0</v>
      </c>
      <c r="AN33" s="211">
        <f t="shared" si="65"/>
        <v>0</v>
      </c>
      <c r="AO33" s="211">
        <f t="shared" si="17"/>
        <v>0</v>
      </c>
      <c r="AP33" s="211">
        <f t="shared" si="66"/>
        <v>0</v>
      </c>
      <c r="AQ33" s="212">
        <f t="shared" si="18"/>
        <v>0</v>
      </c>
      <c r="AR33" s="218" t="b">
        <f t="shared" si="19"/>
        <v>1</v>
      </c>
      <c r="AS33" s="20" t="b">
        <f t="shared" si="20"/>
        <v>0</v>
      </c>
      <c r="AT33" s="20" t="b">
        <f t="shared" si="21"/>
        <v>0</v>
      </c>
      <c r="AU33" s="20" t="b">
        <f t="shared" si="22"/>
        <v>1</v>
      </c>
      <c r="AV33" s="20" t="str">
        <f t="shared" si="23"/>
        <v/>
      </c>
      <c r="AW33" s="20" t="b">
        <f t="shared" si="24"/>
        <v>0</v>
      </c>
      <c r="AX33" s="221" t="b">
        <f>IF(OR(COUNTBLANK(D33:I33)=6,AND(COUNTBLANK(D33:G33)=4,H33=0)),OR(AW34:AW$65),NOT(AW33))</f>
        <v>0</v>
      </c>
      <c r="AY33" s="20" t="b">
        <f t="shared" si="25"/>
        <v>1</v>
      </c>
      <c r="AZ33" s="20" t="b">
        <f t="shared" si="67"/>
        <v>0</v>
      </c>
      <c r="BA33" s="21">
        <f t="shared" si="26"/>
        <v>0</v>
      </c>
      <c r="BB33" s="21" t="str">
        <f t="shared" si="27"/>
        <v/>
      </c>
      <c r="BC33" s="235" t="str">
        <f t="shared" si="28"/>
        <v/>
      </c>
      <c r="BD33" s="236" t="str">
        <f t="shared" si="29"/>
        <v/>
      </c>
      <c r="BE33" s="67" t="str">
        <f t="shared" si="81"/>
        <v/>
      </c>
      <c r="BF33" s="195"/>
      <c r="BG33" s="67" t="str">
        <f t="shared" si="82"/>
        <v/>
      </c>
      <c r="BH33" s="202" t="str">
        <f t="shared" si="68"/>
        <v/>
      </c>
      <c r="BI33" s="781"/>
      <c r="BJ33" s="781"/>
      <c r="BK33" s="224" t="b">
        <f t="shared" si="69"/>
        <v>0</v>
      </c>
      <c r="BL33" s="225" t="b">
        <f t="shared" si="70"/>
        <v>0</v>
      </c>
      <c r="BM33" s="226" t="b">
        <f t="shared" si="30"/>
        <v>0</v>
      </c>
      <c r="BN33" s="224" t="b">
        <f t="shared" si="31"/>
        <v>0</v>
      </c>
      <c r="BO33" s="224" t="b">
        <f t="shared" si="32"/>
        <v>0</v>
      </c>
      <c r="BP33" s="225" t="b">
        <f t="shared" si="33"/>
        <v>0</v>
      </c>
      <c r="BQ33" s="226" t="b">
        <f t="shared" si="34"/>
        <v>0</v>
      </c>
      <c r="BR33" s="224" t="b">
        <f t="shared" si="35"/>
        <v>0</v>
      </c>
      <c r="BS33" s="225" t="b">
        <f t="shared" si="71"/>
        <v>0</v>
      </c>
      <c r="BT33" s="227" t="b">
        <f t="shared" si="36"/>
        <v>0</v>
      </c>
      <c r="BU33" s="228" t="b">
        <f t="shared" si="37"/>
        <v>0</v>
      </c>
      <c r="BV33" s="207" t="str">
        <f t="shared" si="38"/>
        <v/>
      </c>
      <c r="BX33" s="167" t="str">
        <f t="shared" si="39"/>
        <v>no data</v>
      </c>
      <c r="BZ33" s="50">
        <v>8</v>
      </c>
      <c r="CA33" s="50" t="str">
        <f t="shared" si="40"/>
        <v>-</v>
      </c>
      <c r="CC33"/>
      <c r="CD33" s="75"/>
      <c r="CE33" s="74"/>
      <c r="CF33" s="60"/>
      <c r="CG33" s="340"/>
      <c r="CH33" s="333"/>
      <c r="CI33" s="354">
        <f t="shared" si="41"/>
        <v>8</v>
      </c>
      <c r="CJ33" s="503">
        <f t="shared" si="42"/>
        <v>0</v>
      </c>
      <c r="CK33" s="503">
        <f t="shared" si="43"/>
        <v>0</v>
      </c>
      <c r="CL33" s="504" t="str">
        <f t="shared" si="44"/>
        <v/>
      </c>
      <c r="CM33" s="505" t="str">
        <f>IF(AZ33,IF(ISNUMBER(L33),MAX('Adjustment factors'!$S$16,0.2+0.8*L33),IF(ISTEXT(J33),VLOOKUP(J33,Afactors,2,FALSE),"")),"")</f>
        <v/>
      </c>
      <c r="CN33" s="505" t="str">
        <f>IF(AZ33,IF(ISNUMBER(O33),MAX('Adjustment factors'!$S$16,0.2+0.8*O33),IF(ISTEXT(M33),VLOOKUP(M33,Afactors,2,FALSE),"")),"")</f>
        <v/>
      </c>
      <c r="CO33" s="506" t="str">
        <f t="shared" si="72"/>
        <v/>
      </c>
      <c r="CP33" s="340"/>
      <c r="CQ33" s="340"/>
      <c r="CR33" s="340"/>
      <c r="CS33" s="340"/>
      <c r="CT33" s="333"/>
      <c r="CU33" s="333"/>
      <c r="CV33" s="333"/>
      <c r="CW33" s="333"/>
      <c r="CX33" s="333"/>
      <c r="CY33" s="333"/>
      <c r="CZ33" s="333"/>
      <c r="DA33" s="333"/>
      <c r="DB33" s="333"/>
      <c r="DC33" s="333"/>
      <c r="DD33" s="333"/>
      <c r="DF33" s="167" t="str">
        <f t="shared" si="45"/>
        <v>OK</v>
      </c>
      <c r="DG33" s="167" t="str">
        <f t="shared" si="46"/>
        <v>OK</v>
      </c>
      <c r="DH33" s="167" t="str">
        <f t="shared" si="47"/>
        <v>OK</v>
      </c>
      <c r="DI33" s="167" t="str">
        <f t="shared" si="48"/>
        <v>OK</v>
      </c>
      <c r="DJ33" s="168" t="str">
        <f t="shared" si="49"/>
        <v>OK</v>
      </c>
      <c r="DK33" s="153" t="str">
        <f t="shared" si="50"/>
        <v>OK</v>
      </c>
      <c r="DL33" s="153" t="str">
        <f t="shared" si="73"/>
        <v>OK</v>
      </c>
      <c r="DM33" s="153" t="str">
        <f t="shared" si="51"/>
        <v>OK</v>
      </c>
      <c r="DN33" s="153" t="str">
        <f t="shared" si="52"/>
        <v>OK</v>
      </c>
      <c r="DO33" s="153" t="str">
        <f t="shared" si="53"/>
        <v>OK</v>
      </c>
      <c r="DP33" s="153" t="str">
        <f t="shared" si="74"/>
        <v>OK</v>
      </c>
      <c r="DQ33" s="320" t="str">
        <f t="shared" si="75"/>
        <v>OK</v>
      </c>
      <c r="DR33" s="320" t="str">
        <f t="shared" si="75"/>
        <v>OK</v>
      </c>
      <c r="DS33" s="320" t="str">
        <f t="shared" si="75"/>
        <v>OK</v>
      </c>
      <c r="DT33" s="168" t="str">
        <f t="shared" si="54"/>
        <v>OK</v>
      </c>
      <c r="DU33" s="153" t="str">
        <f t="shared" si="76"/>
        <v>OK</v>
      </c>
      <c r="DV33" s="153" t="str">
        <f t="shared" si="55"/>
        <v>OK</v>
      </c>
      <c r="DW33" s="153" t="str">
        <f t="shared" si="77"/>
        <v>OK</v>
      </c>
      <c r="DX33" s="153" t="str">
        <f t="shared" si="56"/>
        <v>OK</v>
      </c>
      <c r="DY33" s="153" t="str">
        <f t="shared" si="57"/>
        <v>OK</v>
      </c>
      <c r="DZ33" s="153" t="str">
        <f t="shared" si="58"/>
        <v>OK</v>
      </c>
      <c r="EA33" s="201" t="str">
        <f t="shared" si="59"/>
        <v>OK</v>
      </c>
      <c r="EB33" s="168" t="str">
        <f t="shared" si="78"/>
        <v>OK</v>
      </c>
      <c r="EC33" s="157">
        <f t="shared" si="79"/>
        <v>0</v>
      </c>
      <c r="ED33" s="156" t="str">
        <f t="shared" si="80"/>
        <v>OK</v>
      </c>
    </row>
    <row r="34" spans="1:134" ht="17.5" hidden="1" x14ac:dyDescent="0.3">
      <c r="A34" s="232"/>
      <c r="B34" s="420" t="str">
        <f t="shared" si="0"/>
        <v>-</v>
      </c>
      <c r="C34" s="329">
        <v>9</v>
      </c>
      <c r="D34" s="589"/>
      <c r="E34" s="590"/>
      <c r="F34" s="591"/>
      <c r="G34" s="592"/>
      <c r="H34" s="769"/>
      <c r="I34" s="770"/>
      <c r="J34" s="593"/>
      <c r="K34" s="596"/>
      <c r="L34" s="597"/>
      <c r="M34" s="595"/>
      <c r="N34" s="596"/>
      <c r="O34" s="597"/>
      <c r="P34" s="501" t="str">
        <f t="shared" si="1"/>
        <v/>
      </c>
      <c r="Q34" s="501" t="str">
        <f t="shared" si="60"/>
        <v/>
      </c>
      <c r="R34" s="502" t="str">
        <f t="shared" si="2"/>
        <v/>
      </c>
      <c r="S34" s="422"/>
      <c r="T34" s="66" t="str">
        <f>IF(AND(ISNUMBER(L34),J34=FixedDim),MAX('Adjustment factors'!$S$16,0.2+0.8*L34),IF(ISTEXT(J34),VLOOKUP(J34,Afactors,2,TRUE),""))</f>
        <v/>
      </c>
      <c r="U34" s="204" t="str">
        <f>IF(AND(ISNUMBER(O34),M34=FixedDim),MAX('Adjustment factors'!$S$16,0.2+0.8*O34),IF(ISTEXT(M34),VLOOKUP(M34,Afactors,2,FALSE),""))</f>
        <v/>
      </c>
      <c r="V34" s="18" t="b">
        <f t="shared" si="61"/>
        <v>0</v>
      </c>
      <c r="W34" s="18" t="b">
        <f t="shared" si="3"/>
        <v>0</v>
      </c>
      <c r="X34" s="17" t="str">
        <f t="shared" si="4"/>
        <v/>
      </c>
      <c r="Y34" s="18" t="str">
        <f t="shared" si="5"/>
        <v/>
      </c>
      <c r="Z34" s="17" t="str">
        <f t="shared" si="6"/>
        <v/>
      </c>
      <c r="AA34" s="17" t="str">
        <f t="shared" si="7"/>
        <v/>
      </c>
      <c r="AB34" s="163" t="str">
        <f t="shared" si="8"/>
        <v/>
      </c>
      <c r="AC34" s="210">
        <f t="shared" si="9"/>
        <v>0</v>
      </c>
      <c r="AD34" s="211">
        <f t="shared" si="62"/>
        <v>0</v>
      </c>
      <c r="AE34" s="211">
        <f t="shared" si="10"/>
        <v>0</v>
      </c>
      <c r="AF34" s="211">
        <f t="shared" si="11"/>
        <v>0</v>
      </c>
      <c r="AG34" s="212">
        <f t="shared" si="12"/>
        <v>0</v>
      </c>
      <c r="AH34" s="210">
        <f t="shared" si="13"/>
        <v>0</v>
      </c>
      <c r="AI34" s="211">
        <f t="shared" si="63"/>
        <v>0</v>
      </c>
      <c r="AJ34" s="211">
        <f t="shared" si="14"/>
        <v>0</v>
      </c>
      <c r="AK34" s="211">
        <f t="shared" si="64"/>
        <v>0</v>
      </c>
      <c r="AL34" s="212">
        <f t="shared" si="15"/>
        <v>0</v>
      </c>
      <c r="AM34" s="210">
        <f t="shared" si="16"/>
        <v>0</v>
      </c>
      <c r="AN34" s="211">
        <f t="shared" si="65"/>
        <v>0</v>
      </c>
      <c r="AO34" s="211">
        <f t="shared" si="17"/>
        <v>0</v>
      </c>
      <c r="AP34" s="211">
        <f t="shared" si="66"/>
        <v>0</v>
      </c>
      <c r="AQ34" s="212">
        <f t="shared" si="18"/>
        <v>0</v>
      </c>
      <c r="AR34" s="218" t="b">
        <f t="shared" si="19"/>
        <v>1</v>
      </c>
      <c r="AS34" s="20" t="b">
        <f t="shared" si="20"/>
        <v>0</v>
      </c>
      <c r="AT34" s="20" t="b">
        <f t="shared" si="21"/>
        <v>0</v>
      </c>
      <c r="AU34" s="20" t="b">
        <f t="shared" si="22"/>
        <v>1</v>
      </c>
      <c r="AV34" s="20" t="str">
        <f t="shared" si="23"/>
        <v/>
      </c>
      <c r="AW34" s="20" t="b">
        <f t="shared" si="24"/>
        <v>0</v>
      </c>
      <c r="AX34" s="221" t="b">
        <f>IF(OR(COUNTBLANK(D34:I34)=6,AND(COUNTBLANK(D34:G34)=4,H34=0)),OR(AW35:AW$65),NOT(AW34))</f>
        <v>0</v>
      </c>
      <c r="AY34" s="20" t="b">
        <f t="shared" si="25"/>
        <v>1</v>
      </c>
      <c r="AZ34" s="20" t="b">
        <f t="shared" si="67"/>
        <v>0</v>
      </c>
      <c r="BA34" s="21">
        <f t="shared" si="26"/>
        <v>0</v>
      </c>
      <c r="BB34" s="21" t="str">
        <f t="shared" si="27"/>
        <v/>
      </c>
      <c r="BC34" s="235" t="str">
        <f t="shared" si="28"/>
        <v/>
      </c>
      <c r="BD34" s="236" t="str">
        <f t="shared" si="29"/>
        <v/>
      </c>
      <c r="BE34" s="67" t="str">
        <f t="shared" si="81"/>
        <v/>
      </c>
      <c r="BF34" s="195"/>
      <c r="BG34" s="67" t="str">
        <f t="shared" si="82"/>
        <v/>
      </c>
      <c r="BH34" s="202" t="str">
        <f t="shared" si="68"/>
        <v/>
      </c>
      <c r="BI34" s="781"/>
      <c r="BJ34" s="781"/>
      <c r="BK34" s="224" t="b">
        <f t="shared" si="69"/>
        <v>0</v>
      </c>
      <c r="BL34" s="225" t="b">
        <f t="shared" si="70"/>
        <v>0</v>
      </c>
      <c r="BM34" s="226" t="b">
        <f t="shared" si="30"/>
        <v>0</v>
      </c>
      <c r="BN34" s="224" t="b">
        <f t="shared" si="31"/>
        <v>0</v>
      </c>
      <c r="BO34" s="224" t="b">
        <f t="shared" si="32"/>
        <v>0</v>
      </c>
      <c r="BP34" s="225" t="b">
        <f t="shared" si="33"/>
        <v>0</v>
      </c>
      <c r="BQ34" s="226" t="b">
        <f t="shared" si="34"/>
        <v>0</v>
      </c>
      <c r="BR34" s="224" t="b">
        <f t="shared" si="35"/>
        <v>0</v>
      </c>
      <c r="BS34" s="225" t="b">
        <f t="shared" si="71"/>
        <v>0</v>
      </c>
      <c r="BT34" s="227" t="b">
        <f t="shared" si="36"/>
        <v>0</v>
      </c>
      <c r="BU34" s="228" t="b">
        <f t="shared" si="37"/>
        <v>0</v>
      </c>
      <c r="BV34" s="207" t="str">
        <f t="shared" si="38"/>
        <v/>
      </c>
      <c r="BX34" s="167" t="str">
        <f t="shared" si="39"/>
        <v>no data</v>
      </c>
      <c r="BZ34" s="50">
        <v>9</v>
      </c>
      <c r="CA34" s="50" t="str">
        <f t="shared" si="40"/>
        <v>-</v>
      </c>
      <c r="CC34"/>
      <c r="CD34" s="75"/>
      <c r="CE34" s="74"/>
      <c r="CF34" s="60"/>
      <c r="CG34" s="340"/>
      <c r="CH34" s="333"/>
      <c r="CI34" s="354">
        <f t="shared" si="41"/>
        <v>9</v>
      </c>
      <c r="CJ34" s="503">
        <f t="shared" si="42"/>
        <v>0</v>
      </c>
      <c r="CK34" s="503">
        <f t="shared" si="43"/>
        <v>0</v>
      </c>
      <c r="CL34" s="504" t="str">
        <f t="shared" si="44"/>
        <v/>
      </c>
      <c r="CM34" s="505" t="str">
        <f>IF(AZ34,IF(ISNUMBER(L34),MAX('Adjustment factors'!$S$16,0.2+0.8*L34),IF(ISTEXT(J34),VLOOKUP(J34,Afactors,2,FALSE),"")),"")</f>
        <v/>
      </c>
      <c r="CN34" s="505" t="str">
        <f>IF(AZ34,IF(ISNUMBER(O34),MAX('Adjustment factors'!$S$16,0.2+0.8*O34),IF(ISTEXT(M34),VLOOKUP(M34,Afactors,2,FALSE),"")),"")</f>
        <v/>
      </c>
      <c r="CO34" s="506" t="str">
        <f t="shared" si="72"/>
        <v/>
      </c>
      <c r="CP34" s="340"/>
      <c r="CQ34" s="340"/>
      <c r="CR34" s="340"/>
      <c r="CS34" s="340"/>
      <c r="CT34" s="333"/>
      <c r="CU34" s="333"/>
      <c r="CV34" s="333"/>
      <c r="CW34" s="333"/>
      <c r="CX34" s="333"/>
      <c r="CY34" s="333"/>
      <c r="CZ34" s="333"/>
      <c r="DA34" s="333"/>
      <c r="DB34" s="333"/>
      <c r="DC34" s="333"/>
      <c r="DD34" s="333"/>
      <c r="DF34" s="167" t="str">
        <f t="shared" si="45"/>
        <v>OK</v>
      </c>
      <c r="DG34" s="167" t="str">
        <f t="shared" si="46"/>
        <v>OK</v>
      </c>
      <c r="DH34" s="167" t="str">
        <f t="shared" si="47"/>
        <v>OK</v>
      </c>
      <c r="DI34" s="167" t="str">
        <f t="shared" si="48"/>
        <v>OK</v>
      </c>
      <c r="DJ34" s="168" t="str">
        <f t="shared" si="49"/>
        <v>OK</v>
      </c>
      <c r="DK34" s="153" t="str">
        <f t="shared" si="50"/>
        <v>OK</v>
      </c>
      <c r="DL34" s="153" t="str">
        <f t="shared" si="73"/>
        <v>OK</v>
      </c>
      <c r="DM34" s="153" t="str">
        <f t="shared" si="51"/>
        <v>OK</v>
      </c>
      <c r="DN34" s="153" t="str">
        <f t="shared" si="52"/>
        <v>OK</v>
      </c>
      <c r="DO34" s="153" t="str">
        <f t="shared" si="53"/>
        <v>OK</v>
      </c>
      <c r="DP34" s="153" t="str">
        <f t="shared" si="74"/>
        <v>OK</v>
      </c>
      <c r="DQ34" s="320" t="str">
        <f t="shared" si="75"/>
        <v>OK</v>
      </c>
      <c r="DR34" s="320" t="str">
        <f t="shared" si="75"/>
        <v>OK</v>
      </c>
      <c r="DS34" s="320" t="str">
        <f t="shared" si="75"/>
        <v>OK</v>
      </c>
      <c r="DT34" s="168" t="str">
        <f t="shared" si="54"/>
        <v>OK</v>
      </c>
      <c r="DU34" s="153" t="str">
        <f t="shared" si="76"/>
        <v>OK</v>
      </c>
      <c r="DV34" s="153" t="str">
        <f t="shared" si="55"/>
        <v>OK</v>
      </c>
      <c r="DW34" s="153" t="str">
        <f t="shared" si="77"/>
        <v>OK</v>
      </c>
      <c r="DX34" s="153" t="str">
        <f t="shared" si="56"/>
        <v>OK</v>
      </c>
      <c r="DY34" s="153" t="str">
        <f t="shared" si="57"/>
        <v>OK</v>
      </c>
      <c r="DZ34" s="153" t="str">
        <f t="shared" si="58"/>
        <v>OK</v>
      </c>
      <c r="EA34" s="201" t="str">
        <f t="shared" si="59"/>
        <v>OK</v>
      </c>
      <c r="EB34" s="168" t="str">
        <f t="shared" si="78"/>
        <v>OK</v>
      </c>
      <c r="EC34" s="157">
        <f t="shared" si="79"/>
        <v>0</v>
      </c>
      <c r="ED34" s="156" t="str">
        <f t="shared" si="80"/>
        <v>OK</v>
      </c>
    </row>
    <row r="35" spans="1:134" ht="17.5" hidden="1" x14ac:dyDescent="0.3">
      <c r="A35" s="232"/>
      <c r="B35" s="420" t="str">
        <f t="shared" si="0"/>
        <v>-</v>
      </c>
      <c r="C35" s="329">
        <v>10</v>
      </c>
      <c r="D35" s="589"/>
      <c r="E35" s="590"/>
      <c r="F35" s="591"/>
      <c r="G35" s="592"/>
      <c r="H35" s="769"/>
      <c r="I35" s="770"/>
      <c r="J35" s="593"/>
      <c r="K35" s="596"/>
      <c r="L35" s="597"/>
      <c r="M35" s="595"/>
      <c r="N35" s="596"/>
      <c r="O35" s="597"/>
      <c r="P35" s="501" t="str">
        <f t="shared" si="1"/>
        <v/>
      </c>
      <c r="Q35" s="501" t="str">
        <f t="shared" si="60"/>
        <v/>
      </c>
      <c r="R35" s="502" t="str">
        <f t="shared" si="2"/>
        <v/>
      </c>
      <c r="S35" s="422"/>
      <c r="T35" s="66" t="str">
        <f>IF(AND(ISNUMBER(L35),J35=FixedDim),MAX('Adjustment factors'!$S$16,0.2+0.8*L35),IF(ISTEXT(J35),VLOOKUP(J35,Afactors,2,TRUE),""))</f>
        <v/>
      </c>
      <c r="U35" s="204" t="str">
        <f>IF(AND(ISNUMBER(O35),M35=FixedDim),MAX('Adjustment factors'!$S$16,0.2+0.8*O35),IF(ISTEXT(M35),VLOOKUP(M35,Afactors,2,FALSE),""))</f>
        <v/>
      </c>
      <c r="V35" s="18" t="b">
        <f t="shared" si="61"/>
        <v>0</v>
      </c>
      <c r="W35" s="18" t="b">
        <f t="shared" si="3"/>
        <v>0</v>
      </c>
      <c r="X35" s="17" t="str">
        <f t="shared" si="4"/>
        <v/>
      </c>
      <c r="Y35" s="18" t="str">
        <f t="shared" si="5"/>
        <v/>
      </c>
      <c r="Z35" s="17" t="str">
        <f t="shared" si="6"/>
        <v/>
      </c>
      <c r="AA35" s="17" t="str">
        <f t="shared" si="7"/>
        <v/>
      </c>
      <c r="AB35" s="163" t="str">
        <f t="shared" si="8"/>
        <v/>
      </c>
      <c r="AC35" s="210">
        <f t="shared" si="9"/>
        <v>0</v>
      </c>
      <c r="AD35" s="211">
        <f t="shared" si="62"/>
        <v>0</v>
      </c>
      <c r="AE35" s="211">
        <f t="shared" si="10"/>
        <v>0</v>
      </c>
      <c r="AF35" s="211">
        <f t="shared" si="11"/>
        <v>0</v>
      </c>
      <c r="AG35" s="212">
        <f t="shared" si="12"/>
        <v>0</v>
      </c>
      <c r="AH35" s="210">
        <f t="shared" si="13"/>
        <v>0</v>
      </c>
      <c r="AI35" s="211">
        <f t="shared" si="63"/>
        <v>0</v>
      </c>
      <c r="AJ35" s="211">
        <f t="shared" si="14"/>
        <v>0</v>
      </c>
      <c r="AK35" s="211">
        <f t="shared" si="64"/>
        <v>0</v>
      </c>
      <c r="AL35" s="212">
        <f t="shared" si="15"/>
        <v>0</v>
      </c>
      <c r="AM35" s="210">
        <f t="shared" si="16"/>
        <v>0</v>
      </c>
      <c r="AN35" s="211">
        <f t="shared" si="65"/>
        <v>0</v>
      </c>
      <c r="AO35" s="211">
        <f t="shared" si="17"/>
        <v>0</v>
      </c>
      <c r="AP35" s="211">
        <f t="shared" si="66"/>
        <v>0</v>
      </c>
      <c r="AQ35" s="212">
        <f t="shared" si="18"/>
        <v>0</v>
      </c>
      <c r="AR35" s="218" t="b">
        <f t="shared" si="19"/>
        <v>1</v>
      </c>
      <c r="AS35" s="20" t="b">
        <f t="shared" si="20"/>
        <v>0</v>
      </c>
      <c r="AT35" s="20" t="b">
        <f t="shared" si="21"/>
        <v>0</v>
      </c>
      <c r="AU35" s="20" t="b">
        <f t="shared" si="22"/>
        <v>1</v>
      </c>
      <c r="AV35" s="20" t="str">
        <f t="shared" si="23"/>
        <v/>
      </c>
      <c r="AW35" s="20" t="b">
        <f t="shared" si="24"/>
        <v>0</v>
      </c>
      <c r="AX35" s="221" t="b">
        <f>IF(OR(COUNTBLANK(D35:I35)=6,AND(COUNTBLANK(D35:G35)=4,H35=0)),OR(AW36:AW$65),NOT(AW35))</f>
        <v>0</v>
      </c>
      <c r="AY35" s="20" t="b">
        <f t="shared" si="25"/>
        <v>1</v>
      </c>
      <c r="AZ35" s="20" t="b">
        <f t="shared" si="67"/>
        <v>0</v>
      </c>
      <c r="BA35" s="21">
        <f t="shared" si="26"/>
        <v>0</v>
      </c>
      <c r="BB35" s="21" t="str">
        <f t="shared" si="27"/>
        <v/>
      </c>
      <c r="BC35" s="235" t="str">
        <f t="shared" si="28"/>
        <v/>
      </c>
      <c r="BD35" s="236" t="str">
        <f t="shared" si="29"/>
        <v/>
      </c>
      <c r="BE35" s="67" t="str">
        <f t="shared" si="81"/>
        <v/>
      </c>
      <c r="BF35" s="195"/>
      <c r="BG35" s="67" t="str">
        <f t="shared" si="82"/>
        <v/>
      </c>
      <c r="BH35" s="202" t="str">
        <f t="shared" si="68"/>
        <v/>
      </c>
      <c r="BI35" s="781"/>
      <c r="BJ35" s="781"/>
      <c r="BK35" s="224" t="b">
        <f t="shared" si="69"/>
        <v>0</v>
      </c>
      <c r="BL35" s="225" t="b">
        <f t="shared" si="70"/>
        <v>0</v>
      </c>
      <c r="BM35" s="226" t="b">
        <f t="shared" si="30"/>
        <v>0</v>
      </c>
      <c r="BN35" s="224" t="b">
        <f t="shared" si="31"/>
        <v>0</v>
      </c>
      <c r="BO35" s="224" t="b">
        <f t="shared" si="32"/>
        <v>0</v>
      </c>
      <c r="BP35" s="225" t="b">
        <f t="shared" si="33"/>
        <v>0</v>
      </c>
      <c r="BQ35" s="226" t="b">
        <f t="shared" si="34"/>
        <v>0</v>
      </c>
      <c r="BR35" s="224" t="b">
        <f t="shared" si="35"/>
        <v>0</v>
      </c>
      <c r="BS35" s="225" t="b">
        <f t="shared" si="71"/>
        <v>0</v>
      </c>
      <c r="BT35" s="227" t="b">
        <f t="shared" si="36"/>
        <v>0</v>
      </c>
      <c r="BU35" s="228" t="b">
        <f t="shared" si="37"/>
        <v>0</v>
      </c>
      <c r="BV35" s="207" t="str">
        <f t="shared" si="38"/>
        <v/>
      </c>
      <c r="BX35" s="167" t="str">
        <f t="shared" si="39"/>
        <v>no data</v>
      </c>
      <c r="BZ35" s="50">
        <v>10</v>
      </c>
      <c r="CA35" s="50" t="str">
        <f t="shared" si="40"/>
        <v>-</v>
      </c>
      <c r="CC35"/>
      <c r="CD35" s="75"/>
      <c r="CE35" s="73"/>
      <c r="CF35" s="60"/>
      <c r="CG35" s="340"/>
      <c r="CH35" s="333"/>
      <c r="CI35" s="354">
        <f t="shared" si="41"/>
        <v>10</v>
      </c>
      <c r="CJ35" s="503">
        <f t="shared" si="42"/>
        <v>0</v>
      </c>
      <c r="CK35" s="503">
        <f t="shared" si="43"/>
        <v>0</v>
      </c>
      <c r="CL35" s="504" t="str">
        <f t="shared" si="44"/>
        <v/>
      </c>
      <c r="CM35" s="505" t="str">
        <f>IF(AZ35,IF(ISNUMBER(L35),MAX('Adjustment factors'!$S$16,0.2+0.8*L35),IF(ISTEXT(J35),VLOOKUP(J35,Afactors,2,FALSE),"")),"")</f>
        <v/>
      </c>
      <c r="CN35" s="505" t="str">
        <f>IF(AZ35,IF(ISNUMBER(O35),MAX('Adjustment factors'!$S$16,0.2+0.8*O35),IF(ISTEXT(M35),VLOOKUP(M35,Afactors,2,FALSE),"")),"")</f>
        <v/>
      </c>
      <c r="CO35" s="506" t="str">
        <f t="shared" si="72"/>
        <v/>
      </c>
      <c r="CP35" s="340"/>
      <c r="CQ35" s="340"/>
      <c r="CR35" s="340"/>
      <c r="CS35" s="340"/>
      <c r="CT35" s="333"/>
      <c r="CU35" s="333"/>
      <c r="CV35" s="333"/>
      <c r="CW35" s="333"/>
      <c r="CX35" s="333"/>
      <c r="CY35" s="333"/>
      <c r="CZ35" s="333"/>
      <c r="DA35" s="333"/>
      <c r="DB35" s="333"/>
      <c r="DC35" s="333"/>
      <c r="DD35" s="333"/>
      <c r="DF35" s="167" t="str">
        <f t="shared" si="45"/>
        <v>OK</v>
      </c>
      <c r="DG35" s="167" t="str">
        <f t="shared" si="46"/>
        <v>OK</v>
      </c>
      <c r="DH35" s="167" t="str">
        <f t="shared" si="47"/>
        <v>OK</v>
      </c>
      <c r="DI35" s="167" t="str">
        <f t="shared" si="48"/>
        <v>OK</v>
      </c>
      <c r="DJ35" s="168" t="str">
        <f t="shared" si="49"/>
        <v>OK</v>
      </c>
      <c r="DK35" s="153" t="str">
        <f t="shared" si="50"/>
        <v>OK</v>
      </c>
      <c r="DL35" s="153" t="str">
        <f t="shared" si="73"/>
        <v>OK</v>
      </c>
      <c r="DM35" s="153" t="str">
        <f t="shared" si="51"/>
        <v>OK</v>
      </c>
      <c r="DN35" s="153" t="str">
        <f t="shared" si="52"/>
        <v>OK</v>
      </c>
      <c r="DO35" s="153" t="str">
        <f t="shared" si="53"/>
        <v>OK</v>
      </c>
      <c r="DP35" s="153" t="str">
        <f t="shared" si="74"/>
        <v>OK</v>
      </c>
      <c r="DQ35" s="320" t="str">
        <f t="shared" si="75"/>
        <v>OK</v>
      </c>
      <c r="DR35" s="320" t="str">
        <f t="shared" si="75"/>
        <v>OK</v>
      </c>
      <c r="DS35" s="320" t="str">
        <f t="shared" si="75"/>
        <v>OK</v>
      </c>
      <c r="DT35" s="168" t="str">
        <f t="shared" si="54"/>
        <v>OK</v>
      </c>
      <c r="DU35" s="153" t="str">
        <f t="shared" si="76"/>
        <v>OK</v>
      </c>
      <c r="DV35" s="153" t="str">
        <f t="shared" si="55"/>
        <v>OK</v>
      </c>
      <c r="DW35" s="153" t="str">
        <f t="shared" si="77"/>
        <v>OK</v>
      </c>
      <c r="DX35" s="153" t="str">
        <f t="shared" si="56"/>
        <v>OK</v>
      </c>
      <c r="DY35" s="153" t="str">
        <f t="shared" si="57"/>
        <v>OK</v>
      </c>
      <c r="DZ35" s="153" t="str">
        <f t="shared" si="58"/>
        <v>OK</v>
      </c>
      <c r="EA35" s="201" t="str">
        <f t="shared" si="59"/>
        <v>OK</v>
      </c>
      <c r="EB35" s="168" t="str">
        <f t="shared" si="78"/>
        <v>OK</v>
      </c>
      <c r="EC35" s="157">
        <f t="shared" si="79"/>
        <v>0</v>
      </c>
      <c r="ED35" s="156" t="str">
        <f t="shared" si="80"/>
        <v>OK</v>
      </c>
    </row>
    <row r="36" spans="1:134" ht="17.5" hidden="1" x14ac:dyDescent="0.3">
      <c r="A36" s="232"/>
      <c r="B36" s="420" t="str">
        <f t="shared" si="0"/>
        <v>-</v>
      </c>
      <c r="C36" s="329">
        <v>11</v>
      </c>
      <c r="D36" s="589"/>
      <c r="E36" s="590"/>
      <c r="F36" s="591"/>
      <c r="G36" s="592"/>
      <c r="H36" s="769"/>
      <c r="I36" s="770"/>
      <c r="J36" s="593"/>
      <c r="K36" s="596"/>
      <c r="L36" s="597"/>
      <c r="M36" s="595"/>
      <c r="N36" s="596"/>
      <c r="O36" s="597"/>
      <c r="P36" s="501" t="str">
        <f t="shared" si="1"/>
        <v/>
      </c>
      <c r="Q36" s="501" t="str">
        <f t="shared" si="60"/>
        <v/>
      </c>
      <c r="R36" s="502" t="str">
        <f t="shared" si="2"/>
        <v/>
      </c>
      <c r="S36" s="422"/>
      <c r="T36" s="66" t="str">
        <f>IF(AND(ISNUMBER(L36),J36=FixedDim),MAX('Adjustment factors'!$S$16,0.2+0.8*L36),IF(ISTEXT(J36),VLOOKUP(J36,Afactors,2,TRUE),""))</f>
        <v/>
      </c>
      <c r="U36" s="204" t="str">
        <f>IF(AND(ISNUMBER(O36),M36=FixedDim),MAX('Adjustment factors'!$S$16,0.2+0.8*O36),IF(ISTEXT(M36),VLOOKUP(M36,Afactors,2,FALSE),""))</f>
        <v/>
      </c>
      <c r="V36" s="18" t="b">
        <f t="shared" si="61"/>
        <v>0</v>
      </c>
      <c r="W36" s="18" t="b">
        <f t="shared" si="3"/>
        <v>0</v>
      </c>
      <c r="X36" s="17" t="str">
        <f t="shared" si="4"/>
        <v/>
      </c>
      <c r="Y36" s="18" t="str">
        <f t="shared" si="5"/>
        <v/>
      </c>
      <c r="Z36" s="17" t="str">
        <f t="shared" si="6"/>
        <v/>
      </c>
      <c r="AA36" s="17" t="str">
        <f t="shared" si="7"/>
        <v/>
      </c>
      <c r="AB36" s="163" t="str">
        <f t="shared" si="8"/>
        <v/>
      </c>
      <c r="AC36" s="210">
        <f t="shared" si="9"/>
        <v>0</v>
      </c>
      <c r="AD36" s="211">
        <f t="shared" si="62"/>
        <v>0</v>
      </c>
      <c r="AE36" s="211">
        <f t="shared" si="10"/>
        <v>0</v>
      </c>
      <c r="AF36" s="211">
        <f t="shared" si="11"/>
        <v>0</v>
      </c>
      <c r="AG36" s="212">
        <f t="shared" si="12"/>
        <v>0</v>
      </c>
      <c r="AH36" s="210">
        <f t="shared" si="13"/>
        <v>0</v>
      </c>
      <c r="AI36" s="211">
        <f t="shared" si="63"/>
        <v>0</v>
      </c>
      <c r="AJ36" s="211">
        <f t="shared" si="14"/>
        <v>0</v>
      </c>
      <c r="AK36" s="211">
        <f t="shared" si="64"/>
        <v>0</v>
      </c>
      <c r="AL36" s="212">
        <f t="shared" si="15"/>
        <v>0</v>
      </c>
      <c r="AM36" s="210">
        <f t="shared" si="16"/>
        <v>0</v>
      </c>
      <c r="AN36" s="211">
        <f t="shared" si="65"/>
        <v>0</v>
      </c>
      <c r="AO36" s="211">
        <f t="shared" si="17"/>
        <v>0</v>
      </c>
      <c r="AP36" s="211">
        <f t="shared" si="66"/>
        <v>0</v>
      </c>
      <c r="AQ36" s="212">
        <f t="shared" si="18"/>
        <v>0</v>
      </c>
      <c r="AR36" s="218" t="b">
        <f t="shared" si="19"/>
        <v>1</v>
      </c>
      <c r="AS36" s="20" t="b">
        <f t="shared" si="20"/>
        <v>0</v>
      </c>
      <c r="AT36" s="20" t="b">
        <f t="shared" si="21"/>
        <v>0</v>
      </c>
      <c r="AU36" s="20" t="b">
        <f t="shared" si="22"/>
        <v>1</v>
      </c>
      <c r="AV36" s="20" t="str">
        <f t="shared" si="23"/>
        <v/>
      </c>
      <c r="AW36" s="20" t="b">
        <f t="shared" si="24"/>
        <v>0</v>
      </c>
      <c r="AX36" s="221" t="b">
        <f>IF(OR(COUNTBLANK(D36:I36)=6,AND(COUNTBLANK(D36:G36)=4,H36=0)),OR(AW37:AW$65),NOT(AW36))</f>
        <v>0</v>
      </c>
      <c r="AY36" s="20" t="b">
        <f t="shared" si="25"/>
        <v>1</v>
      </c>
      <c r="AZ36" s="20" t="b">
        <f t="shared" si="67"/>
        <v>0</v>
      </c>
      <c r="BA36" s="21">
        <f t="shared" si="26"/>
        <v>0</v>
      </c>
      <c r="BB36" s="21" t="str">
        <f t="shared" si="27"/>
        <v/>
      </c>
      <c r="BC36" s="235" t="str">
        <f t="shared" si="28"/>
        <v/>
      </c>
      <c r="BD36" s="236" t="str">
        <f t="shared" si="29"/>
        <v/>
      </c>
      <c r="BE36" s="67" t="str">
        <f t="shared" si="81"/>
        <v/>
      </c>
      <c r="BF36" s="195"/>
      <c r="BG36" s="67" t="str">
        <f t="shared" si="82"/>
        <v/>
      </c>
      <c r="BH36" s="202" t="str">
        <f t="shared" si="68"/>
        <v/>
      </c>
      <c r="BI36" s="781"/>
      <c r="BJ36" s="781"/>
      <c r="BK36" s="224" t="b">
        <f t="shared" si="69"/>
        <v>0</v>
      </c>
      <c r="BL36" s="225" t="b">
        <f t="shared" si="70"/>
        <v>0</v>
      </c>
      <c r="BM36" s="226" t="b">
        <f t="shared" si="30"/>
        <v>0</v>
      </c>
      <c r="BN36" s="224" t="b">
        <f t="shared" si="31"/>
        <v>0</v>
      </c>
      <c r="BO36" s="224" t="b">
        <f t="shared" si="32"/>
        <v>0</v>
      </c>
      <c r="BP36" s="225" t="b">
        <f t="shared" si="33"/>
        <v>0</v>
      </c>
      <c r="BQ36" s="226" t="b">
        <f t="shared" si="34"/>
        <v>0</v>
      </c>
      <c r="BR36" s="224" t="b">
        <f t="shared" si="35"/>
        <v>0</v>
      </c>
      <c r="BS36" s="225" t="b">
        <f t="shared" si="71"/>
        <v>0</v>
      </c>
      <c r="BT36" s="227" t="b">
        <f t="shared" si="36"/>
        <v>0</v>
      </c>
      <c r="BU36" s="228" t="b">
        <f t="shared" si="37"/>
        <v>0</v>
      </c>
      <c r="BV36" s="207" t="str">
        <f t="shared" si="38"/>
        <v/>
      </c>
      <c r="BX36" s="167" t="str">
        <f t="shared" si="39"/>
        <v>no data</v>
      </c>
      <c r="BZ36" s="50">
        <v>11</v>
      </c>
      <c r="CA36" s="50" t="str">
        <f t="shared" si="40"/>
        <v>-</v>
      </c>
      <c r="CC36"/>
      <c r="CE36" s="73"/>
      <c r="CF36" s="60"/>
      <c r="CG36" s="340"/>
      <c r="CH36" s="333"/>
      <c r="CI36" s="354">
        <f t="shared" si="41"/>
        <v>11</v>
      </c>
      <c r="CJ36" s="503">
        <f t="shared" si="42"/>
        <v>0</v>
      </c>
      <c r="CK36" s="503">
        <f t="shared" si="43"/>
        <v>0</v>
      </c>
      <c r="CL36" s="504" t="str">
        <f t="shared" si="44"/>
        <v/>
      </c>
      <c r="CM36" s="505" t="str">
        <f>IF(AZ36,IF(ISNUMBER(L36),MAX('Adjustment factors'!$S$16,0.2+0.8*L36),IF(ISTEXT(J36),VLOOKUP(J36,Afactors,2,FALSE),"")),"")</f>
        <v/>
      </c>
      <c r="CN36" s="505" t="str">
        <f>IF(AZ36,IF(ISNUMBER(O36),MAX('Adjustment factors'!$S$16,0.2+0.8*O36),IF(ISTEXT(M36),VLOOKUP(M36,Afactors,2,FALSE),"")),"")</f>
        <v/>
      </c>
      <c r="CO36" s="506" t="str">
        <f t="shared" si="72"/>
        <v/>
      </c>
      <c r="CP36" s="340"/>
      <c r="CQ36" s="340"/>
      <c r="CR36" s="340"/>
      <c r="CS36" s="340"/>
      <c r="CT36" s="333"/>
      <c r="CU36" s="333"/>
      <c r="CV36" s="333"/>
      <c r="CW36" s="333"/>
      <c r="CX36" s="333"/>
      <c r="CY36" s="333"/>
      <c r="CZ36" s="333"/>
      <c r="DA36" s="333"/>
      <c r="DB36" s="333"/>
      <c r="DC36" s="333"/>
      <c r="DD36" s="333"/>
      <c r="DF36" s="167" t="str">
        <f t="shared" si="45"/>
        <v>OK</v>
      </c>
      <c r="DG36" s="167" t="str">
        <f t="shared" si="46"/>
        <v>OK</v>
      </c>
      <c r="DH36" s="167" t="str">
        <f t="shared" si="47"/>
        <v>OK</v>
      </c>
      <c r="DI36" s="167" t="str">
        <f t="shared" si="48"/>
        <v>OK</v>
      </c>
      <c r="DJ36" s="168" t="str">
        <f t="shared" si="49"/>
        <v>OK</v>
      </c>
      <c r="DK36" s="153" t="str">
        <f t="shared" si="50"/>
        <v>OK</v>
      </c>
      <c r="DL36" s="153" t="str">
        <f t="shared" si="73"/>
        <v>OK</v>
      </c>
      <c r="DM36" s="153" t="str">
        <f t="shared" si="51"/>
        <v>OK</v>
      </c>
      <c r="DN36" s="153" t="str">
        <f t="shared" si="52"/>
        <v>OK</v>
      </c>
      <c r="DO36" s="153" t="str">
        <f t="shared" si="53"/>
        <v>OK</v>
      </c>
      <c r="DP36" s="153" t="str">
        <f t="shared" si="74"/>
        <v>OK</v>
      </c>
      <c r="DQ36" s="320" t="str">
        <f t="shared" si="75"/>
        <v>OK</v>
      </c>
      <c r="DR36" s="320" t="str">
        <f t="shared" si="75"/>
        <v>OK</v>
      </c>
      <c r="DS36" s="320" t="str">
        <f t="shared" si="75"/>
        <v>OK</v>
      </c>
      <c r="DT36" s="168" t="str">
        <f t="shared" si="54"/>
        <v>OK</v>
      </c>
      <c r="DU36" s="153" t="str">
        <f t="shared" si="76"/>
        <v>OK</v>
      </c>
      <c r="DV36" s="153" t="str">
        <f t="shared" si="55"/>
        <v>OK</v>
      </c>
      <c r="DW36" s="153" t="str">
        <f t="shared" si="77"/>
        <v>OK</v>
      </c>
      <c r="DX36" s="153" t="str">
        <f t="shared" si="56"/>
        <v>OK</v>
      </c>
      <c r="DY36" s="153" t="str">
        <f t="shared" si="57"/>
        <v>OK</v>
      </c>
      <c r="DZ36" s="153" t="str">
        <f t="shared" si="58"/>
        <v>OK</v>
      </c>
      <c r="EA36" s="201" t="str">
        <f t="shared" si="59"/>
        <v>OK</v>
      </c>
      <c r="EB36" s="168" t="str">
        <f t="shared" si="78"/>
        <v>OK</v>
      </c>
      <c r="EC36" s="157">
        <f t="shared" si="79"/>
        <v>0</v>
      </c>
      <c r="ED36" s="156" t="str">
        <f t="shared" si="80"/>
        <v>OK</v>
      </c>
    </row>
    <row r="37" spans="1:134" ht="17.5" hidden="1" x14ac:dyDescent="0.3">
      <c r="A37" s="232"/>
      <c r="B37" s="420" t="str">
        <f t="shared" si="0"/>
        <v>-</v>
      </c>
      <c r="C37" s="329">
        <v>12</v>
      </c>
      <c r="D37" s="589"/>
      <c r="E37" s="590"/>
      <c r="F37" s="591"/>
      <c r="G37" s="592"/>
      <c r="H37" s="769"/>
      <c r="I37" s="770"/>
      <c r="J37" s="593"/>
      <c r="K37" s="596"/>
      <c r="L37" s="597"/>
      <c r="M37" s="595"/>
      <c r="N37" s="596"/>
      <c r="O37" s="597"/>
      <c r="P37" s="501" t="str">
        <f t="shared" si="1"/>
        <v/>
      </c>
      <c r="Q37" s="501" t="str">
        <f t="shared" si="60"/>
        <v/>
      </c>
      <c r="R37" s="502" t="str">
        <f t="shared" si="2"/>
        <v/>
      </c>
      <c r="S37" s="422"/>
      <c r="T37" s="66" t="str">
        <f>IF(AND(ISNUMBER(L37),J37=FixedDim),MAX('Adjustment factors'!$S$16,0.2+0.8*L37),IF(ISTEXT(J37),VLOOKUP(J37,Afactors,2,TRUE),""))</f>
        <v/>
      </c>
      <c r="U37" s="204" t="str">
        <f>IF(AND(ISNUMBER(O37),M37=FixedDim),MAX('Adjustment factors'!$S$16,0.2+0.8*O37),IF(ISTEXT(M37),VLOOKUP(M37,Afactors,2,FALSE),""))</f>
        <v/>
      </c>
      <c r="V37" s="18" t="b">
        <f t="shared" si="61"/>
        <v>0</v>
      </c>
      <c r="W37" s="18" t="b">
        <f t="shared" si="3"/>
        <v>0</v>
      </c>
      <c r="X37" s="17" t="str">
        <f t="shared" si="4"/>
        <v/>
      </c>
      <c r="Y37" s="18" t="str">
        <f t="shared" si="5"/>
        <v/>
      </c>
      <c r="Z37" s="17" t="str">
        <f t="shared" si="6"/>
        <v/>
      </c>
      <c r="AA37" s="17" t="str">
        <f t="shared" si="7"/>
        <v/>
      </c>
      <c r="AB37" s="163" t="str">
        <f t="shared" si="8"/>
        <v/>
      </c>
      <c r="AC37" s="210">
        <f t="shared" si="9"/>
        <v>0</v>
      </c>
      <c r="AD37" s="211">
        <f t="shared" si="62"/>
        <v>0</v>
      </c>
      <c r="AE37" s="211">
        <f t="shared" si="10"/>
        <v>0</v>
      </c>
      <c r="AF37" s="211">
        <f t="shared" si="11"/>
        <v>0</v>
      </c>
      <c r="AG37" s="212">
        <f t="shared" si="12"/>
        <v>0</v>
      </c>
      <c r="AH37" s="210">
        <f t="shared" si="13"/>
        <v>0</v>
      </c>
      <c r="AI37" s="211">
        <f t="shared" si="63"/>
        <v>0</v>
      </c>
      <c r="AJ37" s="211">
        <f t="shared" si="14"/>
        <v>0</v>
      </c>
      <c r="AK37" s="211">
        <f t="shared" si="64"/>
        <v>0</v>
      </c>
      <c r="AL37" s="212">
        <f t="shared" si="15"/>
        <v>0</v>
      </c>
      <c r="AM37" s="210">
        <f t="shared" si="16"/>
        <v>0</v>
      </c>
      <c r="AN37" s="211">
        <f t="shared" si="65"/>
        <v>0</v>
      </c>
      <c r="AO37" s="211">
        <f t="shared" si="17"/>
        <v>0</v>
      </c>
      <c r="AP37" s="211">
        <f t="shared" si="66"/>
        <v>0</v>
      </c>
      <c r="AQ37" s="212">
        <f t="shared" si="18"/>
        <v>0</v>
      </c>
      <c r="AR37" s="218" t="b">
        <f t="shared" si="19"/>
        <v>1</v>
      </c>
      <c r="AS37" s="20" t="b">
        <f t="shared" si="20"/>
        <v>0</v>
      </c>
      <c r="AT37" s="20" t="b">
        <f t="shared" si="21"/>
        <v>0</v>
      </c>
      <c r="AU37" s="20" t="b">
        <f t="shared" si="22"/>
        <v>1</v>
      </c>
      <c r="AV37" s="20" t="str">
        <f t="shared" si="23"/>
        <v/>
      </c>
      <c r="AW37" s="20" t="b">
        <f t="shared" si="24"/>
        <v>0</v>
      </c>
      <c r="AX37" s="221" t="b">
        <f>IF(OR(COUNTBLANK(D37:I37)=6,AND(COUNTBLANK(D37:G37)=4,H37=0)),OR(AW38:AW$65),NOT(AW37))</f>
        <v>0</v>
      </c>
      <c r="AY37" s="20" t="b">
        <f t="shared" si="25"/>
        <v>1</v>
      </c>
      <c r="AZ37" s="20" t="b">
        <f t="shared" si="67"/>
        <v>0</v>
      </c>
      <c r="BA37" s="21">
        <f t="shared" si="26"/>
        <v>0</v>
      </c>
      <c r="BB37" s="21" t="str">
        <f t="shared" si="27"/>
        <v/>
      </c>
      <c r="BC37" s="235" t="str">
        <f t="shared" si="28"/>
        <v/>
      </c>
      <c r="BD37" s="236" t="str">
        <f t="shared" si="29"/>
        <v/>
      </c>
      <c r="BE37" s="67" t="str">
        <f t="shared" si="81"/>
        <v/>
      </c>
      <c r="BF37" s="195"/>
      <c r="BG37" s="67" t="str">
        <f t="shared" si="82"/>
        <v/>
      </c>
      <c r="BH37" s="202" t="str">
        <f t="shared" si="68"/>
        <v/>
      </c>
      <c r="BI37" s="781"/>
      <c r="BJ37" s="781"/>
      <c r="BK37" s="224" t="b">
        <f t="shared" si="69"/>
        <v>0</v>
      </c>
      <c r="BL37" s="225" t="b">
        <f t="shared" si="70"/>
        <v>0</v>
      </c>
      <c r="BM37" s="226" t="b">
        <f t="shared" si="30"/>
        <v>0</v>
      </c>
      <c r="BN37" s="224" t="b">
        <f t="shared" si="31"/>
        <v>0</v>
      </c>
      <c r="BO37" s="224" t="b">
        <f t="shared" si="32"/>
        <v>0</v>
      </c>
      <c r="BP37" s="225" t="b">
        <f t="shared" si="33"/>
        <v>0</v>
      </c>
      <c r="BQ37" s="226" t="b">
        <f t="shared" si="34"/>
        <v>0</v>
      </c>
      <c r="BR37" s="224" t="b">
        <f t="shared" si="35"/>
        <v>0</v>
      </c>
      <c r="BS37" s="225" t="b">
        <f t="shared" si="71"/>
        <v>0</v>
      </c>
      <c r="BT37" s="227" t="b">
        <f t="shared" si="36"/>
        <v>0</v>
      </c>
      <c r="BU37" s="228" t="b">
        <f t="shared" si="37"/>
        <v>0</v>
      </c>
      <c r="BV37" s="207" t="str">
        <f t="shared" si="38"/>
        <v/>
      </c>
      <c r="BX37" s="167" t="str">
        <f t="shared" si="39"/>
        <v>no data</v>
      </c>
      <c r="BZ37" s="50">
        <v>12</v>
      </c>
      <c r="CA37" s="50" t="str">
        <f t="shared" si="40"/>
        <v>-</v>
      </c>
      <c r="CC37"/>
      <c r="CE37" s="73"/>
      <c r="CF37" s="26"/>
      <c r="CG37" s="333"/>
      <c r="CH37" s="333"/>
      <c r="CI37" s="354">
        <f t="shared" si="41"/>
        <v>12</v>
      </c>
      <c r="CJ37" s="503">
        <f t="shared" si="42"/>
        <v>0</v>
      </c>
      <c r="CK37" s="503">
        <f t="shared" si="43"/>
        <v>0</v>
      </c>
      <c r="CL37" s="504" t="str">
        <f t="shared" si="44"/>
        <v/>
      </c>
      <c r="CM37" s="505" t="str">
        <f>IF(AZ37,IF(ISNUMBER(L37),MAX('Adjustment factors'!$S$16,0.2+0.8*L37),IF(ISTEXT(J37),VLOOKUP(J37,Afactors,2,FALSE),"")),"")</f>
        <v/>
      </c>
      <c r="CN37" s="505" t="str">
        <f>IF(AZ37,IF(ISNUMBER(O37),MAX('Adjustment factors'!$S$16,0.2+0.8*O37),IF(ISTEXT(M37),VLOOKUP(M37,Afactors,2,FALSE),"")),"")</f>
        <v/>
      </c>
      <c r="CO37" s="506" t="str">
        <f t="shared" si="72"/>
        <v/>
      </c>
      <c r="CP37" s="340"/>
      <c r="CQ37" s="340"/>
      <c r="CR37" s="340"/>
      <c r="CS37" s="340"/>
      <c r="CT37" s="333"/>
      <c r="CU37" s="333"/>
      <c r="CV37" s="333"/>
      <c r="CW37" s="333"/>
      <c r="CX37" s="333"/>
      <c r="CY37" s="333"/>
      <c r="CZ37" s="333"/>
      <c r="DA37" s="333"/>
      <c r="DB37" s="333"/>
      <c r="DC37" s="333"/>
      <c r="DD37" s="333"/>
      <c r="DF37" s="167" t="str">
        <f t="shared" si="45"/>
        <v>OK</v>
      </c>
      <c r="DG37" s="167" t="str">
        <f t="shared" si="46"/>
        <v>OK</v>
      </c>
      <c r="DH37" s="167" t="str">
        <f t="shared" si="47"/>
        <v>OK</v>
      </c>
      <c r="DI37" s="167" t="str">
        <f t="shared" si="48"/>
        <v>OK</v>
      </c>
      <c r="DJ37" s="168" t="str">
        <f t="shared" si="49"/>
        <v>OK</v>
      </c>
      <c r="DK37" s="153" t="str">
        <f t="shared" si="50"/>
        <v>OK</v>
      </c>
      <c r="DL37" s="153" t="str">
        <f t="shared" si="73"/>
        <v>OK</v>
      </c>
      <c r="DM37" s="153" t="str">
        <f t="shared" si="51"/>
        <v>OK</v>
      </c>
      <c r="DN37" s="153" t="str">
        <f t="shared" si="52"/>
        <v>OK</v>
      </c>
      <c r="DO37" s="153" t="str">
        <f t="shared" si="53"/>
        <v>OK</v>
      </c>
      <c r="DP37" s="153" t="str">
        <f t="shared" si="74"/>
        <v>OK</v>
      </c>
      <c r="DQ37" s="320" t="str">
        <f t="shared" si="75"/>
        <v>OK</v>
      </c>
      <c r="DR37" s="320" t="str">
        <f t="shared" si="75"/>
        <v>OK</v>
      </c>
      <c r="DS37" s="320" t="str">
        <f t="shared" si="75"/>
        <v>OK</v>
      </c>
      <c r="DT37" s="168" t="str">
        <f t="shared" si="54"/>
        <v>OK</v>
      </c>
      <c r="DU37" s="153" t="str">
        <f t="shared" si="76"/>
        <v>OK</v>
      </c>
      <c r="DV37" s="153" t="str">
        <f t="shared" si="55"/>
        <v>OK</v>
      </c>
      <c r="DW37" s="153" t="str">
        <f t="shared" si="77"/>
        <v>OK</v>
      </c>
      <c r="DX37" s="153" t="str">
        <f t="shared" si="56"/>
        <v>OK</v>
      </c>
      <c r="DY37" s="153" t="str">
        <f t="shared" si="57"/>
        <v>OK</v>
      </c>
      <c r="DZ37" s="153" t="str">
        <f t="shared" si="58"/>
        <v>OK</v>
      </c>
      <c r="EA37" s="201" t="str">
        <f t="shared" si="59"/>
        <v>OK</v>
      </c>
      <c r="EB37" s="168" t="str">
        <f t="shared" si="78"/>
        <v>OK</v>
      </c>
      <c r="EC37" s="157">
        <f t="shared" si="79"/>
        <v>0</v>
      </c>
      <c r="ED37" s="156" t="str">
        <f t="shared" si="80"/>
        <v>OK</v>
      </c>
    </row>
    <row r="38" spans="1:134" ht="17.5" hidden="1" x14ac:dyDescent="0.3">
      <c r="A38" s="232"/>
      <c r="B38" s="420" t="str">
        <f t="shared" si="0"/>
        <v>-</v>
      </c>
      <c r="C38" s="329">
        <v>13</v>
      </c>
      <c r="D38" s="589"/>
      <c r="E38" s="590"/>
      <c r="F38" s="591"/>
      <c r="G38" s="592"/>
      <c r="H38" s="769"/>
      <c r="I38" s="770"/>
      <c r="J38" s="593"/>
      <c r="K38" s="596"/>
      <c r="L38" s="597"/>
      <c r="M38" s="595"/>
      <c r="N38" s="596"/>
      <c r="O38" s="597"/>
      <c r="P38" s="501" t="str">
        <f t="shared" si="1"/>
        <v/>
      </c>
      <c r="Q38" s="501" t="str">
        <f t="shared" si="60"/>
        <v/>
      </c>
      <c r="R38" s="502" t="str">
        <f t="shared" si="2"/>
        <v/>
      </c>
      <c r="S38" s="422"/>
      <c r="T38" s="66" t="str">
        <f>IF(AND(ISNUMBER(L38),J38=FixedDim),MAX('Adjustment factors'!$S$16,0.2+0.8*L38),IF(ISTEXT(J38),VLOOKUP(J38,Afactors,2,TRUE),""))</f>
        <v/>
      </c>
      <c r="U38" s="204" t="str">
        <f>IF(AND(ISNUMBER(O38),M38=FixedDim),MAX('Adjustment factors'!$S$16,0.2+0.8*O38),IF(ISTEXT(M38),VLOOKUP(M38,Afactors,2,FALSE),""))</f>
        <v/>
      </c>
      <c r="V38" s="18" t="b">
        <f t="shared" si="61"/>
        <v>0</v>
      </c>
      <c r="W38" s="18" t="b">
        <f t="shared" si="3"/>
        <v>0</v>
      </c>
      <c r="X38" s="17" t="str">
        <f t="shared" si="4"/>
        <v/>
      </c>
      <c r="Y38" s="18" t="str">
        <f t="shared" si="5"/>
        <v/>
      </c>
      <c r="Z38" s="17" t="str">
        <f t="shared" si="6"/>
        <v/>
      </c>
      <c r="AA38" s="17" t="str">
        <f t="shared" si="7"/>
        <v/>
      </c>
      <c r="AB38" s="163" t="str">
        <f t="shared" si="8"/>
        <v/>
      </c>
      <c r="AC38" s="210">
        <f t="shared" si="9"/>
        <v>0</v>
      </c>
      <c r="AD38" s="211">
        <f t="shared" si="62"/>
        <v>0</v>
      </c>
      <c r="AE38" s="211">
        <f t="shared" si="10"/>
        <v>0</v>
      </c>
      <c r="AF38" s="211">
        <f t="shared" si="11"/>
        <v>0</v>
      </c>
      <c r="AG38" s="212">
        <f t="shared" si="12"/>
        <v>0</v>
      </c>
      <c r="AH38" s="210">
        <f t="shared" si="13"/>
        <v>0</v>
      </c>
      <c r="AI38" s="211">
        <f t="shared" si="63"/>
        <v>0</v>
      </c>
      <c r="AJ38" s="211">
        <f t="shared" si="14"/>
        <v>0</v>
      </c>
      <c r="AK38" s="211">
        <f t="shared" si="64"/>
        <v>0</v>
      </c>
      <c r="AL38" s="212">
        <f t="shared" si="15"/>
        <v>0</v>
      </c>
      <c r="AM38" s="210">
        <f t="shared" si="16"/>
        <v>0</v>
      </c>
      <c r="AN38" s="211">
        <f t="shared" si="65"/>
        <v>0</v>
      </c>
      <c r="AO38" s="211">
        <f t="shared" si="17"/>
        <v>0</v>
      </c>
      <c r="AP38" s="211">
        <f t="shared" si="66"/>
        <v>0</v>
      </c>
      <c r="AQ38" s="212">
        <f t="shared" si="18"/>
        <v>0</v>
      </c>
      <c r="AR38" s="218" t="b">
        <f t="shared" si="19"/>
        <v>1</v>
      </c>
      <c r="AS38" s="20" t="b">
        <f t="shared" si="20"/>
        <v>0</v>
      </c>
      <c r="AT38" s="20" t="b">
        <f t="shared" si="21"/>
        <v>0</v>
      </c>
      <c r="AU38" s="20" t="b">
        <f t="shared" si="22"/>
        <v>1</v>
      </c>
      <c r="AV38" s="20" t="str">
        <f t="shared" si="23"/>
        <v/>
      </c>
      <c r="AW38" s="20" t="b">
        <f t="shared" si="24"/>
        <v>0</v>
      </c>
      <c r="AX38" s="221" t="b">
        <f>IF(OR(COUNTBLANK(D38:I38)=6,AND(COUNTBLANK(D38:G38)=4,H38=0)),OR(AW39:AW$65),NOT(AW38))</f>
        <v>0</v>
      </c>
      <c r="AY38" s="20" t="b">
        <f t="shared" si="25"/>
        <v>1</v>
      </c>
      <c r="AZ38" s="20" t="b">
        <f t="shared" si="67"/>
        <v>0</v>
      </c>
      <c r="BA38" s="21">
        <f t="shared" si="26"/>
        <v>0</v>
      </c>
      <c r="BB38" s="21" t="str">
        <f t="shared" si="27"/>
        <v/>
      </c>
      <c r="BC38" s="235" t="str">
        <f t="shared" si="28"/>
        <v/>
      </c>
      <c r="BD38" s="236" t="str">
        <f t="shared" si="29"/>
        <v/>
      </c>
      <c r="BE38" s="67" t="str">
        <f t="shared" si="81"/>
        <v/>
      </c>
      <c r="BF38" s="195"/>
      <c r="BG38" s="67" t="str">
        <f t="shared" si="82"/>
        <v/>
      </c>
      <c r="BH38" s="202" t="str">
        <f t="shared" si="68"/>
        <v/>
      </c>
      <c r="BI38" s="781"/>
      <c r="BJ38" s="781"/>
      <c r="BK38" s="224" t="b">
        <f t="shared" si="69"/>
        <v>0</v>
      </c>
      <c r="BL38" s="225" t="b">
        <f t="shared" si="70"/>
        <v>0</v>
      </c>
      <c r="BM38" s="226" t="b">
        <f t="shared" si="30"/>
        <v>0</v>
      </c>
      <c r="BN38" s="224" t="b">
        <f t="shared" si="31"/>
        <v>0</v>
      </c>
      <c r="BO38" s="224" t="b">
        <f t="shared" si="32"/>
        <v>0</v>
      </c>
      <c r="BP38" s="225" t="b">
        <f t="shared" si="33"/>
        <v>0</v>
      </c>
      <c r="BQ38" s="226" t="b">
        <f t="shared" si="34"/>
        <v>0</v>
      </c>
      <c r="BR38" s="224" t="b">
        <f t="shared" si="35"/>
        <v>0</v>
      </c>
      <c r="BS38" s="225" t="b">
        <f t="shared" si="71"/>
        <v>0</v>
      </c>
      <c r="BT38" s="227" t="b">
        <f t="shared" si="36"/>
        <v>0</v>
      </c>
      <c r="BU38" s="228" t="b">
        <f t="shared" si="37"/>
        <v>0</v>
      </c>
      <c r="BV38" s="207" t="str">
        <f t="shared" si="38"/>
        <v/>
      </c>
      <c r="BX38" s="167" t="str">
        <f t="shared" si="39"/>
        <v>no data</v>
      </c>
      <c r="BZ38" s="50">
        <v>13</v>
      </c>
      <c r="CA38" s="50" t="str">
        <f t="shared" si="40"/>
        <v>-</v>
      </c>
      <c r="CC38"/>
      <c r="CE38" s="73"/>
      <c r="CF38" s="26"/>
      <c r="CG38" s="333"/>
      <c r="CH38" s="333"/>
      <c r="CI38" s="354">
        <f t="shared" si="41"/>
        <v>13</v>
      </c>
      <c r="CJ38" s="503">
        <f t="shared" si="42"/>
        <v>0</v>
      </c>
      <c r="CK38" s="503">
        <f t="shared" si="43"/>
        <v>0</v>
      </c>
      <c r="CL38" s="504" t="str">
        <f t="shared" si="44"/>
        <v/>
      </c>
      <c r="CM38" s="505" t="str">
        <f>IF(AZ38,IF(ISNUMBER(L38),MAX('Adjustment factors'!$S$16,0.2+0.8*L38),IF(ISTEXT(J38),VLOOKUP(J38,Afactors,2,FALSE),"")),"")</f>
        <v/>
      </c>
      <c r="CN38" s="505" t="str">
        <f>IF(AZ38,IF(ISNUMBER(O38),MAX('Adjustment factors'!$S$16,0.2+0.8*O38),IF(ISTEXT(M38),VLOOKUP(M38,Afactors,2,FALSE),"")),"")</f>
        <v/>
      </c>
      <c r="CO38" s="506" t="str">
        <f t="shared" si="72"/>
        <v/>
      </c>
      <c r="CP38" s="340"/>
      <c r="CQ38" s="340"/>
      <c r="CR38" s="340"/>
      <c r="CS38" s="340"/>
      <c r="CT38" s="333"/>
      <c r="CU38" s="333"/>
      <c r="CV38" s="333"/>
      <c r="CW38" s="333"/>
      <c r="CX38" s="333"/>
      <c r="CY38" s="333"/>
      <c r="CZ38" s="333"/>
      <c r="DA38" s="333"/>
      <c r="DB38" s="333"/>
      <c r="DC38" s="333"/>
      <c r="DD38" s="333"/>
      <c r="DF38" s="167" t="str">
        <f t="shared" si="45"/>
        <v>OK</v>
      </c>
      <c r="DG38" s="167" t="str">
        <f t="shared" si="46"/>
        <v>OK</v>
      </c>
      <c r="DH38" s="167" t="str">
        <f t="shared" si="47"/>
        <v>OK</v>
      </c>
      <c r="DI38" s="167" t="str">
        <f t="shared" si="48"/>
        <v>OK</v>
      </c>
      <c r="DJ38" s="168" t="str">
        <f t="shared" si="49"/>
        <v>OK</v>
      </c>
      <c r="DK38" s="153" t="str">
        <f t="shared" si="50"/>
        <v>OK</v>
      </c>
      <c r="DL38" s="153" t="str">
        <f t="shared" si="73"/>
        <v>OK</v>
      </c>
      <c r="DM38" s="153" t="str">
        <f t="shared" si="51"/>
        <v>OK</v>
      </c>
      <c r="DN38" s="153" t="str">
        <f t="shared" si="52"/>
        <v>OK</v>
      </c>
      <c r="DO38" s="153" t="str">
        <f t="shared" si="53"/>
        <v>OK</v>
      </c>
      <c r="DP38" s="153" t="str">
        <f t="shared" si="74"/>
        <v>OK</v>
      </c>
      <c r="DQ38" s="320" t="str">
        <f t="shared" si="75"/>
        <v>OK</v>
      </c>
      <c r="DR38" s="320" t="str">
        <f t="shared" si="75"/>
        <v>OK</v>
      </c>
      <c r="DS38" s="320" t="str">
        <f t="shared" si="75"/>
        <v>OK</v>
      </c>
      <c r="DT38" s="168" t="str">
        <f t="shared" si="54"/>
        <v>OK</v>
      </c>
      <c r="DU38" s="153" t="str">
        <f t="shared" si="76"/>
        <v>OK</v>
      </c>
      <c r="DV38" s="153" t="str">
        <f t="shared" si="55"/>
        <v>OK</v>
      </c>
      <c r="DW38" s="153" t="str">
        <f t="shared" si="77"/>
        <v>OK</v>
      </c>
      <c r="DX38" s="153" t="str">
        <f t="shared" si="56"/>
        <v>OK</v>
      </c>
      <c r="DY38" s="153" t="str">
        <f t="shared" si="57"/>
        <v>OK</v>
      </c>
      <c r="DZ38" s="153" t="str">
        <f t="shared" si="58"/>
        <v>OK</v>
      </c>
      <c r="EA38" s="201" t="str">
        <f t="shared" si="59"/>
        <v>OK</v>
      </c>
      <c r="EB38" s="168" t="str">
        <f t="shared" si="78"/>
        <v>OK</v>
      </c>
      <c r="EC38" s="157">
        <f t="shared" si="79"/>
        <v>0</v>
      </c>
      <c r="ED38" s="156" t="str">
        <f t="shared" si="80"/>
        <v>OK</v>
      </c>
    </row>
    <row r="39" spans="1:134" ht="17.5" hidden="1" x14ac:dyDescent="0.3">
      <c r="A39" s="232"/>
      <c r="B39" s="420" t="str">
        <f t="shared" si="0"/>
        <v>-</v>
      </c>
      <c r="C39" s="329">
        <v>14</v>
      </c>
      <c r="D39" s="589"/>
      <c r="E39" s="590"/>
      <c r="F39" s="591"/>
      <c r="G39" s="592"/>
      <c r="H39" s="769"/>
      <c r="I39" s="770"/>
      <c r="J39" s="593"/>
      <c r="K39" s="596"/>
      <c r="L39" s="597"/>
      <c r="M39" s="595"/>
      <c r="N39" s="596"/>
      <c r="O39" s="597"/>
      <c r="P39" s="501" t="str">
        <f t="shared" si="1"/>
        <v/>
      </c>
      <c r="Q39" s="501" t="str">
        <f t="shared" si="60"/>
        <v/>
      </c>
      <c r="R39" s="502" t="str">
        <f t="shared" si="2"/>
        <v/>
      </c>
      <c r="S39" s="422"/>
      <c r="T39" s="66" t="str">
        <f>IF(AND(ISNUMBER(L39),J39=FixedDim),MAX('Adjustment factors'!$S$16,0.2+0.8*L39),IF(ISTEXT(J39),VLOOKUP(J39,Afactors,2,TRUE),""))</f>
        <v/>
      </c>
      <c r="U39" s="204" t="str">
        <f>IF(AND(ISNUMBER(O39),M39=FixedDim),MAX('Adjustment factors'!$S$16,0.2+0.8*O39),IF(ISTEXT(M39),VLOOKUP(M39,Afactors,2,FALSE),""))</f>
        <v/>
      </c>
      <c r="V39" s="18" t="b">
        <f t="shared" si="61"/>
        <v>0</v>
      </c>
      <c r="W39" s="18" t="b">
        <f t="shared" si="3"/>
        <v>0</v>
      </c>
      <c r="X39" s="17" t="str">
        <f t="shared" si="4"/>
        <v/>
      </c>
      <c r="Y39" s="18" t="str">
        <f t="shared" si="5"/>
        <v/>
      </c>
      <c r="Z39" s="17" t="str">
        <f t="shared" si="6"/>
        <v/>
      </c>
      <c r="AA39" s="17" t="str">
        <f t="shared" si="7"/>
        <v/>
      </c>
      <c r="AB39" s="163" t="str">
        <f t="shared" si="8"/>
        <v/>
      </c>
      <c r="AC39" s="210">
        <f t="shared" si="9"/>
        <v>0</v>
      </c>
      <c r="AD39" s="211">
        <f t="shared" si="62"/>
        <v>0</v>
      </c>
      <c r="AE39" s="211">
        <f t="shared" si="10"/>
        <v>0</v>
      </c>
      <c r="AF39" s="211">
        <f t="shared" si="11"/>
        <v>0</v>
      </c>
      <c r="AG39" s="212">
        <f t="shared" si="12"/>
        <v>0</v>
      </c>
      <c r="AH39" s="210">
        <f t="shared" si="13"/>
        <v>0</v>
      </c>
      <c r="AI39" s="211">
        <f t="shared" si="63"/>
        <v>0</v>
      </c>
      <c r="AJ39" s="211">
        <f t="shared" si="14"/>
        <v>0</v>
      </c>
      <c r="AK39" s="211">
        <f t="shared" si="64"/>
        <v>0</v>
      </c>
      <c r="AL39" s="212">
        <f t="shared" si="15"/>
        <v>0</v>
      </c>
      <c r="AM39" s="210">
        <f t="shared" si="16"/>
        <v>0</v>
      </c>
      <c r="AN39" s="211">
        <f t="shared" si="65"/>
        <v>0</v>
      </c>
      <c r="AO39" s="211">
        <f t="shared" si="17"/>
        <v>0</v>
      </c>
      <c r="AP39" s="211">
        <f t="shared" si="66"/>
        <v>0</v>
      </c>
      <c r="AQ39" s="212">
        <f t="shared" si="18"/>
        <v>0</v>
      </c>
      <c r="AR39" s="218" t="b">
        <f t="shared" si="19"/>
        <v>1</v>
      </c>
      <c r="AS39" s="20" t="b">
        <f t="shared" si="20"/>
        <v>0</v>
      </c>
      <c r="AT39" s="20" t="b">
        <f t="shared" si="21"/>
        <v>0</v>
      </c>
      <c r="AU39" s="20" t="b">
        <f t="shared" si="22"/>
        <v>1</v>
      </c>
      <c r="AV39" s="20" t="str">
        <f t="shared" si="23"/>
        <v/>
      </c>
      <c r="AW39" s="20" t="b">
        <f t="shared" si="24"/>
        <v>0</v>
      </c>
      <c r="AX39" s="221" t="b">
        <f>IF(OR(COUNTBLANK(D39:I39)=6,AND(COUNTBLANK(D39:G39)=4,H39=0)),OR(AW40:AW$65),NOT(AW39))</f>
        <v>0</v>
      </c>
      <c r="AY39" s="20" t="b">
        <f t="shared" si="25"/>
        <v>1</v>
      </c>
      <c r="AZ39" s="20" t="b">
        <f t="shared" si="67"/>
        <v>0</v>
      </c>
      <c r="BA39" s="21">
        <f t="shared" si="26"/>
        <v>0</v>
      </c>
      <c r="BB39" s="21" t="str">
        <f t="shared" si="27"/>
        <v/>
      </c>
      <c r="BC39" s="235" t="str">
        <f t="shared" si="28"/>
        <v/>
      </c>
      <c r="BD39" s="236" t="str">
        <f t="shared" si="29"/>
        <v/>
      </c>
      <c r="BE39" s="67" t="str">
        <f t="shared" si="81"/>
        <v/>
      </c>
      <c r="BF39" s="195"/>
      <c r="BG39" s="67" t="str">
        <f t="shared" si="82"/>
        <v/>
      </c>
      <c r="BH39" s="202" t="str">
        <f t="shared" si="68"/>
        <v/>
      </c>
      <c r="BI39" s="781"/>
      <c r="BJ39" s="781"/>
      <c r="BK39" s="224" t="b">
        <f t="shared" si="69"/>
        <v>0</v>
      </c>
      <c r="BL39" s="225" t="b">
        <f t="shared" si="70"/>
        <v>0</v>
      </c>
      <c r="BM39" s="226" t="b">
        <f t="shared" si="30"/>
        <v>0</v>
      </c>
      <c r="BN39" s="224" t="b">
        <f t="shared" si="31"/>
        <v>0</v>
      </c>
      <c r="BO39" s="224" t="b">
        <f t="shared" si="32"/>
        <v>0</v>
      </c>
      <c r="BP39" s="225" t="b">
        <f t="shared" si="33"/>
        <v>0</v>
      </c>
      <c r="BQ39" s="226" t="b">
        <f t="shared" si="34"/>
        <v>0</v>
      </c>
      <c r="BR39" s="224" t="b">
        <f t="shared" si="35"/>
        <v>0</v>
      </c>
      <c r="BS39" s="225" t="b">
        <f t="shared" si="71"/>
        <v>0</v>
      </c>
      <c r="BT39" s="227" t="b">
        <f t="shared" si="36"/>
        <v>0</v>
      </c>
      <c r="BU39" s="228" t="b">
        <f t="shared" si="37"/>
        <v>0</v>
      </c>
      <c r="BV39" s="207" t="str">
        <f t="shared" si="38"/>
        <v/>
      </c>
      <c r="BX39" s="167" t="str">
        <f t="shared" si="39"/>
        <v>no data</v>
      </c>
      <c r="BZ39" s="50">
        <v>14</v>
      </c>
      <c r="CA39" s="50" t="str">
        <f t="shared" si="40"/>
        <v>-</v>
      </c>
      <c r="CC39"/>
      <c r="CE39" s="73"/>
      <c r="CF39" s="26"/>
      <c r="CG39" s="333"/>
      <c r="CH39" s="333"/>
      <c r="CI39" s="354">
        <f t="shared" si="41"/>
        <v>14</v>
      </c>
      <c r="CJ39" s="503">
        <f t="shared" si="42"/>
        <v>0</v>
      </c>
      <c r="CK39" s="503">
        <f t="shared" si="43"/>
        <v>0</v>
      </c>
      <c r="CL39" s="504" t="str">
        <f t="shared" si="44"/>
        <v/>
      </c>
      <c r="CM39" s="505" t="str">
        <f>IF(AZ39,IF(ISNUMBER(L39),MAX('Adjustment factors'!$S$16,0.2+0.8*L39),IF(ISTEXT(J39),VLOOKUP(J39,Afactors,2,FALSE),"")),"")</f>
        <v/>
      </c>
      <c r="CN39" s="505" t="str">
        <f>IF(AZ39,IF(ISNUMBER(O39),MAX('Adjustment factors'!$S$16,0.2+0.8*O39),IF(ISTEXT(M39),VLOOKUP(M39,Afactors,2,FALSE),"")),"")</f>
        <v/>
      </c>
      <c r="CO39" s="506" t="str">
        <f t="shared" si="72"/>
        <v/>
      </c>
      <c r="CP39" s="340"/>
      <c r="CQ39" s="340"/>
      <c r="CR39" s="340"/>
      <c r="CS39" s="340"/>
      <c r="CT39" s="333"/>
      <c r="CU39" s="333"/>
      <c r="CV39" s="333"/>
      <c r="CW39" s="333"/>
      <c r="CX39" s="333"/>
      <c r="CY39" s="333"/>
      <c r="CZ39" s="333"/>
      <c r="DA39" s="333"/>
      <c r="DB39" s="333"/>
      <c r="DC39" s="333"/>
      <c r="DD39" s="333"/>
      <c r="DF39" s="167" t="str">
        <f t="shared" si="45"/>
        <v>OK</v>
      </c>
      <c r="DG39" s="167" t="str">
        <f t="shared" si="46"/>
        <v>OK</v>
      </c>
      <c r="DH39" s="167" t="str">
        <f t="shared" si="47"/>
        <v>OK</v>
      </c>
      <c r="DI39" s="167" t="str">
        <f t="shared" si="48"/>
        <v>OK</v>
      </c>
      <c r="DJ39" s="168" t="str">
        <f t="shared" si="49"/>
        <v>OK</v>
      </c>
      <c r="DK39" s="153" t="str">
        <f t="shared" si="50"/>
        <v>OK</v>
      </c>
      <c r="DL39" s="153" t="str">
        <f t="shared" si="73"/>
        <v>OK</v>
      </c>
      <c r="DM39" s="153" t="str">
        <f t="shared" si="51"/>
        <v>OK</v>
      </c>
      <c r="DN39" s="153" t="str">
        <f t="shared" si="52"/>
        <v>OK</v>
      </c>
      <c r="DO39" s="153" t="str">
        <f t="shared" si="53"/>
        <v>OK</v>
      </c>
      <c r="DP39" s="153" t="str">
        <f t="shared" si="74"/>
        <v>OK</v>
      </c>
      <c r="DQ39" s="320" t="str">
        <f t="shared" si="75"/>
        <v>OK</v>
      </c>
      <c r="DR39" s="320" t="str">
        <f t="shared" si="75"/>
        <v>OK</v>
      </c>
      <c r="DS39" s="320" t="str">
        <f t="shared" si="75"/>
        <v>OK</v>
      </c>
      <c r="DT39" s="168" t="str">
        <f t="shared" si="54"/>
        <v>OK</v>
      </c>
      <c r="DU39" s="153" t="str">
        <f t="shared" si="76"/>
        <v>OK</v>
      </c>
      <c r="DV39" s="153" t="str">
        <f t="shared" si="55"/>
        <v>OK</v>
      </c>
      <c r="DW39" s="153" t="str">
        <f t="shared" si="77"/>
        <v>OK</v>
      </c>
      <c r="DX39" s="153" t="str">
        <f t="shared" si="56"/>
        <v>OK</v>
      </c>
      <c r="DY39" s="153" t="str">
        <f t="shared" si="57"/>
        <v>OK</v>
      </c>
      <c r="DZ39" s="153" t="str">
        <f t="shared" si="58"/>
        <v>OK</v>
      </c>
      <c r="EA39" s="201" t="str">
        <f t="shared" si="59"/>
        <v>OK</v>
      </c>
      <c r="EB39" s="168" t="str">
        <f t="shared" si="78"/>
        <v>OK</v>
      </c>
      <c r="EC39" s="157">
        <f t="shared" si="79"/>
        <v>0</v>
      </c>
      <c r="ED39" s="156" t="str">
        <f t="shared" si="80"/>
        <v>OK</v>
      </c>
    </row>
    <row r="40" spans="1:134" ht="17.5" hidden="1" x14ac:dyDescent="0.3">
      <c r="A40" s="232"/>
      <c r="B40" s="420" t="str">
        <f t="shared" si="0"/>
        <v>-</v>
      </c>
      <c r="C40" s="329">
        <v>15</v>
      </c>
      <c r="D40" s="589"/>
      <c r="E40" s="590"/>
      <c r="F40" s="591"/>
      <c r="G40" s="592"/>
      <c r="H40" s="769"/>
      <c r="I40" s="770"/>
      <c r="J40" s="593"/>
      <c r="K40" s="596"/>
      <c r="L40" s="597"/>
      <c r="M40" s="595"/>
      <c r="N40" s="596"/>
      <c r="O40" s="597"/>
      <c r="P40" s="501" t="str">
        <f t="shared" si="1"/>
        <v/>
      </c>
      <c r="Q40" s="501" t="str">
        <f t="shared" si="60"/>
        <v/>
      </c>
      <c r="R40" s="502" t="str">
        <f t="shared" si="2"/>
        <v/>
      </c>
      <c r="S40" s="422"/>
      <c r="T40" s="66" t="str">
        <f>IF(AND(ISNUMBER(L40),J40=FixedDim),MAX('Adjustment factors'!$S$16,0.2+0.8*L40),IF(ISTEXT(J40),VLOOKUP(J40,Afactors,2,TRUE),""))</f>
        <v/>
      </c>
      <c r="U40" s="204" t="str">
        <f>IF(AND(ISNUMBER(O40),M40=FixedDim),MAX('Adjustment factors'!$S$16,0.2+0.8*O40),IF(ISTEXT(M40),VLOOKUP(M40,Afactors,2,FALSE),""))</f>
        <v/>
      </c>
      <c r="V40" s="18" t="b">
        <f t="shared" si="61"/>
        <v>0</v>
      </c>
      <c r="W40" s="18" t="b">
        <f t="shared" si="3"/>
        <v>0</v>
      </c>
      <c r="X40" s="17" t="str">
        <f t="shared" si="4"/>
        <v/>
      </c>
      <c r="Y40" s="18" t="str">
        <f t="shared" si="5"/>
        <v/>
      </c>
      <c r="Z40" s="17" t="str">
        <f t="shared" si="6"/>
        <v/>
      </c>
      <c r="AA40" s="17" t="str">
        <f t="shared" si="7"/>
        <v/>
      </c>
      <c r="AB40" s="163" t="str">
        <f t="shared" si="8"/>
        <v/>
      </c>
      <c r="AC40" s="210">
        <f t="shared" si="9"/>
        <v>0</v>
      </c>
      <c r="AD40" s="211">
        <f t="shared" si="62"/>
        <v>0</v>
      </c>
      <c r="AE40" s="211">
        <f t="shared" si="10"/>
        <v>0</v>
      </c>
      <c r="AF40" s="211">
        <f t="shared" si="11"/>
        <v>0</v>
      </c>
      <c r="AG40" s="212">
        <f t="shared" si="12"/>
        <v>0</v>
      </c>
      <c r="AH40" s="210">
        <f t="shared" si="13"/>
        <v>0</v>
      </c>
      <c r="AI40" s="211">
        <f t="shared" si="63"/>
        <v>0</v>
      </c>
      <c r="AJ40" s="211">
        <f t="shared" si="14"/>
        <v>0</v>
      </c>
      <c r="AK40" s="211">
        <f t="shared" si="64"/>
        <v>0</v>
      </c>
      <c r="AL40" s="212">
        <f t="shared" si="15"/>
        <v>0</v>
      </c>
      <c r="AM40" s="210">
        <f t="shared" si="16"/>
        <v>0</v>
      </c>
      <c r="AN40" s="211">
        <f t="shared" si="65"/>
        <v>0</v>
      </c>
      <c r="AO40" s="211">
        <f t="shared" si="17"/>
        <v>0</v>
      </c>
      <c r="AP40" s="211">
        <f t="shared" si="66"/>
        <v>0</v>
      </c>
      <c r="AQ40" s="212">
        <f t="shared" si="18"/>
        <v>0</v>
      </c>
      <c r="AR40" s="218" t="b">
        <f t="shared" si="19"/>
        <v>1</v>
      </c>
      <c r="AS40" s="20" t="b">
        <f t="shared" si="20"/>
        <v>0</v>
      </c>
      <c r="AT40" s="20" t="b">
        <f t="shared" si="21"/>
        <v>0</v>
      </c>
      <c r="AU40" s="20" t="b">
        <f t="shared" si="22"/>
        <v>1</v>
      </c>
      <c r="AV40" s="20" t="str">
        <f t="shared" si="23"/>
        <v/>
      </c>
      <c r="AW40" s="20" t="b">
        <f t="shared" si="24"/>
        <v>0</v>
      </c>
      <c r="AX40" s="221" t="b">
        <f>IF(OR(COUNTBLANK(D40:I40)=6,AND(COUNTBLANK(D40:G40)=4,H40=0)),OR(AW41:AW$65),NOT(AW40))</f>
        <v>0</v>
      </c>
      <c r="AY40" s="20" t="b">
        <f t="shared" si="25"/>
        <v>1</v>
      </c>
      <c r="AZ40" s="20" t="b">
        <f t="shared" si="67"/>
        <v>0</v>
      </c>
      <c r="BA40" s="21">
        <f t="shared" si="26"/>
        <v>0</v>
      </c>
      <c r="BB40" s="21" t="str">
        <f t="shared" si="27"/>
        <v/>
      </c>
      <c r="BC40" s="235" t="str">
        <f t="shared" si="28"/>
        <v/>
      </c>
      <c r="BD40" s="236" t="str">
        <f t="shared" si="29"/>
        <v/>
      </c>
      <c r="BE40" s="67" t="str">
        <f t="shared" si="81"/>
        <v/>
      </c>
      <c r="BF40" s="195"/>
      <c r="BG40" s="67" t="str">
        <f t="shared" si="82"/>
        <v/>
      </c>
      <c r="BH40" s="202" t="str">
        <f t="shared" si="68"/>
        <v/>
      </c>
      <c r="BI40" s="781"/>
      <c r="BJ40" s="781"/>
      <c r="BK40" s="224" t="b">
        <f t="shared" si="69"/>
        <v>0</v>
      </c>
      <c r="BL40" s="225" t="b">
        <f t="shared" si="70"/>
        <v>0</v>
      </c>
      <c r="BM40" s="226" t="b">
        <f t="shared" si="30"/>
        <v>0</v>
      </c>
      <c r="BN40" s="224" t="b">
        <f t="shared" si="31"/>
        <v>0</v>
      </c>
      <c r="BO40" s="224" t="b">
        <f t="shared" si="32"/>
        <v>0</v>
      </c>
      <c r="BP40" s="225" t="b">
        <f t="shared" si="33"/>
        <v>0</v>
      </c>
      <c r="BQ40" s="226" t="b">
        <f t="shared" si="34"/>
        <v>0</v>
      </c>
      <c r="BR40" s="224" t="b">
        <f t="shared" si="35"/>
        <v>0</v>
      </c>
      <c r="BS40" s="225" t="b">
        <f t="shared" si="71"/>
        <v>0</v>
      </c>
      <c r="BT40" s="227" t="b">
        <f t="shared" si="36"/>
        <v>0</v>
      </c>
      <c r="BU40" s="228" t="b">
        <f t="shared" si="37"/>
        <v>0</v>
      </c>
      <c r="BV40" s="207" t="str">
        <f t="shared" si="38"/>
        <v/>
      </c>
      <c r="BX40" s="167" t="str">
        <f t="shared" si="39"/>
        <v>no data</v>
      </c>
      <c r="BZ40" s="50">
        <v>15</v>
      </c>
      <c r="CA40" s="50" t="str">
        <f t="shared" si="40"/>
        <v>-</v>
      </c>
      <c r="CC40"/>
      <c r="CE40" s="73"/>
      <c r="CF40" s="26"/>
      <c r="CG40" s="333"/>
      <c r="CH40" s="333"/>
      <c r="CI40" s="354">
        <f t="shared" si="41"/>
        <v>15</v>
      </c>
      <c r="CJ40" s="503">
        <f t="shared" si="42"/>
        <v>0</v>
      </c>
      <c r="CK40" s="503">
        <f t="shared" si="43"/>
        <v>0</v>
      </c>
      <c r="CL40" s="504" t="str">
        <f t="shared" si="44"/>
        <v/>
      </c>
      <c r="CM40" s="505" t="str">
        <f>IF(AZ40,IF(ISNUMBER(L40),MAX('Adjustment factors'!$S$16,0.2+0.8*L40),IF(ISTEXT(J40),VLOOKUP(J40,Afactors,2,FALSE),"")),"")</f>
        <v/>
      </c>
      <c r="CN40" s="505" t="str">
        <f>IF(AZ40,IF(ISNUMBER(O40),MAX('Adjustment factors'!$S$16,0.2+0.8*O40),IF(ISTEXT(M40),VLOOKUP(M40,Afactors,2,FALSE),"")),"")</f>
        <v/>
      </c>
      <c r="CO40" s="506" t="str">
        <f t="shared" si="72"/>
        <v/>
      </c>
      <c r="CP40" s="340"/>
      <c r="CQ40" s="340"/>
      <c r="CR40" s="340"/>
      <c r="CS40" s="340"/>
      <c r="CT40" s="333"/>
      <c r="CU40" s="333"/>
      <c r="CV40" s="333"/>
      <c r="CW40" s="333"/>
      <c r="CX40" s="333"/>
      <c r="CY40" s="333"/>
      <c r="CZ40" s="333"/>
      <c r="DA40" s="333"/>
      <c r="DB40" s="333"/>
      <c r="DC40" s="333"/>
      <c r="DD40" s="333"/>
      <c r="DF40" s="167" t="str">
        <f t="shared" si="45"/>
        <v>OK</v>
      </c>
      <c r="DG40" s="167" t="str">
        <f t="shared" si="46"/>
        <v>OK</v>
      </c>
      <c r="DH40" s="167" t="str">
        <f t="shared" si="47"/>
        <v>OK</v>
      </c>
      <c r="DI40" s="167" t="str">
        <f t="shared" si="48"/>
        <v>OK</v>
      </c>
      <c r="DJ40" s="168" t="str">
        <f t="shared" si="49"/>
        <v>OK</v>
      </c>
      <c r="DK40" s="153" t="str">
        <f t="shared" si="50"/>
        <v>OK</v>
      </c>
      <c r="DL40" s="153" t="str">
        <f t="shared" si="73"/>
        <v>OK</v>
      </c>
      <c r="DM40" s="153" t="str">
        <f t="shared" si="51"/>
        <v>OK</v>
      </c>
      <c r="DN40" s="153" t="str">
        <f t="shared" si="52"/>
        <v>OK</v>
      </c>
      <c r="DO40" s="153" t="str">
        <f t="shared" si="53"/>
        <v>OK</v>
      </c>
      <c r="DP40" s="153" t="str">
        <f t="shared" si="74"/>
        <v>OK</v>
      </c>
      <c r="DQ40" s="320" t="str">
        <f t="shared" si="75"/>
        <v>OK</v>
      </c>
      <c r="DR40" s="320" t="str">
        <f t="shared" si="75"/>
        <v>OK</v>
      </c>
      <c r="DS40" s="320" t="str">
        <f t="shared" si="75"/>
        <v>OK</v>
      </c>
      <c r="DT40" s="168" t="str">
        <f t="shared" si="54"/>
        <v>OK</v>
      </c>
      <c r="DU40" s="153" t="str">
        <f t="shared" si="76"/>
        <v>OK</v>
      </c>
      <c r="DV40" s="153" t="str">
        <f t="shared" si="55"/>
        <v>OK</v>
      </c>
      <c r="DW40" s="153" t="str">
        <f t="shared" si="77"/>
        <v>OK</v>
      </c>
      <c r="DX40" s="153" t="str">
        <f t="shared" si="56"/>
        <v>OK</v>
      </c>
      <c r="DY40" s="153" t="str">
        <f t="shared" si="57"/>
        <v>OK</v>
      </c>
      <c r="DZ40" s="153" t="str">
        <f t="shared" si="58"/>
        <v>OK</v>
      </c>
      <c r="EA40" s="201" t="str">
        <f t="shared" si="59"/>
        <v>OK</v>
      </c>
      <c r="EB40" s="168" t="str">
        <f t="shared" si="78"/>
        <v>OK</v>
      </c>
      <c r="EC40" s="157">
        <f t="shared" si="79"/>
        <v>0</v>
      </c>
      <c r="ED40" s="156" t="str">
        <f t="shared" si="80"/>
        <v>OK</v>
      </c>
    </row>
    <row r="41" spans="1:134" ht="17.5" hidden="1" x14ac:dyDescent="0.3">
      <c r="A41" s="232"/>
      <c r="B41" s="420" t="str">
        <f t="shared" si="0"/>
        <v>-</v>
      </c>
      <c r="C41" s="329">
        <v>16</v>
      </c>
      <c r="D41" s="589"/>
      <c r="E41" s="590"/>
      <c r="F41" s="591"/>
      <c r="G41" s="592"/>
      <c r="H41" s="769"/>
      <c r="I41" s="770"/>
      <c r="J41" s="593"/>
      <c r="K41" s="596"/>
      <c r="L41" s="597"/>
      <c r="M41" s="595"/>
      <c r="N41" s="596"/>
      <c r="O41" s="597"/>
      <c r="P41" s="501" t="str">
        <f t="shared" si="1"/>
        <v/>
      </c>
      <c r="Q41" s="501" t="str">
        <f t="shared" si="60"/>
        <v/>
      </c>
      <c r="R41" s="502" t="str">
        <f t="shared" si="2"/>
        <v/>
      </c>
      <c r="S41" s="422"/>
      <c r="T41" s="66" t="str">
        <f>IF(AND(ISNUMBER(L41),J41=FixedDim),MAX('Adjustment factors'!$S$16,0.2+0.8*L41),IF(ISTEXT(J41),VLOOKUP(J41,Afactors,2,TRUE),""))</f>
        <v/>
      </c>
      <c r="U41" s="204" t="str">
        <f>IF(AND(ISNUMBER(O41),M41=FixedDim),MAX('Adjustment factors'!$S$16,0.2+0.8*O41),IF(ISTEXT(M41),VLOOKUP(M41,Afactors,2,FALSE),""))</f>
        <v/>
      </c>
      <c r="V41" s="18" t="b">
        <f t="shared" si="61"/>
        <v>0</v>
      </c>
      <c r="W41" s="18" t="b">
        <f t="shared" si="3"/>
        <v>0</v>
      </c>
      <c r="X41" s="17" t="str">
        <f t="shared" si="4"/>
        <v/>
      </c>
      <c r="Y41" s="18" t="str">
        <f t="shared" si="5"/>
        <v/>
      </c>
      <c r="Z41" s="17" t="str">
        <f t="shared" si="6"/>
        <v/>
      </c>
      <c r="AA41" s="17" t="str">
        <f t="shared" si="7"/>
        <v/>
      </c>
      <c r="AB41" s="163" t="str">
        <f t="shared" si="8"/>
        <v/>
      </c>
      <c r="AC41" s="210">
        <f t="shared" si="9"/>
        <v>0</v>
      </c>
      <c r="AD41" s="211">
        <f t="shared" si="62"/>
        <v>0</v>
      </c>
      <c r="AE41" s="211">
        <f t="shared" si="10"/>
        <v>0</v>
      </c>
      <c r="AF41" s="211">
        <f t="shared" si="11"/>
        <v>0</v>
      </c>
      <c r="AG41" s="212">
        <f t="shared" si="12"/>
        <v>0</v>
      </c>
      <c r="AH41" s="210">
        <f t="shared" si="13"/>
        <v>0</v>
      </c>
      <c r="AI41" s="211">
        <f t="shared" si="63"/>
        <v>0</v>
      </c>
      <c r="AJ41" s="211">
        <f t="shared" si="14"/>
        <v>0</v>
      </c>
      <c r="AK41" s="211">
        <f t="shared" si="64"/>
        <v>0</v>
      </c>
      <c r="AL41" s="212">
        <f t="shared" si="15"/>
        <v>0</v>
      </c>
      <c r="AM41" s="210">
        <f t="shared" si="16"/>
        <v>0</v>
      </c>
      <c r="AN41" s="211">
        <f t="shared" si="65"/>
        <v>0</v>
      </c>
      <c r="AO41" s="211">
        <f t="shared" si="17"/>
        <v>0</v>
      </c>
      <c r="AP41" s="211">
        <f t="shared" si="66"/>
        <v>0</v>
      </c>
      <c r="AQ41" s="212">
        <f t="shared" si="18"/>
        <v>0</v>
      </c>
      <c r="AR41" s="218" t="b">
        <f t="shared" si="19"/>
        <v>1</v>
      </c>
      <c r="AS41" s="20" t="b">
        <f t="shared" si="20"/>
        <v>0</v>
      </c>
      <c r="AT41" s="20" t="b">
        <f t="shared" si="21"/>
        <v>0</v>
      </c>
      <c r="AU41" s="20" t="b">
        <f t="shared" si="22"/>
        <v>1</v>
      </c>
      <c r="AV41" s="20" t="str">
        <f t="shared" si="23"/>
        <v/>
      </c>
      <c r="AW41" s="20" t="b">
        <f t="shared" si="24"/>
        <v>0</v>
      </c>
      <c r="AX41" s="221" t="b">
        <f>IF(OR(COUNTBLANK(D41:I41)=6,AND(COUNTBLANK(D41:G41)=4,H41=0)),OR(AW42:AW$65),NOT(AW41))</f>
        <v>0</v>
      </c>
      <c r="AY41" s="20" t="b">
        <f t="shared" si="25"/>
        <v>1</v>
      </c>
      <c r="AZ41" s="20" t="b">
        <f t="shared" si="67"/>
        <v>0</v>
      </c>
      <c r="BA41" s="21">
        <f t="shared" si="26"/>
        <v>0</v>
      </c>
      <c r="BB41" s="21" t="str">
        <f t="shared" si="27"/>
        <v/>
      </c>
      <c r="BC41" s="235" t="str">
        <f t="shared" si="28"/>
        <v/>
      </c>
      <c r="BD41" s="236" t="str">
        <f t="shared" si="29"/>
        <v/>
      </c>
      <c r="BE41" s="67" t="str">
        <f t="shared" si="81"/>
        <v/>
      </c>
      <c r="BF41" s="195"/>
      <c r="BG41" s="67" t="str">
        <f t="shared" si="82"/>
        <v/>
      </c>
      <c r="BH41" s="202" t="str">
        <f t="shared" si="68"/>
        <v/>
      </c>
      <c r="BI41" s="781"/>
      <c r="BJ41" s="781"/>
      <c r="BK41" s="224" t="b">
        <f t="shared" si="69"/>
        <v>0</v>
      </c>
      <c r="BL41" s="225" t="b">
        <f t="shared" si="70"/>
        <v>0</v>
      </c>
      <c r="BM41" s="226" t="b">
        <f t="shared" si="30"/>
        <v>0</v>
      </c>
      <c r="BN41" s="224" t="b">
        <f t="shared" si="31"/>
        <v>0</v>
      </c>
      <c r="BO41" s="224" t="b">
        <f t="shared" si="32"/>
        <v>0</v>
      </c>
      <c r="BP41" s="225" t="b">
        <f t="shared" si="33"/>
        <v>0</v>
      </c>
      <c r="BQ41" s="226" t="b">
        <f t="shared" si="34"/>
        <v>0</v>
      </c>
      <c r="BR41" s="224" t="b">
        <f t="shared" si="35"/>
        <v>0</v>
      </c>
      <c r="BS41" s="225" t="b">
        <f t="shared" si="71"/>
        <v>0</v>
      </c>
      <c r="BT41" s="227" t="b">
        <f t="shared" si="36"/>
        <v>0</v>
      </c>
      <c r="BU41" s="228" t="b">
        <f t="shared" si="37"/>
        <v>0</v>
      </c>
      <c r="BV41" s="207" t="str">
        <f t="shared" si="38"/>
        <v/>
      </c>
      <c r="BX41" s="167" t="str">
        <f t="shared" si="39"/>
        <v>no data</v>
      </c>
      <c r="BZ41" s="50">
        <v>16</v>
      </c>
      <c r="CA41" s="50" t="str">
        <f t="shared" si="40"/>
        <v>-</v>
      </c>
      <c r="CC41"/>
      <c r="CE41" s="73"/>
      <c r="CF41" s="26"/>
      <c r="CG41" s="333"/>
      <c r="CH41" s="333"/>
      <c r="CI41" s="354">
        <f t="shared" si="41"/>
        <v>16</v>
      </c>
      <c r="CJ41" s="503">
        <f t="shared" si="42"/>
        <v>0</v>
      </c>
      <c r="CK41" s="503">
        <f t="shared" si="43"/>
        <v>0</v>
      </c>
      <c r="CL41" s="504" t="str">
        <f t="shared" si="44"/>
        <v/>
      </c>
      <c r="CM41" s="505" t="str">
        <f>IF(AZ41,IF(ISNUMBER(L41),MAX('Adjustment factors'!$S$16,0.2+0.8*L41),IF(ISTEXT(J41),VLOOKUP(J41,Afactors,2,FALSE),"")),"")</f>
        <v/>
      </c>
      <c r="CN41" s="505" t="str">
        <f>IF(AZ41,IF(ISNUMBER(O41),MAX('Adjustment factors'!$S$16,0.2+0.8*O41),IF(ISTEXT(M41),VLOOKUP(M41,Afactors,2,FALSE),"")),"")</f>
        <v/>
      </c>
      <c r="CO41" s="506" t="str">
        <f t="shared" si="72"/>
        <v/>
      </c>
      <c r="CP41" s="340"/>
      <c r="CQ41" s="340"/>
      <c r="CR41" s="340"/>
      <c r="CS41" s="340"/>
      <c r="CT41" s="333"/>
      <c r="CU41" s="333"/>
      <c r="CV41" s="333"/>
      <c r="CW41" s="333"/>
      <c r="CX41" s="333"/>
      <c r="CY41" s="333"/>
      <c r="CZ41" s="333"/>
      <c r="DA41" s="333"/>
      <c r="DB41" s="333"/>
      <c r="DC41" s="333"/>
      <c r="DD41" s="333"/>
      <c r="DF41" s="167" t="str">
        <f t="shared" si="45"/>
        <v>OK</v>
      </c>
      <c r="DG41" s="167" t="str">
        <f t="shared" si="46"/>
        <v>OK</v>
      </c>
      <c r="DH41" s="167" t="str">
        <f t="shared" si="47"/>
        <v>OK</v>
      </c>
      <c r="DI41" s="167" t="str">
        <f t="shared" si="48"/>
        <v>OK</v>
      </c>
      <c r="DJ41" s="168" t="str">
        <f t="shared" si="49"/>
        <v>OK</v>
      </c>
      <c r="DK41" s="153" t="str">
        <f t="shared" si="50"/>
        <v>OK</v>
      </c>
      <c r="DL41" s="153" t="str">
        <f t="shared" si="73"/>
        <v>OK</v>
      </c>
      <c r="DM41" s="153" t="str">
        <f t="shared" si="51"/>
        <v>OK</v>
      </c>
      <c r="DN41" s="153" t="str">
        <f t="shared" si="52"/>
        <v>OK</v>
      </c>
      <c r="DO41" s="153" t="str">
        <f t="shared" si="53"/>
        <v>OK</v>
      </c>
      <c r="DP41" s="153" t="str">
        <f t="shared" si="74"/>
        <v>OK</v>
      </c>
      <c r="DQ41" s="320" t="str">
        <f t="shared" si="75"/>
        <v>OK</v>
      </c>
      <c r="DR41" s="320" t="str">
        <f t="shared" si="75"/>
        <v>OK</v>
      </c>
      <c r="DS41" s="320" t="str">
        <f t="shared" si="75"/>
        <v>OK</v>
      </c>
      <c r="DT41" s="168" t="str">
        <f t="shared" si="54"/>
        <v>OK</v>
      </c>
      <c r="DU41" s="153" t="str">
        <f t="shared" si="76"/>
        <v>OK</v>
      </c>
      <c r="DV41" s="153" t="str">
        <f t="shared" si="55"/>
        <v>OK</v>
      </c>
      <c r="DW41" s="153" t="str">
        <f t="shared" si="77"/>
        <v>OK</v>
      </c>
      <c r="DX41" s="153" t="str">
        <f t="shared" si="56"/>
        <v>OK</v>
      </c>
      <c r="DY41" s="153" t="str">
        <f t="shared" si="57"/>
        <v>OK</v>
      </c>
      <c r="DZ41" s="153" t="str">
        <f t="shared" si="58"/>
        <v>OK</v>
      </c>
      <c r="EA41" s="201" t="str">
        <f t="shared" si="59"/>
        <v>OK</v>
      </c>
      <c r="EB41" s="168" t="str">
        <f t="shared" si="78"/>
        <v>OK</v>
      </c>
      <c r="EC41" s="157">
        <f t="shared" si="79"/>
        <v>0</v>
      </c>
      <c r="ED41" s="156" t="str">
        <f t="shared" si="80"/>
        <v>OK</v>
      </c>
    </row>
    <row r="42" spans="1:134" ht="17.5" hidden="1" x14ac:dyDescent="0.3">
      <c r="A42" s="232"/>
      <c r="B42" s="420" t="str">
        <f t="shared" si="0"/>
        <v>-</v>
      </c>
      <c r="C42" s="329">
        <v>17</v>
      </c>
      <c r="D42" s="589"/>
      <c r="E42" s="590"/>
      <c r="F42" s="591"/>
      <c r="G42" s="592"/>
      <c r="H42" s="769"/>
      <c r="I42" s="770"/>
      <c r="J42" s="593"/>
      <c r="K42" s="596"/>
      <c r="L42" s="597"/>
      <c r="M42" s="595"/>
      <c r="N42" s="596"/>
      <c r="O42" s="597"/>
      <c r="P42" s="501" t="str">
        <f t="shared" si="1"/>
        <v/>
      </c>
      <c r="Q42" s="501" t="str">
        <f t="shared" si="60"/>
        <v/>
      </c>
      <c r="R42" s="502" t="str">
        <f t="shared" si="2"/>
        <v/>
      </c>
      <c r="S42" s="422"/>
      <c r="T42" s="66" t="str">
        <f>IF(AND(ISNUMBER(L42),J42=FixedDim),MAX('Adjustment factors'!$S$16,0.2+0.8*L42),IF(ISTEXT(J42),VLOOKUP(J42,Afactors,2,TRUE),""))</f>
        <v/>
      </c>
      <c r="U42" s="204" t="str">
        <f>IF(AND(ISNUMBER(O42),M42=FixedDim),MAX('Adjustment factors'!$S$16,0.2+0.8*O42),IF(ISTEXT(M42),VLOOKUP(M42,Afactors,2,FALSE),""))</f>
        <v/>
      </c>
      <c r="V42" s="18" t="b">
        <f t="shared" si="61"/>
        <v>0</v>
      </c>
      <c r="W42" s="18" t="b">
        <f t="shared" si="3"/>
        <v>0</v>
      </c>
      <c r="X42" s="17" t="str">
        <f t="shared" si="4"/>
        <v/>
      </c>
      <c r="Y42" s="18" t="str">
        <f t="shared" si="5"/>
        <v/>
      </c>
      <c r="Z42" s="17" t="str">
        <f t="shared" si="6"/>
        <v/>
      </c>
      <c r="AA42" s="17" t="str">
        <f t="shared" si="7"/>
        <v/>
      </c>
      <c r="AB42" s="163" t="str">
        <f t="shared" si="8"/>
        <v/>
      </c>
      <c r="AC42" s="210">
        <f t="shared" si="9"/>
        <v>0</v>
      </c>
      <c r="AD42" s="211">
        <f t="shared" si="62"/>
        <v>0</v>
      </c>
      <c r="AE42" s="211">
        <f t="shared" si="10"/>
        <v>0</v>
      </c>
      <c r="AF42" s="211">
        <f t="shared" si="11"/>
        <v>0</v>
      </c>
      <c r="AG42" s="212">
        <f t="shared" si="12"/>
        <v>0</v>
      </c>
      <c r="AH42" s="210">
        <f t="shared" si="13"/>
        <v>0</v>
      </c>
      <c r="AI42" s="211">
        <f t="shared" si="63"/>
        <v>0</v>
      </c>
      <c r="AJ42" s="211">
        <f t="shared" si="14"/>
        <v>0</v>
      </c>
      <c r="AK42" s="211">
        <f t="shared" si="64"/>
        <v>0</v>
      </c>
      <c r="AL42" s="212">
        <f t="shared" si="15"/>
        <v>0</v>
      </c>
      <c r="AM42" s="210">
        <f t="shared" si="16"/>
        <v>0</v>
      </c>
      <c r="AN42" s="211">
        <f t="shared" si="65"/>
        <v>0</v>
      </c>
      <c r="AO42" s="211">
        <f t="shared" si="17"/>
        <v>0</v>
      </c>
      <c r="AP42" s="211">
        <f t="shared" si="66"/>
        <v>0</v>
      </c>
      <c r="AQ42" s="212">
        <f t="shared" si="18"/>
        <v>0</v>
      </c>
      <c r="AR42" s="218" t="b">
        <f t="shared" si="19"/>
        <v>1</v>
      </c>
      <c r="AS42" s="20" t="b">
        <f t="shared" si="20"/>
        <v>0</v>
      </c>
      <c r="AT42" s="20" t="b">
        <f t="shared" si="21"/>
        <v>0</v>
      </c>
      <c r="AU42" s="20" t="b">
        <f t="shared" si="22"/>
        <v>1</v>
      </c>
      <c r="AV42" s="20" t="str">
        <f t="shared" si="23"/>
        <v/>
      </c>
      <c r="AW42" s="20" t="b">
        <f t="shared" si="24"/>
        <v>0</v>
      </c>
      <c r="AX42" s="221" t="b">
        <f>IF(OR(COUNTBLANK(D42:I42)=6,AND(COUNTBLANK(D42:G42)=4,H42=0)),OR(AW43:AW$65),NOT(AW42))</f>
        <v>0</v>
      </c>
      <c r="AY42" s="20" t="b">
        <f t="shared" si="25"/>
        <v>1</v>
      </c>
      <c r="AZ42" s="20" t="b">
        <f t="shared" si="67"/>
        <v>0</v>
      </c>
      <c r="BA42" s="21">
        <f t="shared" si="26"/>
        <v>0</v>
      </c>
      <c r="BB42" s="21" t="str">
        <f t="shared" si="27"/>
        <v/>
      </c>
      <c r="BC42" s="235" t="str">
        <f t="shared" si="28"/>
        <v/>
      </c>
      <c r="BD42" s="236" t="str">
        <f t="shared" si="29"/>
        <v/>
      </c>
      <c r="BE42" s="67" t="str">
        <f t="shared" si="81"/>
        <v/>
      </c>
      <c r="BF42" s="195"/>
      <c r="BG42" s="67" t="str">
        <f t="shared" si="82"/>
        <v/>
      </c>
      <c r="BH42" s="202" t="str">
        <f t="shared" si="68"/>
        <v/>
      </c>
      <c r="BI42" s="781"/>
      <c r="BJ42" s="781"/>
      <c r="BK42" s="224" t="b">
        <f t="shared" si="69"/>
        <v>0</v>
      </c>
      <c r="BL42" s="225" t="b">
        <f t="shared" si="70"/>
        <v>0</v>
      </c>
      <c r="BM42" s="226" t="b">
        <f t="shared" si="30"/>
        <v>0</v>
      </c>
      <c r="BN42" s="224" t="b">
        <f t="shared" si="31"/>
        <v>0</v>
      </c>
      <c r="BO42" s="224" t="b">
        <f t="shared" si="32"/>
        <v>0</v>
      </c>
      <c r="BP42" s="225" t="b">
        <f t="shared" si="33"/>
        <v>0</v>
      </c>
      <c r="BQ42" s="226" t="b">
        <f t="shared" si="34"/>
        <v>0</v>
      </c>
      <c r="BR42" s="224" t="b">
        <f t="shared" si="35"/>
        <v>0</v>
      </c>
      <c r="BS42" s="225" t="b">
        <f t="shared" si="71"/>
        <v>0</v>
      </c>
      <c r="BT42" s="227" t="b">
        <f t="shared" si="36"/>
        <v>0</v>
      </c>
      <c r="BU42" s="228" t="b">
        <f t="shared" si="37"/>
        <v>0</v>
      </c>
      <c r="BV42" s="207" t="str">
        <f t="shared" si="38"/>
        <v/>
      </c>
      <c r="BX42" s="167" t="str">
        <f t="shared" si="39"/>
        <v>no data</v>
      </c>
      <c r="BZ42" s="50">
        <v>17</v>
      </c>
      <c r="CA42" s="50" t="str">
        <f t="shared" si="40"/>
        <v>-</v>
      </c>
      <c r="CC42"/>
      <c r="CE42" s="73"/>
      <c r="CF42" s="26"/>
      <c r="CG42" s="333"/>
      <c r="CH42" s="333"/>
      <c r="CI42" s="354">
        <f t="shared" si="41"/>
        <v>17</v>
      </c>
      <c r="CJ42" s="503">
        <f t="shared" si="42"/>
        <v>0</v>
      </c>
      <c r="CK42" s="503">
        <f t="shared" si="43"/>
        <v>0</v>
      </c>
      <c r="CL42" s="504" t="str">
        <f t="shared" si="44"/>
        <v/>
      </c>
      <c r="CM42" s="505" t="str">
        <f>IF(AZ42,IF(ISNUMBER(L42),MAX('Adjustment factors'!$S$16,0.2+0.8*L42),IF(ISTEXT(J42),VLOOKUP(J42,Afactors,2,FALSE),"")),"")</f>
        <v/>
      </c>
      <c r="CN42" s="505" t="str">
        <f>IF(AZ42,IF(ISNUMBER(O42),MAX('Adjustment factors'!$S$16,0.2+0.8*O42),IF(ISTEXT(M42),VLOOKUP(M42,Afactors,2,FALSE),"")),"")</f>
        <v/>
      </c>
      <c r="CO42" s="506" t="str">
        <f t="shared" si="72"/>
        <v/>
      </c>
      <c r="CP42" s="340"/>
      <c r="CQ42" s="340"/>
      <c r="CR42" s="340"/>
      <c r="CS42" s="340"/>
      <c r="CT42" s="333"/>
      <c r="CU42" s="333"/>
      <c r="CV42" s="333"/>
      <c r="CW42" s="333"/>
      <c r="CX42" s="333"/>
      <c r="CY42" s="333"/>
      <c r="CZ42" s="333"/>
      <c r="DA42" s="333"/>
      <c r="DB42" s="333"/>
      <c r="DC42" s="333"/>
      <c r="DD42" s="333"/>
      <c r="DF42" s="167" t="str">
        <f t="shared" si="45"/>
        <v>OK</v>
      </c>
      <c r="DG42" s="167" t="str">
        <f t="shared" si="46"/>
        <v>OK</v>
      </c>
      <c r="DH42" s="167" t="str">
        <f t="shared" si="47"/>
        <v>OK</v>
      </c>
      <c r="DI42" s="167" t="str">
        <f t="shared" si="48"/>
        <v>OK</v>
      </c>
      <c r="DJ42" s="168" t="str">
        <f t="shared" si="49"/>
        <v>OK</v>
      </c>
      <c r="DK42" s="153" t="str">
        <f t="shared" si="50"/>
        <v>OK</v>
      </c>
      <c r="DL42" s="153" t="str">
        <f t="shared" si="73"/>
        <v>OK</v>
      </c>
      <c r="DM42" s="153" t="str">
        <f t="shared" si="51"/>
        <v>OK</v>
      </c>
      <c r="DN42" s="153" t="str">
        <f t="shared" si="52"/>
        <v>OK</v>
      </c>
      <c r="DO42" s="153" t="str">
        <f t="shared" si="53"/>
        <v>OK</v>
      </c>
      <c r="DP42" s="153" t="str">
        <f t="shared" si="74"/>
        <v>OK</v>
      </c>
      <c r="DQ42" s="320" t="str">
        <f t="shared" si="75"/>
        <v>OK</v>
      </c>
      <c r="DR42" s="320" t="str">
        <f t="shared" si="75"/>
        <v>OK</v>
      </c>
      <c r="DS42" s="320" t="str">
        <f t="shared" si="75"/>
        <v>OK</v>
      </c>
      <c r="DT42" s="168" t="str">
        <f t="shared" si="54"/>
        <v>OK</v>
      </c>
      <c r="DU42" s="153" t="str">
        <f t="shared" si="76"/>
        <v>OK</v>
      </c>
      <c r="DV42" s="153" t="str">
        <f t="shared" si="55"/>
        <v>OK</v>
      </c>
      <c r="DW42" s="153" t="str">
        <f t="shared" si="77"/>
        <v>OK</v>
      </c>
      <c r="DX42" s="153" t="str">
        <f t="shared" si="56"/>
        <v>OK</v>
      </c>
      <c r="DY42" s="153" t="str">
        <f t="shared" si="57"/>
        <v>OK</v>
      </c>
      <c r="DZ42" s="153" t="str">
        <f t="shared" si="58"/>
        <v>OK</v>
      </c>
      <c r="EA42" s="201" t="str">
        <f t="shared" si="59"/>
        <v>OK</v>
      </c>
      <c r="EB42" s="168" t="str">
        <f t="shared" si="78"/>
        <v>OK</v>
      </c>
      <c r="EC42" s="157">
        <f t="shared" si="79"/>
        <v>0</v>
      </c>
      <c r="ED42" s="156" t="str">
        <f t="shared" si="80"/>
        <v>OK</v>
      </c>
    </row>
    <row r="43" spans="1:134" ht="17.5" hidden="1" x14ac:dyDescent="0.3">
      <c r="A43" s="232"/>
      <c r="B43" s="420" t="str">
        <f t="shared" si="0"/>
        <v>-</v>
      </c>
      <c r="C43" s="329">
        <v>18</v>
      </c>
      <c r="D43" s="589"/>
      <c r="E43" s="590"/>
      <c r="F43" s="591"/>
      <c r="G43" s="592"/>
      <c r="H43" s="769"/>
      <c r="I43" s="770"/>
      <c r="J43" s="593"/>
      <c r="K43" s="596"/>
      <c r="L43" s="597"/>
      <c r="M43" s="595"/>
      <c r="N43" s="596"/>
      <c r="O43" s="597"/>
      <c r="P43" s="501" t="str">
        <f t="shared" si="1"/>
        <v/>
      </c>
      <c r="Q43" s="501" t="str">
        <f t="shared" si="60"/>
        <v/>
      </c>
      <c r="R43" s="502" t="str">
        <f t="shared" si="2"/>
        <v/>
      </c>
      <c r="S43" s="422"/>
      <c r="T43" s="66" t="str">
        <f>IF(AND(ISNUMBER(L43),J43=FixedDim),MAX('Adjustment factors'!$S$16,0.2+0.8*L43),IF(ISTEXT(J43),VLOOKUP(J43,Afactors,2,TRUE),""))</f>
        <v/>
      </c>
      <c r="U43" s="204" t="str">
        <f>IF(AND(ISNUMBER(O43),M43=FixedDim),MAX('Adjustment factors'!$S$16,0.2+0.8*O43),IF(ISTEXT(M43),VLOOKUP(M43,Afactors,2,FALSE),""))</f>
        <v/>
      </c>
      <c r="V43" s="18" t="b">
        <f t="shared" si="61"/>
        <v>0</v>
      </c>
      <c r="W43" s="18" t="b">
        <f t="shared" si="3"/>
        <v>0</v>
      </c>
      <c r="X43" s="17" t="str">
        <f t="shared" si="4"/>
        <v/>
      </c>
      <c r="Y43" s="18" t="str">
        <f t="shared" si="5"/>
        <v/>
      </c>
      <c r="Z43" s="17" t="str">
        <f t="shared" si="6"/>
        <v/>
      </c>
      <c r="AA43" s="17" t="str">
        <f t="shared" si="7"/>
        <v/>
      </c>
      <c r="AB43" s="163" t="str">
        <f t="shared" si="8"/>
        <v/>
      </c>
      <c r="AC43" s="210">
        <f t="shared" si="9"/>
        <v>0</v>
      </c>
      <c r="AD43" s="211">
        <f t="shared" si="62"/>
        <v>0</v>
      </c>
      <c r="AE43" s="211">
        <f t="shared" si="10"/>
        <v>0</v>
      </c>
      <c r="AF43" s="211">
        <f t="shared" si="11"/>
        <v>0</v>
      </c>
      <c r="AG43" s="212">
        <f t="shared" si="12"/>
        <v>0</v>
      </c>
      <c r="AH43" s="210">
        <f t="shared" si="13"/>
        <v>0</v>
      </c>
      <c r="AI43" s="211">
        <f t="shared" si="63"/>
        <v>0</v>
      </c>
      <c r="AJ43" s="211">
        <f t="shared" si="14"/>
        <v>0</v>
      </c>
      <c r="AK43" s="211">
        <f t="shared" si="64"/>
        <v>0</v>
      </c>
      <c r="AL43" s="212">
        <f t="shared" si="15"/>
        <v>0</v>
      </c>
      <c r="AM43" s="210">
        <f t="shared" si="16"/>
        <v>0</v>
      </c>
      <c r="AN43" s="211">
        <f t="shared" si="65"/>
        <v>0</v>
      </c>
      <c r="AO43" s="211">
        <f t="shared" si="17"/>
        <v>0</v>
      </c>
      <c r="AP43" s="211">
        <f t="shared" si="66"/>
        <v>0</v>
      </c>
      <c r="AQ43" s="212">
        <f t="shared" si="18"/>
        <v>0</v>
      </c>
      <c r="AR43" s="218" t="b">
        <f t="shared" si="19"/>
        <v>1</v>
      </c>
      <c r="AS43" s="20" t="b">
        <f t="shared" si="20"/>
        <v>0</v>
      </c>
      <c r="AT43" s="20" t="b">
        <f t="shared" si="21"/>
        <v>0</v>
      </c>
      <c r="AU43" s="20" t="b">
        <f t="shared" si="22"/>
        <v>1</v>
      </c>
      <c r="AV43" s="20" t="str">
        <f t="shared" si="23"/>
        <v/>
      </c>
      <c r="AW43" s="20" t="b">
        <f t="shared" si="24"/>
        <v>0</v>
      </c>
      <c r="AX43" s="221" t="b">
        <f>IF(OR(COUNTBLANK(D43:I43)=6,AND(COUNTBLANK(D43:G43)=4,H43=0)),OR(AW44:AW$65),NOT(AW43))</f>
        <v>0</v>
      </c>
      <c r="AY43" s="20" t="b">
        <f t="shared" si="25"/>
        <v>1</v>
      </c>
      <c r="AZ43" s="20" t="b">
        <f t="shared" si="67"/>
        <v>0</v>
      </c>
      <c r="BA43" s="21">
        <f t="shared" si="26"/>
        <v>0</v>
      </c>
      <c r="BB43" s="21" t="str">
        <f t="shared" si="27"/>
        <v/>
      </c>
      <c r="BC43" s="235" t="str">
        <f t="shared" si="28"/>
        <v/>
      </c>
      <c r="BD43" s="236" t="str">
        <f t="shared" si="29"/>
        <v/>
      </c>
      <c r="BE43" s="67" t="str">
        <f t="shared" si="81"/>
        <v/>
      </c>
      <c r="BF43" s="195"/>
      <c r="BG43" s="67" t="str">
        <f t="shared" si="82"/>
        <v/>
      </c>
      <c r="BH43" s="202" t="str">
        <f t="shared" si="68"/>
        <v/>
      </c>
      <c r="BI43" s="781"/>
      <c r="BJ43" s="781"/>
      <c r="BK43" s="224" t="b">
        <f t="shared" si="69"/>
        <v>0</v>
      </c>
      <c r="BL43" s="225" t="b">
        <f t="shared" si="70"/>
        <v>0</v>
      </c>
      <c r="BM43" s="226" t="b">
        <f t="shared" si="30"/>
        <v>0</v>
      </c>
      <c r="BN43" s="224" t="b">
        <f t="shared" si="31"/>
        <v>0</v>
      </c>
      <c r="BO43" s="224" t="b">
        <f t="shared" si="32"/>
        <v>0</v>
      </c>
      <c r="BP43" s="225" t="b">
        <f t="shared" si="33"/>
        <v>0</v>
      </c>
      <c r="BQ43" s="226" t="b">
        <f t="shared" si="34"/>
        <v>0</v>
      </c>
      <c r="BR43" s="224" t="b">
        <f t="shared" si="35"/>
        <v>0</v>
      </c>
      <c r="BS43" s="225" t="b">
        <f t="shared" si="71"/>
        <v>0</v>
      </c>
      <c r="BT43" s="227" t="b">
        <f t="shared" si="36"/>
        <v>0</v>
      </c>
      <c r="BU43" s="228" t="b">
        <f t="shared" si="37"/>
        <v>0</v>
      </c>
      <c r="BV43" s="207" t="str">
        <f t="shared" si="38"/>
        <v/>
      </c>
      <c r="BX43" s="167" t="str">
        <f t="shared" si="39"/>
        <v>no data</v>
      </c>
      <c r="BZ43" s="50">
        <v>18</v>
      </c>
      <c r="CA43" s="50" t="str">
        <f t="shared" si="40"/>
        <v>-</v>
      </c>
      <c r="CC43"/>
      <c r="CE43" s="74"/>
      <c r="CF43" s="26"/>
      <c r="CG43" s="333"/>
      <c r="CH43" s="333"/>
      <c r="CI43" s="354">
        <f t="shared" si="41"/>
        <v>18</v>
      </c>
      <c r="CJ43" s="503">
        <f t="shared" si="42"/>
        <v>0</v>
      </c>
      <c r="CK43" s="503">
        <f t="shared" si="43"/>
        <v>0</v>
      </c>
      <c r="CL43" s="504" t="str">
        <f t="shared" si="44"/>
        <v/>
      </c>
      <c r="CM43" s="505" t="str">
        <f>IF(AZ43,IF(ISNUMBER(L43),MAX('Adjustment factors'!$S$16,0.2+0.8*L43),IF(ISTEXT(J43),VLOOKUP(J43,Afactors,2,FALSE),"")),"")</f>
        <v/>
      </c>
      <c r="CN43" s="505" t="str">
        <f>IF(AZ43,IF(ISNUMBER(O43),MAX('Adjustment factors'!$S$16,0.2+0.8*O43),IF(ISTEXT(M43),VLOOKUP(M43,Afactors,2,FALSE),"")),"")</f>
        <v/>
      </c>
      <c r="CO43" s="506" t="str">
        <f t="shared" si="72"/>
        <v/>
      </c>
      <c r="CP43" s="340"/>
      <c r="CQ43" s="340"/>
      <c r="CR43" s="340"/>
      <c r="CS43" s="340"/>
      <c r="CT43" s="333"/>
      <c r="CU43" s="333"/>
      <c r="CV43" s="333"/>
      <c r="CW43" s="333"/>
      <c r="CX43" s="333"/>
      <c r="CY43" s="333"/>
      <c r="CZ43" s="333"/>
      <c r="DA43" s="333"/>
      <c r="DB43" s="333"/>
      <c r="DC43" s="333"/>
      <c r="DD43" s="333"/>
      <c r="DF43" s="167" t="str">
        <f t="shared" si="45"/>
        <v>OK</v>
      </c>
      <c r="DG43" s="167" t="str">
        <f t="shared" si="46"/>
        <v>OK</v>
      </c>
      <c r="DH43" s="167" t="str">
        <f t="shared" si="47"/>
        <v>OK</v>
      </c>
      <c r="DI43" s="167" t="str">
        <f t="shared" si="48"/>
        <v>OK</v>
      </c>
      <c r="DJ43" s="168" t="str">
        <f t="shared" si="49"/>
        <v>OK</v>
      </c>
      <c r="DK43" s="153" t="str">
        <f t="shared" si="50"/>
        <v>OK</v>
      </c>
      <c r="DL43" s="153" t="str">
        <f t="shared" si="73"/>
        <v>OK</v>
      </c>
      <c r="DM43" s="153" t="str">
        <f t="shared" si="51"/>
        <v>OK</v>
      </c>
      <c r="DN43" s="153" t="str">
        <f t="shared" si="52"/>
        <v>OK</v>
      </c>
      <c r="DO43" s="153" t="str">
        <f t="shared" si="53"/>
        <v>OK</v>
      </c>
      <c r="DP43" s="153" t="str">
        <f t="shared" si="74"/>
        <v>OK</v>
      </c>
      <c r="DQ43" s="320" t="str">
        <f t="shared" si="75"/>
        <v>OK</v>
      </c>
      <c r="DR43" s="320" t="str">
        <f t="shared" si="75"/>
        <v>OK</v>
      </c>
      <c r="DS43" s="320" t="str">
        <f t="shared" si="75"/>
        <v>OK</v>
      </c>
      <c r="DT43" s="168" t="str">
        <f t="shared" si="54"/>
        <v>OK</v>
      </c>
      <c r="DU43" s="153" t="str">
        <f t="shared" si="76"/>
        <v>OK</v>
      </c>
      <c r="DV43" s="153" t="str">
        <f t="shared" si="55"/>
        <v>OK</v>
      </c>
      <c r="DW43" s="153" t="str">
        <f t="shared" si="77"/>
        <v>OK</v>
      </c>
      <c r="DX43" s="153" t="str">
        <f t="shared" si="56"/>
        <v>OK</v>
      </c>
      <c r="DY43" s="153" t="str">
        <f t="shared" si="57"/>
        <v>OK</v>
      </c>
      <c r="DZ43" s="153" t="str">
        <f t="shared" si="58"/>
        <v>OK</v>
      </c>
      <c r="EA43" s="201" t="str">
        <f t="shared" si="59"/>
        <v>OK</v>
      </c>
      <c r="EB43" s="168" t="str">
        <f t="shared" si="78"/>
        <v>OK</v>
      </c>
      <c r="EC43" s="157">
        <f t="shared" si="79"/>
        <v>0</v>
      </c>
      <c r="ED43" s="156" t="str">
        <f t="shared" si="80"/>
        <v>OK</v>
      </c>
    </row>
    <row r="44" spans="1:134" ht="17.5" hidden="1" x14ac:dyDescent="0.3">
      <c r="A44" s="232"/>
      <c r="B44" s="420" t="str">
        <f t="shared" si="0"/>
        <v>-</v>
      </c>
      <c r="C44" s="329">
        <v>19</v>
      </c>
      <c r="D44" s="589"/>
      <c r="E44" s="590"/>
      <c r="F44" s="591"/>
      <c r="G44" s="592"/>
      <c r="H44" s="769"/>
      <c r="I44" s="770"/>
      <c r="J44" s="593"/>
      <c r="K44" s="596"/>
      <c r="L44" s="597"/>
      <c r="M44" s="595"/>
      <c r="N44" s="596"/>
      <c r="O44" s="597"/>
      <c r="P44" s="501" t="str">
        <f t="shared" si="1"/>
        <v/>
      </c>
      <c r="Q44" s="501" t="str">
        <f t="shared" si="60"/>
        <v/>
      </c>
      <c r="R44" s="502" t="str">
        <f t="shared" si="2"/>
        <v/>
      </c>
      <c r="S44" s="422"/>
      <c r="T44" s="66" t="str">
        <f>IF(AND(ISNUMBER(L44),J44=FixedDim),MAX('Adjustment factors'!$S$16,0.2+0.8*L44),IF(ISTEXT(J44),VLOOKUP(J44,Afactors,2,TRUE),""))</f>
        <v/>
      </c>
      <c r="U44" s="204" t="str">
        <f>IF(AND(ISNUMBER(O44),M44=FixedDim),MAX('Adjustment factors'!$S$16,0.2+0.8*O44),IF(ISTEXT(M44),VLOOKUP(M44,Afactors,2,FALSE),""))</f>
        <v/>
      </c>
      <c r="V44" s="18" t="b">
        <f t="shared" si="61"/>
        <v>0</v>
      </c>
      <c r="W44" s="18" t="b">
        <f t="shared" si="3"/>
        <v>0</v>
      </c>
      <c r="X44" s="17" t="str">
        <f t="shared" si="4"/>
        <v/>
      </c>
      <c r="Y44" s="18" t="str">
        <f t="shared" si="5"/>
        <v/>
      </c>
      <c r="Z44" s="17" t="str">
        <f t="shared" si="6"/>
        <v/>
      </c>
      <c r="AA44" s="17" t="str">
        <f t="shared" si="7"/>
        <v/>
      </c>
      <c r="AB44" s="163" t="str">
        <f t="shared" si="8"/>
        <v/>
      </c>
      <c r="AC44" s="210">
        <f t="shared" si="9"/>
        <v>0</v>
      </c>
      <c r="AD44" s="211">
        <f t="shared" si="62"/>
        <v>0</v>
      </c>
      <c r="AE44" s="211">
        <f t="shared" si="10"/>
        <v>0</v>
      </c>
      <c r="AF44" s="211">
        <f t="shared" si="11"/>
        <v>0</v>
      </c>
      <c r="AG44" s="212">
        <f t="shared" si="12"/>
        <v>0</v>
      </c>
      <c r="AH44" s="210">
        <f t="shared" si="13"/>
        <v>0</v>
      </c>
      <c r="AI44" s="211">
        <f t="shared" si="63"/>
        <v>0</v>
      </c>
      <c r="AJ44" s="211">
        <f t="shared" si="14"/>
        <v>0</v>
      </c>
      <c r="AK44" s="211">
        <f t="shared" si="64"/>
        <v>0</v>
      </c>
      <c r="AL44" s="212">
        <f t="shared" si="15"/>
        <v>0</v>
      </c>
      <c r="AM44" s="210">
        <f t="shared" si="16"/>
        <v>0</v>
      </c>
      <c r="AN44" s="211">
        <f t="shared" si="65"/>
        <v>0</v>
      </c>
      <c r="AO44" s="211">
        <f t="shared" si="17"/>
        <v>0</v>
      </c>
      <c r="AP44" s="211">
        <f t="shared" si="66"/>
        <v>0</v>
      </c>
      <c r="AQ44" s="212">
        <f t="shared" si="18"/>
        <v>0</v>
      </c>
      <c r="AR44" s="218" t="b">
        <f t="shared" si="19"/>
        <v>1</v>
      </c>
      <c r="AS44" s="20" t="b">
        <f t="shared" si="20"/>
        <v>0</v>
      </c>
      <c r="AT44" s="20" t="b">
        <f t="shared" si="21"/>
        <v>0</v>
      </c>
      <c r="AU44" s="20" t="b">
        <f t="shared" si="22"/>
        <v>1</v>
      </c>
      <c r="AV44" s="20" t="str">
        <f t="shared" si="23"/>
        <v/>
      </c>
      <c r="AW44" s="20" t="b">
        <f t="shared" si="24"/>
        <v>0</v>
      </c>
      <c r="AX44" s="221" t="b">
        <f>IF(OR(COUNTBLANK(D44:I44)=6,AND(COUNTBLANK(D44:G44)=4,H44=0)),OR(AW45:AW$65),NOT(AW44))</f>
        <v>0</v>
      </c>
      <c r="AY44" s="20" t="b">
        <f t="shared" si="25"/>
        <v>1</v>
      </c>
      <c r="AZ44" s="20" t="b">
        <f t="shared" si="67"/>
        <v>0</v>
      </c>
      <c r="BA44" s="21">
        <f t="shared" si="26"/>
        <v>0</v>
      </c>
      <c r="BB44" s="21" t="str">
        <f t="shared" si="27"/>
        <v/>
      </c>
      <c r="BC44" s="235" t="str">
        <f t="shared" si="28"/>
        <v/>
      </c>
      <c r="BD44" s="236" t="str">
        <f t="shared" si="29"/>
        <v/>
      </c>
      <c r="BE44" s="67" t="str">
        <f t="shared" si="81"/>
        <v/>
      </c>
      <c r="BF44" s="195"/>
      <c r="BG44" s="67" t="str">
        <f t="shared" si="82"/>
        <v/>
      </c>
      <c r="BH44" s="202" t="str">
        <f t="shared" si="68"/>
        <v/>
      </c>
      <c r="BI44" s="781"/>
      <c r="BJ44" s="781"/>
      <c r="BK44" s="224" t="b">
        <f t="shared" si="69"/>
        <v>0</v>
      </c>
      <c r="BL44" s="225" t="b">
        <f t="shared" si="70"/>
        <v>0</v>
      </c>
      <c r="BM44" s="226" t="b">
        <f t="shared" si="30"/>
        <v>0</v>
      </c>
      <c r="BN44" s="224" t="b">
        <f t="shared" si="31"/>
        <v>0</v>
      </c>
      <c r="BO44" s="224" t="b">
        <f t="shared" si="32"/>
        <v>0</v>
      </c>
      <c r="BP44" s="225" t="b">
        <f t="shared" si="33"/>
        <v>0</v>
      </c>
      <c r="BQ44" s="226" t="b">
        <f t="shared" si="34"/>
        <v>0</v>
      </c>
      <c r="BR44" s="224" t="b">
        <f t="shared" si="35"/>
        <v>0</v>
      </c>
      <c r="BS44" s="225" t="b">
        <f t="shared" si="71"/>
        <v>0</v>
      </c>
      <c r="BT44" s="227" t="b">
        <f t="shared" si="36"/>
        <v>0</v>
      </c>
      <c r="BU44" s="228" t="b">
        <f t="shared" si="37"/>
        <v>0</v>
      </c>
      <c r="BV44" s="207" t="str">
        <f t="shared" si="38"/>
        <v/>
      </c>
      <c r="BX44" s="167" t="str">
        <f t="shared" si="39"/>
        <v>no data</v>
      </c>
      <c r="BZ44" s="50">
        <v>19</v>
      </c>
      <c r="CA44" s="50" t="str">
        <f t="shared" si="40"/>
        <v>-</v>
      </c>
      <c r="CC44"/>
      <c r="CE44" s="73"/>
      <c r="CF44" s="26"/>
      <c r="CG44" s="333"/>
      <c r="CH44" s="333"/>
      <c r="CI44" s="354">
        <f t="shared" si="41"/>
        <v>19</v>
      </c>
      <c r="CJ44" s="503">
        <f t="shared" si="42"/>
        <v>0</v>
      </c>
      <c r="CK44" s="503">
        <f t="shared" si="43"/>
        <v>0</v>
      </c>
      <c r="CL44" s="504" t="str">
        <f t="shared" si="44"/>
        <v/>
      </c>
      <c r="CM44" s="505" t="str">
        <f>IF(AZ44,IF(ISNUMBER(L44),MAX('Adjustment factors'!$S$16,0.2+0.8*L44),IF(ISTEXT(J44),VLOOKUP(J44,Afactors,2,FALSE),"")),"")</f>
        <v/>
      </c>
      <c r="CN44" s="505" t="str">
        <f>IF(AZ44,IF(ISNUMBER(O44),MAX('Adjustment factors'!$S$16,0.2+0.8*O44),IF(ISTEXT(M44),VLOOKUP(M44,Afactors,2,FALSE),"")),"")</f>
        <v/>
      </c>
      <c r="CO44" s="506" t="str">
        <f t="shared" si="72"/>
        <v/>
      </c>
      <c r="CP44" s="340"/>
      <c r="CQ44" s="340"/>
      <c r="CR44" s="340"/>
      <c r="CS44" s="340"/>
      <c r="CT44" s="333"/>
      <c r="CU44" s="333"/>
      <c r="CV44" s="333"/>
      <c r="CW44" s="333"/>
      <c r="CX44" s="333"/>
      <c r="CY44" s="333"/>
      <c r="CZ44" s="333"/>
      <c r="DA44" s="333"/>
      <c r="DB44" s="333"/>
      <c r="DC44" s="333"/>
      <c r="DD44" s="333"/>
      <c r="DF44" s="167" t="str">
        <f t="shared" si="45"/>
        <v>OK</v>
      </c>
      <c r="DG44" s="167" t="str">
        <f t="shared" si="46"/>
        <v>OK</v>
      </c>
      <c r="DH44" s="167" t="str">
        <f t="shared" si="47"/>
        <v>OK</v>
      </c>
      <c r="DI44" s="167" t="str">
        <f t="shared" si="48"/>
        <v>OK</v>
      </c>
      <c r="DJ44" s="168" t="str">
        <f t="shared" si="49"/>
        <v>OK</v>
      </c>
      <c r="DK44" s="153" t="str">
        <f t="shared" si="50"/>
        <v>OK</v>
      </c>
      <c r="DL44" s="153" t="str">
        <f t="shared" si="73"/>
        <v>OK</v>
      </c>
      <c r="DM44" s="153" t="str">
        <f t="shared" si="51"/>
        <v>OK</v>
      </c>
      <c r="DN44" s="153" t="str">
        <f t="shared" si="52"/>
        <v>OK</v>
      </c>
      <c r="DO44" s="153" t="str">
        <f t="shared" si="53"/>
        <v>OK</v>
      </c>
      <c r="DP44" s="153" t="str">
        <f t="shared" si="74"/>
        <v>OK</v>
      </c>
      <c r="DQ44" s="320" t="str">
        <f t="shared" si="75"/>
        <v>OK</v>
      </c>
      <c r="DR44" s="320" t="str">
        <f t="shared" si="75"/>
        <v>OK</v>
      </c>
      <c r="DS44" s="320" t="str">
        <f t="shared" si="75"/>
        <v>OK</v>
      </c>
      <c r="DT44" s="168" t="str">
        <f t="shared" si="54"/>
        <v>OK</v>
      </c>
      <c r="DU44" s="153" t="str">
        <f t="shared" si="76"/>
        <v>OK</v>
      </c>
      <c r="DV44" s="153" t="str">
        <f t="shared" si="55"/>
        <v>OK</v>
      </c>
      <c r="DW44" s="153" t="str">
        <f t="shared" si="77"/>
        <v>OK</v>
      </c>
      <c r="DX44" s="153" t="str">
        <f t="shared" si="56"/>
        <v>OK</v>
      </c>
      <c r="DY44" s="153" t="str">
        <f t="shared" si="57"/>
        <v>OK</v>
      </c>
      <c r="DZ44" s="153" t="str">
        <f t="shared" si="58"/>
        <v>OK</v>
      </c>
      <c r="EA44" s="201" t="str">
        <f t="shared" si="59"/>
        <v>OK</v>
      </c>
      <c r="EB44" s="168" t="str">
        <f t="shared" si="78"/>
        <v>OK</v>
      </c>
      <c r="EC44" s="157">
        <f t="shared" si="79"/>
        <v>0</v>
      </c>
      <c r="ED44" s="156" t="str">
        <f t="shared" si="80"/>
        <v>OK</v>
      </c>
    </row>
    <row r="45" spans="1:134" ht="17.5" hidden="1" x14ac:dyDescent="0.3">
      <c r="A45" s="232"/>
      <c r="B45" s="420" t="str">
        <f t="shared" si="0"/>
        <v>-</v>
      </c>
      <c r="C45" s="329">
        <v>20</v>
      </c>
      <c r="D45" s="589"/>
      <c r="E45" s="590"/>
      <c r="F45" s="591"/>
      <c r="G45" s="592"/>
      <c r="H45" s="769"/>
      <c r="I45" s="770"/>
      <c r="J45" s="593"/>
      <c r="K45" s="596"/>
      <c r="L45" s="597"/>
      <c r="M45" s="595"/>
      <c r="N45" s="596"/>
      <c r="O45" s="597"/>
      <c r="P45" s="501" t="str">
        <f t="shared" si="1"/>
        <v/>
      </c>
      <c r="Q45" s="501" t="str">
        <f t="shared" si="60"/>
        <v/>
      </c>
      <c r="R45" s="502" t="str">
        <f t="shared" si="2"/>
        <v/>
      </c>
      <c r="S45" s="422"/>
      <c r="T45" s="66" t="str">
        <f>IF(AND(ISNUMBER(L45),J45=FixedDim),MAX('Adjustment factors'!$S$16,0.2+0.8*L45),IF(ISTEXT(J45),VLOOKUP(J45,Afactors,2,TRUE),""))</f>
        <v/>
      </c>
      <c r="U45" s="204" t="str">
        <f>IF(AND(ISNUMBER(O45),M45=FixedDim),MAX('Adjustment factors'!$S$16,0.2+0.8*O45),IF(ISTEXT(M45),VLOOKUP(M45,Afactors,2,FALSE),""))</f>
        <v/>
      </c>
      <c r="V45" s="18" t="b">
        <f t="shared" si="61"/>
        <v>0</v>
      </c>
      <c r="W45" s="18" t="b">
        <f t="shared" si="3"/>
        <v>0</v>
      </c>
      <c r="X45" s="17" t="str">
        <f t="shared" si="4"/>
        <v/>
      </c>
      <c r="Y45" s="18" t="str">
        <f t="shared" si="5"/>
        <v/>
      </c>
      <c r="Z45" s="17" t="str">
        <f t="shared" si="6"/>
        <v/>
      </c>
      <c r="AA45" s="17" t="str">
        <f t="shared" si="7"/>
        <v/>
      </c>
      <c r="AB45" s="163" t="str">
        <f t="shared" si="8"/>
        <v/>
      </c>
      <c r="AC45" s="210">
        <f t="shared" si="9"/>
        <v>0</v>
      </c>
      <c r="AD45" s="211">
        <f t="shared" si="62"/>
        <v>0</v>
      </c>
      <c r="AE45" s="211">
        <f t="shared" si="10"/>
        <v>0</v>
      </c>
      <c r="AF45" s="211">
        <f t="shared" si="11"/>
        <v>0</v>
      </c>
      <c r="AG45" s="212">
        <f t="shared" si="12"/>
        <v>0</v>
      </c>
      <c r="AH45" s="210">
        <f t="shared" si="13"/>
        <v>0</v>
      </c>
      <c r="AI45" s="211">
        <f t="shared" si="63"/>
        <v>0</v>
      </c>
      <c r="AJ45" s="211">
        <f t="shared" si="14"/>
        <v>0</v>
      </c>
      <c r="AK45" s="211">
        <f t="shared" si="64"/>
        <v>0</v>
      </c>
      <c r="AL45" s="212">
        <f t="shared" si="15"/>
        <v>0</v>
      </c>
      <c r="AM45" s="210">
        <f t="shared" si="16"/>
        <v>0</v>
      </c>
      <c r="AN45" s="211">
        <f t="shared" si="65"/>
        <v>0</v>
      </c>
      <c r="AO45" s="211">
        <f t="shared" si="17"/>
        <v>0</v>
      </c>
      <c r="AP45" s="211">
        <f t="shared" si="66"/>
        <v>0</v>
      </c>
      <c r="AQ45" s="212">
        <f t="shared" si="18"/>
        <v>0</v>
      </c>
      <c r="AR45" s="218" t="b">
        <f t="shared" si="19"/>
        <v>1</v>
      </c>
      <c r="AS45" s="20" t="b">
        <f t="shared" si="20"/>
        <v>0</v>
      </c>
      <c r="AT45" s="20" t="b">
        <f t="shared" si="21"/>
        <v>0</v>
      </c>
      <c r="AU45" s="20" t="b">
        <f t="shared" si="22"/>
        <v>1</v>
      </c>
      <c r="AV45" s="20" t="str">
        <f t="shared" si="23"/>
        <v/>
      </c>
      <c r="AW45" s="20" t="b">
        <f t="shared" si="24"/>
        <v>0</v>
      </c>
      <c r="AX45" s="221" t="b">
        <f>IF(OR(COUNTBLANK(D45:I45)=6,AND(COUNTBLANK(D45:G45)=4,H45=0)),OR(AW46:AW$65),NOT(AW45))</f>
        <v>0</v>
      </c>
      <c r="AY45" s="20" t="b">
        <f t="shared" si="25"/>
        <v>1</v>
      </c>
      <c r="AZ45" s="20" t="b">
        <f t="shared" si="67"/>
        <v>0</v>
      </c>
      <c r="BA45" s="21">
        <f t="shared" si="26"/>
        <v>0</v>
      </c>
      <c r="BB45" s="21" t="str">
        <f t="shared" si="27"/>
        <v/>
      </c>
      <c r="BC45" s="235" t="str">
        <f t="shared" si="28"/>
        <v/>
      </c>
      <c r="BD45" s="236" t="str">
        <f t="shared" si="29"/>
        <v/>
      </c>
      <c r="BE45" s="67" t="str">
        <f t="shared" si="81"/>
        <v/>
      </c>
      <c r="BF45" s="195"/>
      <c r="BG45" s="67" t="str">
        <f t="shared" si="82"/>
        <v/>
      </c>
      <c r="BH45" s="202" t="str">
        <f t="shared" si="68"/>
        <v/>
      </c>
      <c r="BI45" s="781"/>
      <c r="BJ45" s="781"/>
      <c r="BK45" s="224" t="b">
        <f t="shared" si="69"/>
        <v>0</v>
      </c>
      <c r="BL45" s="225" t="b">
        <f t="shared" si="70"/>
        <v>0</v>
      </c>
      <c r="BM45" s="226" t="b">
        <f t="shared" si="30"/>
        <v>0</v>
      </c>
      <c r="BN45" s="224" t="b">
        <f t="shared" si="31"/>
        <v>0</v>
      </c>
      <c r="BO45" s="224" t="b">
        <f t="shared" si="32"/>
        <v>0</v>
      </c>
      <c r="BP45" s="225" t="b">
        <f t="shared" si="33"/>
        <v>0</v>
      </c>
      <c r="BQ45" s="226" t="b">
        <f t="shared" si="34"/>
        <v>0</v>
      </c>
      <c r="BR45" s="224" t="b">
        <f t="shared" si="35"/>
        <v>0</v>
      </c>
      <c r="BS45" s="225" t="b">
        <f t="shared" si="71"/>
        <v>0</v>
      </c>
      <c r="BT45" s="227" t="b">
        <f t="shared" si="36"/>
        <v>0</v>
      </c>
      <c r="BU45" s="228" t="b">
        <f t="shared" si="37"/>
        <v>0</v>
      </c>
      <c r="BV45" s="207" t="str">
        <f t="shared" si="38"/>
        <v/>
      </c>
      <c r="BX45" s="167" t="str">
        <f t="shared" si="39"/>
        <v>no data</v>
      </c>
      <c r="BZ45" s="50">
        <v>20</v>
      </c>
      <c r="CA45" s="50" t="str">
        <f t="shared" si="40"/>
        <v>-</v>
      </c>
      <c r="CC45"/>
      <c r="CE45" s="73"/>
      <c r="CF45" s="26"/>
      <c r="CG45" s="333"/>
      <c r="CH45" s="333"/>
      <c r="CI45" s="354">
        <f t="shared" si="41"/>
        <v>20</v>
      </c>
      <c r="CJ45" s="503">
        <f t="shared" si="42"/>
        <v>0</v>
      </c>
      <c r="CK45" s="503">
        <f t="shared" si="43"/>
        <v>0</v>
      </c>
      <c r="CL45" s="504" t="str">
        <f t="shared" si="44"/>
        <v/>
      </c>
      <c r="CM45" s="505" t="str">
        <f>IF(AZ45,IF(ISNUMBER(L45),MAX('Adjustment factors'!$S$16,0.2+0.8*L45),IF(ISTEXT(J45),VLOOKUP(J45,Afactors,2,FALSE),"")),"")</f>
        <v/>
      </c>
      <c r="CN45" s="505" t="str">
        <f>IF(AZ45,IF(ISNUMBER(O45),MAX('Adjustment factors'!$S$16,0.2+0.8*O45),IF(ISTEXT(M45),VLOOKUP(M45,Afactors,2,FALSE),"")),"")</f>
        <v/>
      </c>
      <c r="CO45" s="506" t="str">
        <f t="shared" si="72"/>
        <v/>
      </c>
      <c r="CP45" s="340"/>
      <c r="CQ45" s="340"/>
      <c r="CR45" s="340"/>
      <c r="CS45" s="340"/>
      <c r="CT45" s="333"/>
      <c r="CU45" s="333"/>
      <c r="CV45" s="333"/>
      <c r="CW45" s="333"/>
      <c r="CX45" s="333"/>
      <c r="CY45" s="333"/>
      <c r="CZ45" s="333"/>
      <c r="DA45" s="333"/>
      <c r="DB45" s="333"/>
      <c r="DC45" s="333"/>
      <c r="DD45" s="333"/>
      <c r="DF45" s="167" t="str">
        <f t="shared" si="45"/>
        <v>OK</v>
      </c>
      <c r="DG45" s="167" t="str">
        <f t="shared" si="46"/>
        <v>OK</v>
      </c>
      <c r="DH45" s="167" t="str">
        <f t="shared" si="47"/>
        <v>OK</v>
      </c>
      <c r="DI45" s="167" t="str">
        <f t="shared" si="48"/>
        <v>OK</v>
      </c>
      <c r="DJ45" s="168" t="str">
        <f t="shared" si="49"/>
        <v>OK</v>
      </c>
      <c r="DK45" s="153" t="str">
        <f t="shared" si="50"/>
        <v>OK</v>
      </c>
      <c r="DL45" s="153" t="str">
        <f t="shared" si="73"/>
        <v>OK</v>
      </c>
      <c r="DM45" s="153" t="str">
        <f t="shared" si="51"/>
        <v>OK</v>
      </c>
      <c r="DN45" s="153" t="str">
        <f t="shared" si="52"/>
        <v>OK</v>
      </c>
      <c r="DO45" s="153" t="str">
        <f t="shared" si="53"/>
        <v>OK</v>
      </c>
      <c r="DP45" s="153" t="str">
        <f t="shared" si="74"/>
        <v>OK</v>
      </c>
      <c r="DQ45" s="320" t="str">
        <f t="shared" si="75"/>
        <v>OK</v>
      </c>
      <c r="DR45" s="320" t="str">
        <f t="shared" si="75"/>
        <v>OK</v>
      </c>
      <c r="DS45" s="320" t="str">
        <f t="shared" si="75"/>
        <v>OK</v>
      </c>
      <c r="DT45" s="168" t="str">
        <f t="shared" si="54"/>
        <v>OK</v>
      </c>
      <c r="DU45" s="153" t="str">
        <f t="shared" si="76"/>
        <v>OK</v>
      </c>
      <c r="DV45" s="153" t="str">
        <f t="shared" si="55"/>
        <v>OK</v>
      </c>
      <c r="DW45" s="153" t="str">
        <f t="shared" si="77"/>
        <v>OK</v>
      </c>
      <c r="DX45" s="153" t="str">
        <f t="shared" si="56"/>
        <v>OK</v>
      </c>
      <c r="DY45" s="153" t="str">
        <f t="shared" si="57"/>
        <v>OK</v>
      </c>
      <c r="DZ45" s="153" t="str">
        <f t="shared" si="58"/>
        <v>OK</v>
      </c>
      <c r="EA45" s="201" t="str">
        <f t="shared" si="59"/>
        <v>OK</v>
      </c>
      <c r="EB45" s="168" t="str">
        <f t="shared" si="78"/>
        <v>OK</v>
      </c>
      <c r="EC45" s="157">
        <f t="shared" si="79"/>
        <v>0</v>
      </c>
      <c r="ED45" s="156" t="str">
        <f t="shared" si="80"/>
        <v>OK</v>
      </c>
    </row>
    <row r="46" spans="1:134" ht="17.5" hidden="1" x14ac:dyDescent="0.3">
      <c r="A46" s="232"/>
      <c r="B46" s="420" t="str">
        <f t="shared" si="0"/>
        <v>-</v>
      </c>
      <c r="C46" s="329">
        <v>21</v>
      </c>
      <c r="D46" s="589"/>
      <c r="E46" s="590"/>
      <c r="F46" s="591"/>
      <c r="G46" s="592"/>
      <c r="H46" s="769"/>
      <c r="I46" s="770"/>
      <c r="J46" s="593"/>
      <c r="K46" s="596"/>
      <c r="L46" s="597"/>
      <c r="M46" s="595"/>
      <c r="N46" s="596"/>
      <c r="O46" s="597"/>
      <c r="P46" s="501" t="str">
        <f t="shared" si="1"/>
        <v/>
      </c>
      <c r="Q46" s="501" t="str">
        <f t="shared" si="60"/>
        <v/>
      </c>
      <c r="R46" s="502" t="str">
        <f t="shared" si="2"/>
        <v/>
      </c>
      <c r="S46" s="422"/>
      <c r="T46" s="66" t="str">
        <f>IF(AND(ISNUMBER(L46),J46=FixedDim),MAX('Adjustment factors'!$S$16,0.2+0.8*L46),IF(ISTEXT(J46),VLOOKUP(J46,Afactors,2,TRUE),""))</f>
        <v/>
      </c>
      <c r="U46" s="204" t="str">
        <f>IF(AND(ISNUMBER(O46),M46=FixedDim),MAX('Adjustment factors'!$S$16,0.2+0.8*O46),IF(ISTEXT(M46),VLOOKUP(M46,Afactors,2,FALSE),""))</f>
        <v/>
      </c>
      <c r="V46" s="18" t="b">
        <f t="shared" si="61"/>
        <v>0</v>
      </c>
      <c r="W46" s="18" t="b">
        <f t="shared" si="3"/>
        <v>0</v>
      </c>
      <c r="X46" s="17" t="str">
        <f t="shared" si="4"/>
        <v/>
      </c>
      <c r="Y46" s="18" t="str">
        <f t="shared" si="5"/>
        <v/>
      </c>
      <c r="Z46" s="17" t="str">
        <f t="shared" si="6"/>
        <v/>
      </c>
      <c r="AA46" s="17" t="str">
        <f t="shared" si="7"/>
        <v/>
      </c>
      <c r="AB46" s="163" t="str">
        <f t="shared" si="8"/>
        <v/>
      </c>
      <c r="AC46" s="210">
        <f t="shared" si="9"/>
        <v>0</v>
      </c>
      <c r="AD46" s="211">
        <f t="shared" si="62"/>
        <v>0</v>
      </c>
      <c r="AE46" s="211">
        <f t="shared" si="10"/>
        <v>0</v>
      </c>
      <c r="AF46" s="211">
        <f t="shared" si="11"/>
        <v>0</v>
      </c>
      <c r="AG46" s="212">
        <f t="shared" si="12"/>
        <v>0</v>
      </c>
      <c r="AH46" s="210">
        <f t="shared" si="13"/>
        <v>0</v>
      </c>
      <c r="AI46" s="211">
        <f t="shared" si="63"/>
        <v>0</v>
      </c>
      <c r="AJ46" s="211">
        <f t="shared" si="14"/>
        <v>0</v>
      </c>
      <c r="AK46" s="211">
        <f t="shared" si="64"/>
        <v>0</v>
      </c>
      <c r="AL46" s="212">
        <f t="shared" si="15"/>
        <v>0</v>
      </c>
      <c r="AM46" s="210">
        <f t="shared" si="16"/>
        <v>0</v>
      </c>
      <c r="AN46" s="211">
        <f t="shared" si="65"/>
        <v>0</v>
      </c>
      <c r="AO46" s="211">
        <f t="shared" si="17"/>
        <v>0</v>
      </c>
      <c r="AP46" s="211">
        <f t="shared" si="66"/>
        <v>0</v>
      </c>
      <c r="AQ46" s="212">
        <f t="shared" si="18"/>
        <v>0</v>
      </c>
      <c r="AR46" s="218" t="b">
        <f t="shared" si="19"/>
        <v>1</v>
      </c>
      <c r="AS46" s="20" t="b">
        <f t="shared" si="20"/>
        <v>0</v>
      </c>
      <c r="AT46" s="20" t="b">
        <f t="shared" si="21"/>
        <v>0</v>
      </c>
      <c r="AU46" s="20" t="b">
        <f t="shared" si="22"/>
        <v>1</v>
      </c>
      <c r="AV46" s="20" t="str">
        <f t="shared" si="23"/>
        <v/>
      </c>
      <c r="AW46" s="20" t="b">
        <f t="shared" si="24"/>
        <v>0</v>
      </c>
      <c r="AX46" s="221" t="b">
        <f>IF(OR(COUNTBLANK(D46:I46)=6,AND(COUNTBLANK(D46:G46)=4,H46=0)),OR(AW47:AW$65),NOT(AW46))</f>
        <v>0</v>
      </c>
      <c r="AY46" s="20" t="b">
        <f t="shared" si="25"/>
        <v>1</v>
      </c>
      <c r="AZ46" s="20" t="b">
        <f t="shared" si="67"/>
        <v>0</v>
      </c>
      <c r="BA46" s="21">
        <f t="shared" si="26"/>
        <v>0</v>
      </c>
      <c r="BB46" s="21" t="str">
        <f t="shared" si="27"/>
        <v/>
      </c>
      <c r="BC46" s="235" t="str">
        <f t="shared" si="28"/>
        <v/>
      </c>
      <c r="BD46" s="236" t="str">
        <f t="shared" si="29"/>
        <v/>
      </c>
      <c r="BE46" s="67" t="str">
        <f t="shared" si="81"/>
        <v/>
      </c>
      <c r="BF46" s="195"/>
      <c r="BG46" s="67" t="str">
        <f t="shared" si="82"/>
        <v/>
      </c>
      <c r="BH46" s="202" t="str">
        <f t="shared" si="68"/>
        <v/>
      </c>
      <c r="BI46" s="781"/>
      <c r="BJ46" s="781"/>
      <c r="BK46" s="224" t="b">
        <f t="shared" si="69"/>
        <v>0</v>
      </c>
      <c r="BL46" s="225" t="b">
        <f t="shared" si="70"/>
        <v>0</v>
      </c>
      <c r="BM46" s="226" t="b">
        <f t="shared" si="30"/>
        <v>0</v>
      </c>
      <c r="BN46" s="224" t="b">
        <f t="shared" si="31"/>
        <v>0</v>
      </c>
      <c r="BO46" s="224" t="b">
        <f t="shared" si="32"/>
        <v>0</v>
      </c>
      <c r="BP46" s="225" t="b">
        <f t="shared" si="33"/>
        <v>0</v>
      </c>
      <c r="BQ46" s="226" t="b">
        <f t="shared" si="34"/>
        <v>0</v>
      </c>
      <c r="BR46" s="224" t="b">
        <f t="shared" si="35"/>
        <v>0</v>
      </c>
      <c r="BS46" s="225" t="b">
        <f t="shared" si="71"/>
        <v>0</v>
      </c>
      <c r="BT46" s="227" t="b">
        <f t="shared" si="36"/>
        <v>0</v>
      </c>
      <c r="BU46" s="228" t="b">
        <f t="shared" si="37"/>
        <v>0</v>
      </c>
      <c r="BV46" s="207" t="str">
        <f t="shared" si="38"/>
        <v/>
      </c>
      <c r="BX46" s="167" t="str">
        <f t="shared" si="39"/>
        <v>no data</v>
      </c>
      <c r="BZ46" s="50">
        <v>21</v>
      </c>
      <c r="CA46" s="50" t="str">
        <f t="shared" si="40"/>
        <v>-</v>
      </c>
      <c r="CC46"/>
      <c r="CE46" s="73"/>
      <c r="CF46" s="26"/>
      <c r="CG46" s="333"/>
      <c r="CH46" s="333"/>
      <c r="CI46" s="354">
        <f t="shared" si="41"/>
        <v>21</v>
      </c>
      <c r="CJ46" s="503">
        <f t="shared" si="42"/>
        <v>0</v>
      </c>
      <c r="CK46" s="503">
        <f t="shared" si="43"/>
        <v>0</v>
      </c>
      <c r="CL46" s="504" t="str">
        <f t="shared" si="44"/>
        <v/>
      </c>
      <c r="CM46" s="505" t="str">
        <f>IF(AZ46,IF(ISNUMBER(L46),MAX('Adjustment factors'!$S$16,0.2+0.8*L46),IF(ISTEXT(J46),VLOOKUP(J46,Afactors,2,FALSE),"")),"")</f>
        <v/>
      </c>
      <c r="CN46" s="505" t="str">
        <f>IF(AZ46,IF(ISNUMBER(O46),MAX('Adjustment factors'!$S$16,0.2+0.8*O46),IF(ISTEXT(M46),VLOOKUP(M46,Afactors,2,FALSE),"")),"")</f>
        <v/>
      </c>
      <c r="CO46" s="506" t="str">
        <f t="shared" si="72"/>
        <v/>
      </c>
      <c r="CP46" s="340"/>
      <c r="CQ46" s="340"/>
      <c r="CR46" s="340"/>
      <c r="CS46" s="340"/>
      <c r="CT46" s="340"/>
      <c r="CU46" s="333"/>
      <c r="CV46" s="333"/>
      <c r="CW46" s="333"/>
      <c r="CX46" s="333"/>
      <c r="CY46" s="333"/>
      <c r="CZ46" s="333"/>
      <c r="DA46" s="333"/>
      <c r="DB46" s="333"/>
      <c r="DC46" s="333"/>
      <c r="DD46" s="333"/>
      <c r="DF46" s="167" t="str">
        <f t="shared" si="45"/>
        <v>OK</v>
      </c>
      <c r="DG46" s="167" t="str">
        <f t="shared" si="46"/>
        <v>OK</v>
      </c>
      <c r="DH46" s="167" t="str">
        <f t="shared" si="47"/>
        <v>OK</v>
      </c>
      <c r="DI46" s="167" t="str">
        <f t="shared" si="48"/>
        <v>OK</v>
      </c>
      <c r="DJ46" s="168" t="str">
        <f t="shared" si="49"/>
        <v>OK</v>
      </c>
      <c r="DK46" s="153" t="str">
        <f t="shared" si="50"/>
        <v>OK</v>
      </c>
      <c r="DL46" s="153" t="str">
        <f t="shared" si="73"/>
        <v>OK</v>
      </c>
      <c r="DM46" s="153" t="str">
        <f t="shared" si="51"/>
        <v>OK</v>
      </c>
      <c r="DN46" s="153" t="str">
        <f t="shared" si="52"/>
        <v>OK</v>
      </c>
      <c r="DO46" s="153" t="str">
        <f t="shared" si="53"/>
        <v>OK</v>
      </c>
      <c r="DP46" s="153" t="str">
        <f t="shared" si="74"/>
        <v>OK</v>
      </c>
      <c r="DQ46" s="320" t="str">
        <f t="shared" si="75"/>
        <v>OK</v>
      </c>
      <c r="DR46" s="320" t="str">
        <f t="shared" si="75"/>
        <v>OK</v>
      </c>
      <c r="DS46" s="320" t="str">
        <f t="shared" si="75"/>
        <v>OK</v>
      </c>
      <c r="DT46" s="168" t="str">
        <f t="shared" si="54"/>
        <v>OK</v>
      </c>
      <c r="DU46" s="153" t="str">
        <f t="shared" si="76"/>
        <v>OK</v>
      </c>
      <c r="DV46" s="153" t="str">
        <f t="shared" si="55"/>
        <v>OK</v>
      </c>
      <c r="DW46" s="153" t="str">
        <f t="shared" si="77"/>
        <v>OK</v>
      </c>
      <c r="DX46" s="153" t="str">
        <f t="shared" si="56"/>
        <v>OK</v>
      </c>
      <c r="DY46" s="153" t="str">
        <f t="shared" si="57"/>
        <v>OK</v>
      </c>
      <c r="DZ46" s="153" t="str">
        <f t="shared" si="58"/>
        <v>OK</v>
      </c>
      <c r="EA46" s="201" t="str">
        <f t="shared" si="59"/>
        <v>OK</v>
      </c>
      <c r="EB46" s="168" t="str">
        <f t="shared" si="78"/>
        <v>OK</v>
      </c>
      <c r="EC46" s="157">
        <f t="shared" si="79"/>
        <v>0</v>
      </c>
      <c r="ED46" s="156" t="str">
        <f t="shared" si="80"/>
        <v>OK</v>
      </c>
    </row>
    <row r="47" spans="1:134" ht="17.5" hidden="1" x14ac:dyDescent="0.3">
      <c r="A47" s="232"/>
      <c r="B47" s="420" t="str">
        <f t="shared" si="0"/>
        <v>-</v>
      </c>
      <c r="C47" s="329">
        <v>22</v>
      </c>
      <c r="D47" s="589"/>
      <c r="E47" s="590"/>
      <c r="F47" s="591"/>
      <c r="G47" s="592"/>
      <c r="H47" s="769"/>
      <c r="I47" s="770"/>
      <c r="J47" s="593"/>
      <c r="K47" s="596"/>
      <c r="L47" s="597"/>
      <c r="M47" s="595"/>
      <c r="N47" s="596"/>
      <c r="O47" s="597"/>
      <c r="P47" s="501" t="str">
        <f t="shared" si="1"/>
        <v/>
      </c>
      <c r="Q47" s="501" t="str">
        <f t="shared" si="60"/>
        <v/>
      </c>
      <c r="R47" s="502" t="str">
        <f t="shared" si="2"/>
        <v/>
      </c>
      <c r="S47" s="422"/>
      <c r="T47" s="66" t="str">
        <f>IF(AND(ISNUMBER(L47),J47=FixedDim),MAX('Adjustment factors'!$S$16,0.2+0.8*L47),IF(ISTEXT(J47),VLOOKUP(J47,Afactors,2,TRUE),""))</f>
        <v/>
      </c>
      <c r="U47" s="204" t="str">
        <f>IF(AND(ISNUMBER(O47),M47=FixedDim),MAX('Adjustment factors'!$S$16,0.2+0.8*O47),IF(ISTEXT(M47),VLOOKUP(M47,Afactors,2,FALSE),""))</f>
        <v/>
      </c>
      <c r="V47" s="18" t="b">
        <f t="shared" si="61"/>
        <v>0</v>
      </c>
      <c r="W47" s="18" t="b">
        <f t="shared" si="3"/>
        <v>0</v>
      </c>
      <c r="X47" s="17" t="str">
        <f t="shared" si="4"/>
        <v/>
      </c>
      <c r="Y47" s="18" t="str">
        <f t="shared" si="5"/>
        <v/>
      </c>
      <c r="Z47" s="17" t="str">
        <f t="shared" si="6"/>
        <v/>
      </c>
      <c r="AA47" s="17" t="str">
        <f t="shared" si="7"/>
        <v/>
      </c>
      <c r="AB47" s="163" t="str">
        <f t="shared" si="8"/>
        <v/>
      </c>
      <c r="AC47" s="210">
        <f t="shared" si="9"/>
        <v>0</v>
      </c>
      <c r="AD47" s="211">
        <f t="shared" si="62"/>
        <v>0</v>
      </c>
      <c r="AE47" s="211">
        <f t="shared" si="10"/>
        <v>0</v>
      </c>
      <c r="AF47" s="211">
        <f t="shared" si="11"/>
        <v>0</v>
      </c>
      <c r="AG47" s="212">
        <f t="shared" si="12"/>
        <v>0</v>
      </c>
      <c r="AH47" s="210">
        <f t="shared" si="13"/>
        <v>0</v>
      </c>
      <c r="AI47" s="211">
        <f t="shared" si="63"/>
        <v>0</v>
      </c>
      <c r="AJ47" s="211">
        <f t="shared" si="14"/>
        <v>0</v>
      </c>
      <c r="AK47" s="211">
        <f t="shared" si="64"/>
        <v>0</v>
      </c>
      <c r="AL47" s="212">
        <f t="shared" si="15"/>
        <v>0</v>
      </c>
      <c r="AM47" s="210">
        <f t="shared" si="16"/>
        <v>0</v>
      </c>
      <c r="AN47" s="211">
        <f t="shared" si="65"/>
        <v>0</v>
      </c>
      <c r="AO47" s="211">
        <f t="shared" si="17"/>
        <v>0</v>
      </c>
      <c r="AP47" s="211">
        <f t="shared" si="66"/>
        <v>0</v>
      </c>
      <c r="AQ47" s="212">
        <f t="shared" si="18"/>
        <v>0</v>
      </c>
      <c r="AR47" s="218" t="b">
        <f t="shared" si="19"/>
        <v>1</v>
      </c>
      <c r="AS47" s="20" t="b">
        <f t="shared" si="20"/>
        <v>0</v>
      </c>
      <c r="AT47" s="20" t="b">
        <f t="shared" si="21"/>
        <v>0</v>
      </c>
      <c r="AU47" s="20" t="b">
        <f t="shared" si="22"/>
        <v>1</v>
      </c>
      <c r="AV47" s="20" t="str">
        <f t="shared" si="23"/>
        <v/>
      </c>
      <c r="AW47" s="20" t="b">
        <f t="shared" si="24"/>
        <v>0</v>
      </c>
      <c r="AX47" s="221" t="b">
        <f>IF(OR(COUNTBLANK(D47:I47)=6,AND(COUNTBLANK(D47:G47)=4,H47=0)),OR(AW48:AW$65),NOT(AW47))</f>
        <v>0</v>
      </c>
      <c r="AY47" s="20" t="b">
        <f t="shared" si="25"/>
        <v>1</v>
      </c>
      <c r="AZ47" s="20" t="b">
        <f t="shared" si="67"/>
        <v>0</v>
      </c>
      <c r="BA47" s="21">
        <f t="shared" si="26"/>
        <v>0</v>
      </c>
      <c r="BB47" s="21" t="str">
        <f t="shared" si="27"/>
        <v/>
      </c>
      <c r="BC47" s="235" t="str">
        <f t="shared" si="28"/>
        <v/>
      </c>
      <c r="BD47" s="236" t="str">
        <f t="shared" si="29"/>
        <v/>
      </c>
      <c r="BE47" s="67" t="str">
        <f t="shared" si="81"/>
        <v/>
      </c>
      <c r="BF47" s="195"/>
      <c r="BG47" s="67" t="str">
        <f t="shared" si="82"/>
        <v/>
      </c>
      <c r="BH47" s="202" t="str">
        <f t="shared" si="68"/>
        <v/>
      </c>
      <c r="BI47" s="781"/>
      <c r="BJ47" s="781"/>
      <c r="BK47" s="224" t="b">
        <f t="shared" si="69"/>
        <v>0</v>
      </c>
      <c r="BL47" s="225" t="b">
        <f t="shared" si="70"/>
        <v>0</v>
      </c>
      <c r="BM47" s="226" t="b">
        <f t="shared" si="30"/>
        <v>0</v>
      </c>
      <c r="BN47" s="224" t="b">
        <f t="shared" si="31"/>
        <v>0</v>
      </c>
      <c r="BO47" s="224" t="b">
        <f t="shared" si="32"/>
        <v>0</v>
      </c>
      <c r="BP47" s="225" t="b">
        <f t="shared" si="33"/>
        <v>0</v>
      </c>
      <c r="BQ47" s="226" t="b">
        <f t="shared" si="34"/>
        <v>0</v>
      </c>
      <c r="BR47" s="224" t="b">
        <f t="shared" si="35"/>
        <v>0</v>
      </c>
      <c r="BS47" s="225" t="b">
        <f t="shared" si="71"/>
        <v>0</v>
      </c>
      <c r="BT47" s="227" t="b">
        <f t="shared" si="36"/>
        <v>0</v>
      </c>
      <c r="BU47" s="228" t="b">
        <f t="shared" si="37"/>
        <v>0</v>
      </c>
      <c r="BV47" s="207" t="str">
        <f t="shared" si="38"/>
        <v/>
      </c>
      <c r="BX47" s="167" t="str">
        <f t="shared" si="39"/>
        <v>no data</v>
      </c>
      <c r="BZ47" s="50">
        <v>22</v>
      </c>
      <c r="CA47" s="50" t="str">
        <f t="shared" si="40"/>
        <v>-</v>
      </c>
      <c r="CC47"/>
      <c r="CE47" s="73"/>
      <c r="CF47" s="26"/>
      <c r="CG47" s="333"/>
      <c r="CH47" s="333"/>
      <c r="CI47" s="354">
        <f t="shared" si="41"/>
        <v>22</v>
      </c>
      <c r="CJ47" s="503">
        <f t="shared" si="42"/>
        <v>0</v>
      </c>
      <c r="CK47" s="503">
        <f t="shared" si="43"/>
        <v>0</v>
      </c>
      <c r="CL47" s="504" t="str">
        <f t="shared" si="44"/>
        <v/>
      </c>
      <c r="CM47" s="505" t="str">
        <f>IF(AZ47,IF(ISNUMBER(L47),MAX('Adjustment factors'!$S$16,0.2+0.8*L47),IF(ISTEXT(J47),VLOOKUP(J47,Afactors,2,FALSE),"")),"")</f>
        <v/>
      </c>
      <c r="CN47" s="505" t="str">
        <f>IF(AZ47,IF(ISNUMBER(O47),MAX('Adjustment factors'!$S$16,0.2+0.8*O47),IF(ISTEXT(M47),VLOOKUP(M47,Afactors,2,FALSE),"")),"")</f>
        <v/>
      </c>
      <c r="CO47" s="506" t="str">
        <f t="shared" si="72"/>
        <v/>
      </c>
      <c r="CP47" s="340"/>
      <c r="CQ47" s="340"/>
      <c r="CR47" s="340"/>
      <c r="CS47" s="340"/>
      <c r="CT47" s="333"/>
      <c r="CU47" s="333"/>
      <c r="CV47" s="333"/>
      <c r="CW47" s="333"/>
      <c r="CX47" s="333"/>
      <c r="CY47" s="333"/>
      <c r="CZ47" s="333"/>
      <c r="DA47" s="333"/>
      <c r="DB47" s="333"/>
      <c r="DC47" s="333"/>
      <c r="DD47" s="333"/>
      <c r="DF47" s="167" t="str">
        <f t="shared" si="45"/>
        <v>OK</v>
      </c>
      <c r="DG47" s="167" t="str">
        <f t="shared" si="46"/>
        <v>OK</v>
      </c>
      <c r="DH47" s="167" t="str">
        <f t="shared" si="47"/>
        <v>OK</v>
      </c>
      <c r="DI47" s="167" t="str">
        <f t="shared" si="48"/>
        <v>OK</v>
      </c>
      <c r="DJ47" s="168" t="str">
        <f t="shared" si="49"/>
        <v>OK</v>
      </c>
      <c r="DK47" s="153" t="str">
        <f t="shared" si="50"/>
        <v>OK</v>
      </c>
      <c r="DL47" s="153" t="str">
        <f t="shared" si="73"/>
        <v>OK</v>
      </c>
      <c r="DM47" s="153" t="str">
        <f t="shared" si="51"/>
        <v>OK</v>
      </c>
      <c r="DN47" s="153" t="str">
        <f t="shared" si="52"/>
        <v>OK</v>
      </c>
      <c r="DO47" s="153" t="str">
        <f t="shared" si="53"/>
        <v>OK</v>
      </c>
      <c r="DP47" s="153" t="str">
        <f t="shared" si="74"/>
        <v>OK</v>
      </c>
      <c r="DQ47" s="320" t="str">
        <f t="shared" si="75"/>
        <v>OK</v>
      </c>
      <c r="DR47" s="320" t="str">
        <f t="shared" si="75"/>
        <v>OK</v>
      </c>
      <c r="DS47" s="320" t="str">
        <f t="shared" si="75"/>
        <v>OK</v>
      </c>
      <c r="DT47" s="168" t="str">
        <f t="shared" si="54"/>
        <v>OK</v>
      </c>
      <c r="DU47" s="153" t="str">
        <f t="shared" si="76"/>
        <v>OK</v>
      </c>
      <c r="DV47" s="153" t="str">
        <f t="shared" si="55"/>
        <v>OK</v>
      </c>
      <c r="DW47" s="153" t="str">
        <f t="shared" si="77"/>
        <v>OK</v>
      </c>
      <c r="DX47" s="153" t="str">
        <f t="shared" si="56"/>
        <v>OK</v>
      </c>
      <c r="DY47" s="153" t="str">
        <f t="shared" si="57"/>
        <v>OK</v>
      </c>
      <c r="DZ47" s="153" t="str">
        <f t="shared" si="58"/>
        <v>OK</v>
      </c>
      <c r="EA47" s="201" t="str">
        <f t="shared" si="59"/>
        <v>OK</v>
      </c>
      <c r="EB47" s="168" t="str">
        <f t="shared" si="78"/>
        <v>OK</v>
      </c>
      <c r="EC47" s="157">
        <f t="shared" si="79"/>
        <v>0</v>
      </c>
      <c r="ED47" s="156" t="str">
        <f t="shared" si="80"/>
        <v>OK</v>
      </c>
    </row>
    <row r="48" spans="1:134" ht="17.5" hidden="1" x14ac:dyDescent="0.3">
      <c r="A48" s="232"/>
      <c r="B48" s="420" t="str">
        <f t="shared" si="0"/>
        <v>-</v>
      </c>
      <c r="C48" s="329">
        <v>23</v>
      </c>
      <c r="D48" s="589"/>
      <c r="E48" s="590"/>
      <c r="F48" s="591"/>
      <c r="G48" s="592"/>
      <c r="H48" s="769"/>
      <c r="I48" s="770"/>
      <c r="J48" s="593"/>
      <c r="K48" s="596"/>
      <c r="L48" s="597"/>
      <c r="M48" s="595"/>
      <c r="N48" s="596"/>
      <c r="O48" s="597"/>
      <c r="P48" s="501" t="str">
        <f t="shared" si="1"/>
        <v/>
      </c>
      <c r="Q48" s="501" t="str">
        <f t="shared" si="60"/>
        <v/>
      </c>
      <c r="R48" s="502" t="str">
        <f t="shared" si="2"/>
        <v/>
      </c>
      <c r="S48" s="422"/>
      <c r="T48" s="66" t="str">
        <f>IF(AND(ISNUMBER(L48),J48=FixedDim),MAX('Adjustment factors'!$S$16,0.2+0.8*L48),IF(ISTEXT(J48),VLOOKUP(J48,Afactors,2,TRUE),""))</f>
        <v/>
      </c>
      <c r="U48" s="204" t="str">
        <f>IF(AND(ISNUMBER(O48),M48=FixedDim),MAX('Adjustment factors'!$S$16,0.2+0.8*O48),IF(ISTEXT(M48),VLOOKUP(M48,Afactors,2,FALSE),""))</f>
        <v/>
      </c>
      <c r="V48" s="18" t="b">
        <f t="shared" si="61"/>
        <v>0</v>
      </c>
      <c r="W48" s="18" t="b">
        <f t="shared" si="3"/>
        <v>0</v>
      </c>
      <c r="X48" s="17" t="str">
        <f t="shared" si="4"/>
        <v/>
      </c>
      <c r="Y48" s="18" t="str">
        <f t="shared" si="5"/>
        <v/>
      </c>
      <c r="Z48" s="17" t="str">
        <f t="shared" si="6"/>
        <v/>
      </c>
      <c r="AA48" s="17" t="str">
        <f t="shared" si="7"/>
        <v/>
      </c>
      <c r="AB48" s="163" t="str">
        <f t="shared" si="8"/>
        <v/>
      </c>
      <c r="AC48" s="210">
        <f t="shared" si="9"/>
        <v>0</v>
      </c>
      <c r="AD48" s="211">
        <f t="shared" si="62"/>
        <v>0</v>
      </c>
      <c r="AE48" s="211">
        <f t="shared" si="10"/>
        <v>0</v>
      </c>
      <c r="AF48" s="211">
        <f t="shared" si="11"/>
        <v>0</v>
      </c>
      <c r="AG48" s="212">
        <f t="shared" si="12"/>
        <v>0</v>
      </c>
      <c r="AH48" s="210">
        <f t="shared" si="13"/>
        <v>0</v>
      </c>
      <c r="AI48" s="211">
        <f t="shared" si="63"/>
        <v>0</v>
      </c>
      <c r="AJ48" s="211">
        <f t="shared" si="14"/>
        <v>0</v>
      </c>
      <c r="AK48" s="211">
        <f t="shared" si="64"/>
        <v>0</v>
      </c>
      <c r="AL48" s="212">
        <f t="shared" si="15"/>
        <v>0</v>
      </c>
      <c r="AM48" s="210">
        <f t="shared" si="16"/>
        <v>0</v>
      </c>
      <c r="AN48" s="211">
        <f t="shared" si="65"/>
        <v>0</v>
      </c>
      <c r="AO48" s="211">
        <f t="shared" si="17"/>
        <v>0</v>
      </c>
      <c r="AP48" s="211">
        <f t="shared" si="66"/>
        <v>0</v>
      </c>
      <c r="AQ48" s="212">
        <f t="shared" si="18"/>
        <v>0</v>
      </c>
      <c r="AR48" s="218" t="b">
        <f t="shared" si="19"/>
        <v>1</v>
      </c>
      <c r="AS48" s="20" t="b">
        <f t="shared" si="20"/>
        <v>0</v>
      </c>
      <c r="AT48" s="20" t="b">
        <f t="shared" si="21"/>
        <v>0</v>
      </c>
      <c r="AU48" s="20" t="b">
        <f t="shared" si="22"/>
        <v>1</v>
      </c>
      <c r="AV48" s="20" t="str">
        <f t="shared" si="23"/>
        <v/>
      </c>
      <c r="AW48" s="20" t="b">
        <f t="shared" si="24"/>
        <v>0</v>
      </c>
      <c r="AX48" s="221" t="b">
        <f>IF(OR(COUNTBLANK(D48:I48)=6,AND(COUNTBLANK(D48:G48)=4,H48=0)),OR(AW49:AW$65),NOT(AW48))</f>
        <v>0</v>
      </c>
      <c r="AY48" s="20" t="b">
        <f t="shared" si="25"/>
        <v>1</v>
      </c>
      <c r="AZ48" s="20" t="b">
        <f t="shared" si="67"/>
        <v>0</v>
      </c>
      <c r="BA48" s="21">
        <f t="shared" si="26"/>
        <v>0</v>
      </c>
      <c r="BB48" s="21" t="str">
        <f t="shared" si="27"/>
        <v/>
      </c>
      <c r="BC48" s="235" t="str">
        <f t="shared" si="28"/>
        <v/>
      </c>
      <c r="BD48" s="236" t="str">
        <f t="shared" si="29"/>
        <v/>
      </c>
      <c r="BE48" s="67" t="str">
        <f t="shared" si="81"/>
        <v/>
      </c>
      <c r="BF48" s="195"/>
      <c r="BG48" s="67" t="str">
        <f t="shared" si="82"/>
        <v/>
      </c>
      <c r="BH48" s="202" t="str">
        <f t="shared" si="68"/>
        <v/>
      </c>
      <c r="BI48" s="781"/>
      <c r="BJ48" s="781"/>
      <c r="BK48" s="224" t="b">
        <f t="shared" si="69"/>
        <v>0</v>
      </c>
      <c r="BL48" s="225" t="b">
        <f t="shared" si="70"/>
        <v>0</v>
      </c>
      <c r="BM48" s="226" t="b">
        <f t="shared" si="30"/>
        <v>0</v>
      </c>
      <c r="BN48" s="224" t="b">
        <f t="shared" si="31"/>
        <v>0</v>
      </c>
      <c r="BO48" s="224" t="b">
        <f t="shared" si="32"/>
        <v>0</v>
      </c>
      <c r="BP48" s="225" t="b">
        <f t="shared" si="33"/>
        <v>0</v>
      </c>
      <c r="BQ48" s="226" t="b">
        <f t="shared" si="34"/>
        <v>0</v>
      </c>
      <c r="BR48" s="224" t="b">
        <f t="shared" si="35"/>
        <v>0</v>
      </c>
      <c r="BS48" s="225" t="b">
        <f t="shared" si="71"/>
        <v>0</v>
      </c>
      <c r="BT48" s="227" t="b">
        <f t="shared" si="36"/>
        <v>0</v>
      </c>
      <c r="BU48" s="228" t="b">
        <f t="shared" si="37"/>
        <v>0</v>
      </c>
      <c r="BV48" s="207" t="str">
        <f t="shared" si="38"/>
        <v/>
      </c>
      <c r="BX48" s="167" t="str">
        <f t="shared" si="39"/>
        <v>no data</v>
      </c>
      <c r="BZ48" s="50">
        <v>23</v>
      </c>
      <c r="CA48" s="50" t="str">
        <f t="shared" si="40"/>
        <v>-</v>
      </c>
      <c r="CC48"/>
      <c r="CE48" s="73"/>
      <c r="CF48" s="26"/>
      <c r="CG48" s="333"/>
      <c r="CH48" s="333"/>
      <c r="CI48" s="354">
        <f t="shared" si="41"/>
        <v>23</v>
      </c>
      <c r="CJ48" s="503">
        <f t="shared" si="42"/>
        <v>0</v>
      </c>
      <c r="CK48" s="503">
        <f t="shared" si="43"/>
        <v>0</v>
      </c>
      <c r="CL48" s="504" t="str">
        <f t="shared" si="44"/>
        <v/>
      </c>
      <c r="CM48" s="505" t="str">
        <f>IF(AZ48,IF(ISNUMBER(L48),MAX('Adjustment factors'!$S$16,0.2+0.8*L48),IF(ISTEXT(J48),VLOOKUP(J48,Afactors,2,FALSE),"")),"")</f>
        <v/>
      </c>
      <c r="CN48" s="505" t="str">
        <f>IF(AZ48,IF(ISNUMBER(O48),MAX('Adjustment factors'!$S$16,0.2+0.8*O48),IF(ISTEXT(M48),VLOOKUP(M48,Afactors,2,FALSE),"")),"")</f>
        <v/>
      </c>
      <c r="CO48" s="506" t="str">
        <f t="shared" si="72"/>
        <v/>
      </c>
      <c r="CP48" s="340"/>
      <c r="CQ48" s="340"/>
      <c r="CR48" s="340"/>
      <c r="CS48" s="340"/>
      <c r="CT48" s="333"/>
      <c r="CU48" s="333"/>
      <c r="CV48" s="333"/>
      <c r="CW48" s="333"/>
      <c r="CX48" s="333"/>
      <c r="CY48" s="333"/>
      <c r="CZ48" s="333"/>
      <c r="DA48" s="333"/>
      <c r="DB48" s="333"/>
      <c r="DC48" s="333"/>
      <c r="DD48" s="333"/>
      <c r="DF48" s="167" t="str">
        <f t="shared" si="45"/>
        <v>OK</v>
      </c>
      <c r="DG48" s="167" t="str">
        <f t="shared" si="46"/>
        <v>OK</v>
      </c>
      <c r="DH48" s="167" t="str">
        <f t="shared" si="47"/>
        <v>OK</v>
      </c>
      <c r="DI48" s="167" t="str">
        <f t="shared" si="48"/>
        <v>OK</v>
      </c>
      <c r="DJ48" s="168" t="str">
        <f t="shared" si="49"/>
        <v>OK</v>
      </c>
      <c r="DK48" s="153" t="str">
        <f t="shared" si="50"/>
        <v>OK</v>
      </c>
      <c r="DL48" s="153" t="str">
        <f t="shared" si="73"/>
        <v>OK</v>
      </c>
      <c r="DM48" s="153" t="str">
        <f t="shared" si="51"/>
        <v>OK</v>
      </c>
      <c r="DN48" s="153" t="str">
        <f t="shared" si="52"/>
        <v>OK</v>
      </c>
      <c r="DO48" s="153" t="str">
        <f t="shared" si="53"/>
        <v>OK</v>
      </c>
      <c r="DP48" s="153" t="str">
        <f t="shared" si="74"/>
        <v>OK</v>
      </c>
      <c r="DQ48" s="320" t="str">
        <f t="shared" si="75"/>
        <v>OK</v>
      </c>
      <c r="DR48" s="320" t="str">
        <f t="shared" si="75"/>
        <v>OK</v>
      </c>
      <c r="DS48" s="320" t="str">
        <f t="shared" si="75"/>
        <v>OK</v>
      </c>
      <c r="DT48" s="168" t="str">
        <f t="shared" si="54"/>
        <v>OK</v>
      </c>
      <c r="DU48" s="153" t="str">
        <f t="shared" si="76"/>
        <v>OK</v>
      </c>
      <c r="DV48" s="153" t="str">
        <f t="shared" si="55"/>
        <v>OK</v>
      </c>
      <c r="DW48" s="153" t="str">
        <f t="shared" si="77"/>
        <v>OK</v>
      </c>
      <c r="DX48" s="153" t="str">
        <f t="shared" si="56"/>
        <v>OK</v>
      </c>
      <c r="DY48" s="153" t="str">
        <f t="shared" si="57"/>
        <v>OK</v>
      </c>
      <c r="DZ48" s="153" t="str">
        <f t="shared" si="58"/>
        <v>OK</v>
      </c>
      <c r="EA48" s="201" t="str">
        <f t="shared" si="59"/>
        <v>OK</v>
      </c>
      <c r="EB48" s="168" t="str">
        <f t="shared" si="78"/>
        <v>OK</v>
      </c>
      <c r="EC48" s="157">
        <f t="shared" si="79"/>
        <v>0</v>
      </c>
      <c r="ED48" s="156" t="str">
        <f t="shared" si="80"/>
        <v>OK</v>
      </c>
    </row>
    <row r="49" spans="1:134" ht="17.5" hidden="1" x14ac:dyDescent="0.3">
      <c r="A49" s="232"/>
      <c r="B49" s="420" t="str">
        <f t="shared" si="0"/>
        <v>-</v>
      </c>
      <c r="C49" s="329">
        <v>24</v>
      </c>
      <c r="D49" s="589"/>
      <c r="E49" s="590"/>
      <c r="F49" s="591"/>
      <c r="G49" s="592"/>
      <c r="H49" s="769"/>
      <c r="I49" s="770"/>
      <c r="J49" s="593"/>
      <c r="K49" s="596"/>
      <c r="L49" s="597"/>
      <c r="M49" s="595"/>
      <c r="N49" s="596"/>
      <c r="O49" s="597"/>
      <c r="P49" s="501" t="str">
        <f t="shared" si="1"/>
        <v/>
      </c>
      <c r="Q49" s="501" t="str">
        <f t="shared" si="60"/>
        <v/>
      </c>
      <c r="R49" s="502" t="str">
        <f t="shared" si="2"/>
        <v/>
      </c>
      <c r="S49" s="422"/>
      <c r="T49" s="66" t="str">
        <f>IF(AND(ISNUMBER(L49),J49=FixedDim),MAX('Adjustment factors'!$S$16,0.2+0.8*L49),IF(ISTEXT(J49),VLOOKUP(J49,Afactors,2,TRUE),""))</f>
        <v/>
      </c>
      <c r="U49" s="204" t="str">
        <f>IF(AND(ISNUMBER(O49),M49=FixedDim),MAX('Adjustment factors'!$S$16,0.2+0.8*O49),IF(ISTEXT(M49),VLOOKUP(M49,Afactors,2,FALSE),""))</f>
        <v/>
      </c>
      <c r="V49" s="18" t="b">
        <f t="shared" si="61"/>
        <v>0</v>
      </c>
      <c r="W49" s="18" t="b">
        <f t="shared" si="3"/>
        <v>0</v>
      </c>
      <c r="X49" s="17" t="str">
        <f t="shared" si="4"/>
        <v/>
      </c>
      <c r="Y49" s="18" t="str">
        <f t="shared" si="5"/>
        <v/>
      </c>
      <c r="Z49" s="17" t="str">
        <f t="shared" si="6"/>
        <v/>
      </c>
      <c r="AA49" s="17" t="str">
        <f t="shared" si="7"/>
        <v/>
      </c>
      <c r="AB49" s="163" t="str">
        <f t="shared" si="8"/>
        <v/>
      </c>
      <c r="AC49" s="210">
        <f t="shared" si="9"/>
        <v>0</v>
      </c>
      <c r="AD49" s="211">
        <f t="shared" si="62"/>
        <v>0</v>
      </c>
      <c r="AE49" s="211">
        <f t="shared" si="10"/>
        <v>0</v>
      </c>
      <c r="AF49" s="211">
        <f t="shared" si="11"/>
        <v>0</v>
      </c>
      <c r="AG49" s="212">
        <f t="shared" si="12"/>
        <v>0</v>
      </c>
      <c r="AH49" s="210">
        <f t="shared" si="13"/>
        <v>0</v>
      </c>
      <c r="AI49" s="211">
        <f t="shared" si="63"/>
        <v>0</v>
      </c>
      <c r="AJ49" s="211">
        <f t="shared" si="14"/>
        <v>0</v>
      </c>
      <c r="AK49" s="211">
        <f t="shared" si="64"/>
        <v>0</v>
      </c>
      <c r="AL49" s="212">
        <f t="shared" si="15"/>
        <v>0</v>
      </c>
      <c r="AM49" s="210">
        <f t="shared" si="16"/>
        <v>0</v>
      </c>
      <c r="AN49" s="211">
        <f t="shared" si="65"/>
        <v>0</v>
      </c>
      <c r="AO49" s="211">
        <f t="shared" si="17"/>
        <v>0</v>
      </c>
      <c r="AP49" s="211">
        <f t="shared" si="66"/>
        <v>0</v>
      </c>
      <c r="AQ49" s="212">
        <f t="shared" si="18"/>
        <v>0</v>
      </c>
      <c r="AR49" s="218" t="b">
        <f t="shared" si="19"/>
        <v>1</v>
      </c>
      <c r="AS49" s="20" t="b">
        <f t="shared" si="20"/>
        <v>0</v>
      </c>
      <c r="AT49" s="20" t="b">
        <f t="shared" si="21"/>
        <v>0</v>
      </c>
      <c r="AU49" s="20" t="b">
        <f t="shared" si="22"/>
        <v>1</v>
      </c>
      <c r="AV49" s="20" t="str">
        <f t="shared" si="23"/>
        <v/>
      </c>
      <c r="AW49" s="20" t="b">
        <f t="shared" si="24"/>
        <v>0</v>
      </c>
      <c r="AX49" s="221" t="b">
        <f>IF(OR(COUNTBLANK(D49:I49)=6,AND(COUNTBLANK(D49:G49)=4,H49=0)),OR(AW50:AW$65),NOT(AW49))</f>
        <v>0</v>
      </c>
      <c r="AY49" s="20" t="b">
        <f t="shared" si="25"/>
        <v>1</v>
      </c>
      <c r="AZ49" s="20" t="b">
        <f t="shared" si="67"/>
        <v>0</v>
      </c>
      <c r="BA49" s="21">
        <f t="shared" si="26"/>
        <v>0</v>
      </c>
      <c r="BB49" s="21" t="str">
        <f t="shared" si="27"/>
        <v/>
      </c>
      <c r="BC49" s="235" t="str">
        <f t="shared" si="28"/>
        <v/>
      </c>
      <c r="BD49" s="236" t="str">
        <f t="shared" si="29"/>
        <v/>
      </c>
      <c r="BE49" s="67" t="str">
        <f t="shared" si="81"/>
        <v/>
      </c>
      <c r="BF49" s="195"/>
      <c r="BG49" s="67" t="str">
        <f t="shared" si="82"/>
        <v/>
      </c>
      <c r="BH49" s="202" t="str">
        <f t="shared" si="68"/>
        <v/>
      </c>
      <c r="BI49" s="781"/>
      <c r="BJ49" s="781"/>
      <c r="BK49" s="224" t="b">
        <f t="shared" si="69"/>
        <v>0</v>
      </c>
      <c r="BL49" s="225" t="b">
        <f t="shared" si="70"/>
        <v>0</v>
      </c>
      <c r="BM49" s="226" t="b">
        <f t="shared" si="30"/>
        <v>0</v>
      </c>
      <c r="BN49" s="224" t="b">
        <f t="shared" si="31"/>
        <v>0</v>
      </c>
      <c r="BO49" s="224" t="b">
        <f t="shared" si="32"/>
        <v>0</v>
      </c>
      <c r="BP49" s="225" t="b">
        <f t="shared" si="33"/>
        <v>0</v>
      </c>
      <c r="BQ49" s="226" t="b">
        <f t="shared" si="34"/>
        <v>0</v>
      </c>
      <c r="BR49" s="224" t="b">
        <f t="shared" si="35"/>
        <v>0</v>
      </c>
      <c r="BS49" s="225" t="b">
        <f t="shared" si="71"/>
        <v>0</v>
      </c>
      <c r="BT49" s="227" t="b">
        <f t="shared" si="36"/>
        <v>0</v>
      </c>
      <c r="BU49" s="228" t="b">
        <f t="shared" si="37"/>
        <v>0</v>
      </c>
      <c r="BV49" s="207" t="str">
        <f t="shared" si="38"/>
        <v/>
      </c>
      <c r="BX49" s="167" t="str">
        <f t="shared" si="39"/>
        <v>no data</v>
      </c>
      <c r="BZ49" s="50">
        <v>24</v>
      </c>
      <c r="CA49" s="50" t="str">
        <f t="shared" si="40"/>
        <v>-</v>
      </c>
      <c r="CC49"/>
      <c r="CE49" s="73"/>
      <c r="CF49" s="26"/>
      <c r="CG49" s="333"/>
      <c r="CH49" s="333"/>
      <c r="CI49" s="354">
        <f t="shared" si="41"/>
        <v>24</v>
      </c>
      <c r="CJ49" s="503">
        <f t="shared" si="42"/>
        <v>0</v>
      </c>
      <c r="CK49" s="503">
        <f t="shared" si="43"/>
        <v>0</v>
      </c>
      <c r="CL49" s="504" t="str">
        <f t="shared" si="44"/>
        <v/>
      </c>
      <c r="CM49" s="505" t="str">
        <f>IF(AZ49,IF(ISNUMBER(L49),MAX('Adjustment factors'!$S$16,0.2+0.8*L49),IF(ISTEXT(J49),VLOOKUP(J49,Afactors,2,FALSE),"")),"")</f>
        <v/>
      </c>
      <c r="CN49" s="505" t="str">
        <f>IF(AZ49,IF(ISNUMBER(O49),MAX('Adjustment factors'!$S$16,0.2+0.8*O49),IF(ISTEXT(M49),VLOOKUP(M49,Afactors,2,FALSE),"")),"")</f>
        <v/>
      </c>
      <c r="CO49" s="506" t="str">
        <f t="shared" si="72"/>
        <v/>
      </c>
      <c r="CP49" s="340"/>
      <c r="CQ49" s="340"/>
      <c r="CR49" s="340"/>
      <c r="CS49" s="340"/>
      <c r="CT49" s="333"/>
      <c r="CU49" s="333"/>
      <c r="CV49" s="333"/>
      <c r="CW49" s="333"/>
      <c r="CX49" s="333"/>
      <c r="CY49" s="333"/>
      <c r="CZ49" s="333"/>
      <c r="DA49" s="333"/>
      <c r="DB49" s="333"/>
      <c r="DC49" s="333"/>
      <c r="DD49" s="333"/>
      <c r="DF49" s="167" t="str">
        <f t="shared" si="45"/>
        <v>OK</v>
      </c>
      <c r="DG49" s="167" t="str">
        <f t="shared" si="46"/>
        <v>OK</v>
      </c>
      <c r="DH49" s="167" t="str">
        <f t="shared" si="47"/>
        <v>OK</v>
      </c>
      <c r="DI49" s="167" t="str">
        <f t="shared" si="48"/>
        <v>OK</v>
      </c>
      <c r="DJ49" s="168" t="str">
        <f t="shared" si="49"/>
        <v>OK</v>
      </c>
      <c r="DK49" s="153" t="str">
        <f t="shared" si="50"/>
        <v>OK</v>
      </c>
      <c r="DL49" s="153" t="str">
        <f t="shared" si="73"/>
        <v>OK</v>
      </c>
      <c r="DM49" s="153" t="str">
        <f t="shared" si="51"/>
        <v>OK</v>
      </c>
      <c r="DN49" s="153" t="str">
        <f t="shared" si="52"/>
        <v>OK</v>
      </c>
      <c r="DO49" s="153" t="str">
        <f t="shared" si="53"/>
        <v>OK</v>
      </c>
      <c r="DP49" s="153" t="str">
        <f t="shared" si="74"/>
        <v>OK</v>
      </c>
      <c r="DQ49" s="320" t="str">
        <f t="shared" si="75"/>
        <v>OK</v>
      </c>
      <c r="DR49" s="320" t="str">
        <f t="shared" si="75"/>
        <v>OK</v>
      </c>
      <c r="DS49" s="320" t="str">
        <f t="shared" si="75"/>
        <v>OK</v>
      </c>
      <c r="DT49" s="168" t="str">
        <f t="shared" si="54"/>
        <v>OK</v>
      </c>
      <c r="DU49" s="153" t="str">
        <f t="shared" si="76"/>
        <v>OK</v>
      </c>
      <c r="DV49" s="153" t="str">
        <f t="shared" si="55"/>
        <v>OK</v>
      </c>
      <c r="DW49" s="153" t="str">
        <f t="shared" si="77"/>
        <v>OK</v>
      </c>
      <c r="DX49" s="153" t="str">
        <f t="shared" si="56"/>
        <v>OK</v>
      </c>
      <c r="DY49" s="153" t="str">
        <f t="shared" si="57"/>
        <v>OK</v>
      </c>
      <c r="DZ49" s="153" t="str">
        <f t="shared" si="58"/>
        <v>OK</v>
      </c>
      <c r="EA49" s="201" t="str">
        <f t="shared" si="59"/>
        <v>OK</v>
      </c>
      <c r="EB49" s="168" t="str">
        <f t="shared" si="78"/>
        <v>OK</v>
      </c>
      <c r="EC49" s="157">
        <f t="shared" si="79"/>
        <v>0</v>
      </c>
      <c r="ED49" s="156" t="str">
        <f t="shared" si="80"/>
        <v>OK</v>
      </c>
    </row>
    <row r="50" spans="1:134" ht="17.5" hidden="1" x14ac:dyDescent="0.3">
      <c r="A50" s="232"/>
      <c r="B50" s="420" t="str">
        <f t="shared" si="0"/>
        <v>-</v>
      </c>
      <c r="C50" s="329">
        <v>25</v>
      </c>
      <c r="D50" s="589"/>
      <c r="E50" s="590"/>
      <c r="F50" s="591"/>
      <c r="G50" s="592"/>
      <c r="H50" s="769"/>
      <c r="I50" s="770"/>
      <c r="J50" s="593"/>
      <c r="K50" s="596"/>
      <c r="L50" s="597"/>
      <c r="M50" s="595"/>
      <c r="N50" s="596"/>
      <c r="O50" s="597"/>
      <c r="P50" s="501" t="str">
        <f t="shared" si="1"/>
        <v/>
      </c>
      <c r="Q50" s="501" t="str">
        <f t="shared" si="60"/>
        <v/>
      </c>
      <c r="R50" s="502" t="str">
        <f t="shared" si="2"/>
        <v/>
      </c>
      <c r="S50" s="422"/>
      <c r="T50" s="66" t="str">
        <f>IF(AND(ISNUMBER(L50),J50=FixedDim),MAX('Adjustment factors'!$S$16,0.2+0.8*L50),IF(ISTEXT(J50),VLOOKUP(J50,Afactors,2,TRUE),""))</f>
        <v/>
      </c>
      <c r="U50" s="204" t="str">
        <f>IF(AND(ISNUMBER(O50),M50=FixedDim),MAX('Adjustment factors'!$S$16,0.2+0.8*O50),IF(ISTEXT(M50),VLOOKUP(M50,Afactors,2,FALSE),""))</f>
        <v/>
      </c>
      <c r="V50" s="18" t="b">
        <f t="shared" si="61"/>
        <v>0</v>
      </c>
      <c r="W50" s="18" t="b">
        <f t="shared" si="3"/>
        <v>0</v>
      </c>
      <c r="X50" s="17" t="str">
        <f t="shared" si="4"/>
        <v/>
      </c>
      <c r="Y50" s="18" t="str">
        <f t="shared" si="5"/>
        <v/>
      </c>
      <c r="Z50" s="17" t="str">
        <f t="shared" si="6"/>
        <v/>
      </c>
      <c r="AA50" s="17" t="str">
        <f t="shared" si="7"/>
        <v/>
      </c>
      <c r="AB50" s="163" t="str">
        <f t="shared" si="8"/>
        <v/>
      </c>
      <c r="AC50" s="210">
        <f t="shared" si="9"/>
        <v>0</v>
      </c>
      <c r="AD50" s="211">
        <f t="shared" si="62"/>
        <v>0</v>
      </c>
      <c r="AE50" s="211">
        <f t="shared" si="10"/>
        <v>0</v>
      </c>
      <c r="AF50" s="211">
        <f t="shared" si="11"/>
        <v>0</v>
      </c>
      <c r="AG50" s="212">
        <f t="shared" si="12"/>
        <v>0</v>
      </c>
      <c r="AH50" s="210">
        <f t="shared" si="13"/>
        <v>0</v>
      </c>
      <c r="AI50" s="211">
        <f t="shared" si="63"/>
        <v>0</v>
      </c>
      <c r="AJ50" s="211">
        <f t="shared" si="14"/>
        <v>0</v>
      </c>
      <c r="AK50" s="211">
        <f t="shared" si="64"/>
        <v>0</v>
      </c>
      <c r="AL50" s="212">
        <f t="shared" si="15"/>
        <v>0</v>
      </c>
      <c r="AM50" s="210">
        <f t="shared" si="16"/>
        <v>0</v>
      </c>
      <c r="AN50" s="211">
        <f t="shared" si="65"/>
        <v>0</v>
      </c>
      <c r="AO50" s="211">
        <f t="shared" si="17"/>
        <v>0</v>
      </c>
      <c r="AP50" s="211">
        <f t="shared" si="66"/>
        <v>0</v>
      </c>
      <c r="AQ50" s="212">
        <f t="shared" si="18"/>
        <v>0</v>
      </c>
      <c r="AR50" s="218" t="b">
        <f t="shared" si="19"/>
        <v>1</v>
      </c>
      <c r="AS50" s="20" t="b">
        <f t="shared" si="20"/>
        <v>0</v>
      </c>
      <c r="AT50" s="20" t="b">
        <f t="shared" si="21"/>
        <v>0</v>
      </c>
      <c r="AU50" s="20" t="b">
        <f t="shared" si="22"/>
        <v>1</v>
      </c>
      <c r="AV50" s="20" t="str">
        <f t="shared" si="23"/>
        <v/>
      </c>
      <c r="AW50" s="20" t="b">
        <f t="shared" si="24"/>
        <v>0</v>
      </c>
      <c r="AX50" s="221" t="b">
        <f>IF(OR(COUNTBLANK(D50:I50)=6,AND(COUNTBLANK(D50:G50)=4,H50=0)),OR(AW51:AW$65),NOT(AW50))</f>
        <v>0</v>
      </c>
      <c r="AY50" s="20" t="b">
        <f t="shared" si="25"/>
        <v>1</v>
      </c>
      <c r="AZ50" s="20" t="b">
        <f t="shared" si="67"/>
        <v>0</v>
      </c>
      <c r="BA50" s="21">
        <f t="shared" si="26"/>
        <v>0</v>
      </c>
      <c r="BB50" s="21" t="str">
        <f t="shared" si="27"/>
        <v/>
      </c>
      <c r="BC50" s="235" t="str">
        <f t="shared" si="28"/>
        <v/>
      </c>
      <c r="BD50" s="236" t="str">
        <f t="shared" si="29"/>
        <v/>
      </c>
      <c r="BE50" s="67" t="str">
        <f t="shared" si="81"/>
        <v/>
      </c>
      <c r="BF50" s="195"/>
      <c r="BG50" s="67" t="str">
        <f t="shared" si="82"/>
        <v/>
      </c>
      <c r="BH50" s="202" t="str">
        <f t="shared" si="68"/>
        <v/>
      </c>
      <c r="BI50" s="781"/>
      <c r="BJ50" s="781"/>
      <c r="BK50" s="224" t="b">
        <f t="shared" si="69"/>
        <v>0</v>
      </c>
      <c r="BL50" s="225" t="b">
        <f t="shared" si="70"/>
        <v>0</v>
      </c>
      <c r="BM50" s="226" t="b">
        <f t="shared" si="30"/>
        <v>0</v>
      </c>
      <c r="BN50" s="224" t="b">
        <f t="shared" si="31"/>
        <v>0</v>
      </c>
      <c r="BO50" s="224" t="b">
        <f t="shared" si="32"/>
        <v>0</v>
      </c>
      <c r="BP50" s="225" t="b">
        <f t="shared" si="33"/>
        <v>0</v>
      </c>
      <c r="BQ50" s="226" t="b">
        <f t="shared" si="34"/>
        <v>0</v>
      </c>
      <c r="BR50" s="224" t="b">
        <f t="shared" si="35"/>
        <v>0</v>
      </c>
      <c r="BS50" s="225" t="b">
        <f t="shared" si="71"/>
        <v>0</v>
      </c>
      <c r="BT50" s="227" t="b">
        <f t="shared" si="36"/>
        <v>0</v>
      </c>
      <c r="BU50" s="228" t="b">
        <f t="shared" si="37"/>
        <v>0</v>
      </c>
      <c r="BV50" s="207" t="str">
        <f t="shared" si="38"/>
        <v/>
      </c>
      <c r="BX50" s="167" t="str">
        <f t="shared" si="39"/>
        <v>no data</v>
      </c>
      <c r="BZ50" s="50">
        <v>25</v>
      </c>
      <c r="CA50" s="50" t="str">
        <f t="shared" si="40"/>
        <v>-</v>
      </c>
      <c r="CC50"/>
      <c r="CE50" s="73"/>
      <c r="CF50" s="26"/>
      <c r="CG50" s="333"/>
      <c r="CH50" s="333"/>
      <c r="CI50" s="354">
        <f t="shared" si="41"/>
        <v>25</v>
      </c>
      <c r="CJ50" s="503">
        <f t="shared" si="42"/>
        <v>0</v>
      </c>
      <c r="CK50" s="503">
        <f t="shared" si="43"/>
        <v>0</v>
      </c>
      <c r="CL50" s="504" t="str">
        <f t="shared" si="44"/>
        <v/>
      </c>
      <c r="CM50" s="505" t="str">
        <f>IF(AZ50,IF(ISNUMBER(L50),MAX('Adjustment factors'!$S$16,0.2+0.8*L50),IF(ISTEXT(J50),VLOOKUP(J50,Afactors,2,FALSE),"")),"")</f>
        <v/>
      </c>
      <c r="CN50" s="505" t="str">
        <f>IF(AZ50,IF(ISNUMBER(O50),MAX('Adjustment factors'!$S$16,0.2+0.8*O50),IF(ISTEXT(M50),VLOOKUP(M50,Afactors,2,FALSE),"")),"")</f>
        <v/>
      </c>
      <c r="CO50" s="506" t="str">
        <f t="shared" si="72"/>
        <v/>
      </c>
      <c r="CP50" s="340"/>
      <c r="CQ50" s="340"/>
      <c r="CR50" s="340"/>
      <c r="CS50" s="340"/>
      <c r="CT50" s="333"/>
      <c r="CU50" s="333"/>
      <c r="CV50" s="333"/>
      <c r="CW50" s="333"/>
      <c r="CX50" s="333"/>
      <c r="CY50" s="333"/>
      <c r="CZ50" s="333"/>
      <c r="DA50" s="333"/>
      <c r="DB50" s="333"/>
      <c r="DC50" s="333"/>
      <c r="DD50" s="333"/>
      <c r="DF50" s="167" t="str">
        <f t="shared" si="45"/>
        <v>OK</v>
      </c>
      <c r="DG50" s="167" t="str">
        <f t="shared" si="46"/>
        <v>OK</v>
      </c>
      <c r="DH50" s="167" t="str">
        <f t="shared" si="47"/>
        <v>OK</v>
      </c>
      <c r="DI50" s="167" t="str">
        <f t="shared" si="48"/>
        <v>OK</v>
      </c>
      <c r="DJ50" s="168" t="str">
        <f t="shared" si="49"/>
        <v>OK</v>
      </c>
      <c r="DK50" s="153" t="str">
        <f t="shared" si="50"/>
        <v>OK</v>
      </c>
      <c r="DL50" s="153" t="str">
        <f t="shared" si="73"/>
        <v>OK</v>
      </c>
      <c r="DM50" s="153" t="str">
        <f t="shared" si="51"/>
        <v>OK</v>
      </c>
      <c r="DN50" s="153" t="str">
        <f t="shared" si="52"/>
        <v>OK</v>
      </c>
      <c r="DO50" s="153" t="str">
        <f t="shared" si="53"/>
        <v>OK</v>
      </c>
      <c r="DP50" s="153" t="str">
        <f t="shared" si="74"/>
        <v>OK</v>
      </c>
      <c r="DQ50" s="320" t="str">
        <f t="shared" si="75"/>
        <v>OK</v>
      </c>
      <c r="DR50" s="320" t="str">
        <f t="shared" si="75"/>
        <v>OK</v>
      </c>
      <c r="DS50" s="320" t="str">
        <f t="shared" si="75"/>
        <v>OK</v>
      </c>
      <c r="DT50" s="168" t="str">
        <f t="shared" si="54"/>
        <v>OK</v>
      </c>
      <c r="DU50" s="153" t="str">
        <f t="shared" si="76"/>
        <v>OK</v>
      </c>
      <c r="DV50" s="153" t="str">
        <f t="shared" si="55"/>
        <v>OK</v>
      </c>
      <c r="DW50" s="153" t="str">
        <f t="shared" si="77"/>
        <v>OK</v>
      </c>
      <c r="DX50" s="153" t="str">
        <f t="shared" si="56"/>
        <v>OK</v>
      </c>
      <c r="DY50" s="153" t="str">
        <f t="shared" si="57"/>
        <v>OK</v>
      </c>
      <c r="DZ50" s="153" t="str">
        <f t="shared" si="58"/>
        <v>OK</v>
      </c>
      <c r="EA50" s="201" t="str">
        <f t="shared" si="59"/>
        <v>OK</v>
      </c>
      <c r="EB50" s="168" t="str">
        <f t="shared" si="78"/>
        <v>OK</v>
      </c>
      <c r="EC50" s="157">
        <f t="shared" si="79"/>
        <v>0</v>
      </c>
      <c r="ED50" s="156" t="str">
        <f t="shared" si="80"/>
        <v>OK</v>
      </c>
    </row>
    <row r="51" spans="1:134" ht="17.5" hidden="1" x14ac:dyDescent="0.3">
      <c r="A51" s="232"/>
      <c r="B51" s="420" t="str">
        <f t="shared" si="0"/>
        <v>-</v>
      </c>
      <c r="C51" s="329">
        <v>26</v>
      </c>
      <c r="D51" s="589"/>
      <c r="E51" s="590"/>
      <c r="F51" s="591"/>
      <c r="G51" s="592"/>
      <c r="H51" s="769"/>
      <c r="I51" s="770"/>
      <c r="J51" s="593"/>
      <c r="K51" s="596"/>
      <c r="L51" s="597"/>
      <c r="M51" s="595"/>
      <c r="N51" s="596"/>
      <c r="O51" s="597"/>
      <c r="P51" s="501" t="str">
        <f t="shared" si="1"/>
        <v/>
      </c>
      <c r="Q51" s="501" t="str">
        <f t="shared" si="60"/>
        <v/>
      </c>
      <c r="R51" s="502" t="str">
        <f t="shared" si="2"/>
        <v/>
      </c>
      <c r="S51" s="422"/>
      <c r="T51" s="66" t="str">
        <f>IF(AND(ISNUMBER(L51),J51=FixedDim),MAX('Adjustment factors'!$S$16,0.2+0.8*L51),IF(ISTEXT(J51),VLOOKUP(J51,Afactors,2,TRUE),""))</f>
        <v/>
      </c>
      <c r="U51" s="204" t="str">
        <f>IF(AND(ISNUMBER(O51),M51=FixedDim),MAX('Adjustment factors'!$S$16,0.2+0.8*O51),IF(ISTEXT(M51),VLOOKUP(M51,Afactors,2,FALSE),""))</f>
        <v/>
      </c>
      <c r="V51" s="18" t="b">
        <f t="shared" si="61"/>
        <v>0</v>
      </c>
      <c r="W51" s="18" t="b">
        <f t="shared" si="3"/>
        <v>0</v>
      </c>
      <c r="X51" s="17" t="str">
        <f t="shared" si="4"/>
        <v/>
      </c>
      <c r="Y51" s="18" t="str">
        <f t="shared" si="5"/>
        <v/>
      </c>
      <c r="Z51" s="17" t="str">
        <f t="shared" si="6"/>
        <v/>
      </c>
      <c r="AA51" s="17" t="str">
        <f t="shared" si="7"/>
        <v/>
      </c>
      <c r="AB51" s="163" t="str">
        <f t="shared" si="8"/>
        <v/>
      </c>
      <c r="AC51" s="210">
        <f t="shared" si="9"/>
        <v>0</v>
      </c>
      <c r="AD51" s="211">
        <f t="shared" si="62"/>
        <v>0</v>
      </c>
      <c r="AE51" s="211">
        <f t="shared" si="10"/>
        <v>0</v>
      </c>
      <c r="AF51" s="211">
        <f t="shared" si="11"/>
        <v>0</v>
      </c>
      <c r="AG51" s="212">
        <f t="shared" si="12"/>
        <v>0</v>
      </c>
      <c r="AH51" s="210">
        <f t="shared" si="13"/>
        <v>0</v>
      </c>
      <c r="AI51" s="211">
        <f t="shared" si="63"/>
        <v>0</v>
      </c>
      <c r="AJ51" s="211">
        <f t="shared" si="14"/>
        <v>0</v>
      </c>
      <c r="AK51" s="211">
        <f t="shared" si="64"/>
        <v>0</v>
      </c>
      <c r="AL51" s="212">
        <f t="shared" si="15"/>
        <v>0</v>
      </c>
      <c r="AM51" s="210">
        <f t="shared" si="16"/>
        <v>0</v>
      </c>
      <c r="AN51" s="211">
        <f t="shared" si="65"/>
        <v>0</v>
      </c>
      <c r="AO51" s="211">
        <f t="shared" si="17"/>
        <v>0</v>
      </c>
      <c r="AP51" s="211">
        <f t="shared" si="66"/>
        <v>0</v>
      </c>
      <c r="AQ51" s="212">
        <f t="shared" si="18"/>
        <v>0</v>
      </c>
      <c r="AR51" s="218" t="b">
        <f t="shared" si="19"/>
        <v>1</v>
      </c>
      <c r="AS51" s="20" t="b">
        <f t="shared" si="20"/>
        <v>0</v>
      </c>
      <c r="AT51" s="20" t="b">
        <f t="shared" si="21"/>
        <v>0</v>
      </c>
      <c r="AU51" s="20" t="b">
        <f t="shared" si="22"/>
        <v>1</v>
      </c>
      <c r="AV51" s="20" t="str">
        <f t="shared" si="23"/>
        <v/>
      </c>
      <c r="AW51" s="20" t="b">
        <f t="shared" si="24"/>
        <v>0</v>
      </c>
      <c r="AX51" s="221" t="b">
        <f>IF(OR(COUNTBLANK(D51:I51)=6,AND(COUNTBLANK(D51:G51)=4,H51=0)),OR(AW52:AW$65),NOT(AW51))</f>
        <v>0</v>
      </c>
      <c r="AY51" s="20" t="b">
        <f t="shared" si="25"/>
        <v>1</v>
      </c>
      <c r="AZ51" s="20" t="b">
        <f t="shared" si="67"/>
        <v>0</v>
      </c>
      <c r="BA51" s="21">
        <f t="shared" si="26"/>
        <v>0</v>
      </c>
      <c r="BB51" s="21" t="str">
        <f t="shared" si="27"/>
        <v/>
      </c>
      <c r="BC51" s="235" t="str">
        <f t="shared" si="28"/>
        <v/>
      </c>
      <c r="BD51" s="236" t="str">
        <f t="shared" si="29"/>
        <v/>
      </c>
      <c r="BE51" s="67" t="str">
        <f t="shared" si="81"/>
        <v/>
      </c>
      <c r="BF51" s="195"/>
      <c r="BG51" s="67" t="str">
        <f t="shared" si="82"/>
        <v/>
      </c>
      <c r="BH51" s="202" t="str">
        <f t="shared" si="68"/>
        <v/>
      </c>
      <c r="BI51" s="781"/>
      <c r="BJ51" s="781"/>
      <c r="BK51" s="224" t="b">
        <f t="shared" si="69"/>
        <v>0</v>
      </c>
      <c r="BL51" s="225" t="b">
        <f t="shared" si="70"/>
        <v>0</v>
      </c>
      <c r="BM51" s="226" t="b">
        <f t="shared" si="30"/>
        <v>0</v>
      </c>
      <c r="BN51" s="224" t="b">
        <f t="shared" si="31"/>
        <v>0</v>
      </c>
      <c r="BO51" s="224" t="b">
        <f t="shared" si="32"/>
        <v>0</v>
      </c>
      <c r="BP51" s="225" t="b">
        <f t="shared" si="33"/>
        <v>0</v>
      </c>
      <c r="BQ51" s="226" t="b">
        <f t="shared" si="34"/>
        <v>0</v>
      </c>
      <c r="BR51" s="224" t="b">
        <f t="shared" si="35"/>
        <v>0</v>
      </c>
      <c r="BS51" s="225" t="b">
        <f t="shared" si="71"/>
        <v>0</v>
      </c>
      <c r="BT51" s="227" t="b">
        <f t="shared" si="36"/>
        <v>0</v>
      </c>
      <c r="BU51" s="228" t="b">
        <f t="shared" si="37"/>
        <v>0</v>
      </c>
      <c r="BV51" s="207" t="str">
        <f t="shared" si="38"/>
        <v/>
      </c>
      <c r="BX51" s="167" t="str">
        <f t="shared" si="39"/>
        <v>no data</v>
      </c>
      <c r="BZ51" s="50">
        <v>26</v>
      </c>
      <c r="CA51" s="50" t="str">
        <f t="shared" si="40"/>
        <v>-</v>
      </c>
      <c r="CC51"/>
      <c r="CE51" s="73"/>
      <c r="CF51" s="26"/>
      <c r="CG51" s="333"/>
      <c r="CH51" s="333"/>
      <c r="CI51" s="354">
        <f t="shared" si="41"/>
        <v>26</v>
      </c>
      <c r="CJ51" s="503">
        <f t="shared" si="42"/>
        <v>0</v>
      </c>
      <c r="CK51" s="503">
        <f t="shared" si="43"/>
        <v>0</v>
      </c>
      <c r="CL51" s="504" t="str">
        <f t="shared" si="44"/>
        <v/>
      </c>
      <c r="CM51" s="505" t="str">
        <f>IF(AZ51,IF(ISNUMBER(L51),MAX('Adjustment factors'!$S$16,0.2+0.8*L51),IF(ISTEXT(J51),VLOOKUP(J51,Afactors,2,FALSE),"")),"")</f>
        <v/>
      </c>
      <c r="CN51" s="505" t="str">
        <f>IF(AZ51,IF(ISNUMBER(O51),MAX('Adjustment factors'!$S$16,0.2+0.8*O51),IF(ISTEXT(M51),VLOOKUP(M51,Afactors,2,FALSE),"")),"")</f>
        <v/>
      </c>
      <c r="CO51" s="506" t="str">
        <f t="shared" si="72"/>
        <v/>
      </c>
      <c r="CP51" s="340"/>
      <c r="CQ51" s="340"/>
      <c r="CR51" s="340"/>
      <c r="CS51" s="340"/>
      <c r="CT51" s="333"/>
      <c r="CU51" s="333"/>
      <c r="CV51" s="333"/>
      <c r="CW51" s="333"/>
      <c r="CX51" s="333"/>
      <c r="CY51" s="333"/>
      <c r="CZ51" s="333"/>
      <c r="DA51" s="333"/>
      <c r="DB51" s="333"/>
      <c r="DC51" s="333"/>
      <c r="DD51" s="333"/>
      <c r="DF51" s="167" t="str">
        <f t="shared" si="45"/>
        <v>OK</v>
      </c>
      <c r="DG51" s="167" t="str">
        <f t="shared" si="46"/>
        <v>OK</v>
      </c>
      <c r="DH51" s="167" t="str">
        <f t="shared" si="47"/>
        <v>OK</v>
      </c>
      <c r="DI51" s="167" t="str">
        <f t="shared" si="48"/>
        <v>OK</v>
      </c>
      <c r="DJ51" s="168" t="str">
        <f t="shared" si="49"/>
        <v>OK</v>
      </c>
      <c r="DK51" s="153" t="str">
        <f t="shared" si="50"/>
        <v>OK</v>
      </c>
      <c r="DL51" s="153" t="str">
        <f t="shared" si="73"/>
        <v>OK</v>
      </c>
      <c r="DM51" s="153" t="str">
        <f t="shared" si="51"/>
        <v>OK</v>
      </c>
      <c r="DN51" s="153" t="str">
        <f t="shared" si="52"/>
        <v>OK</v>
      </c>
      <c r="DO51" s="153" t="str">
        <f t="shared" si="53"/>
        <v>OK</v>
      </c>
      <c r="DP51" s="153" t="str">
        <f t="shared" si="74"/>
        <v>OK</v>
      </c>
      <c r="DQ51" s="320" t="str">
        <f t="shared" si="75"/>
        <v>OK</v>
      </c>
      <c r="DR51" s="320" t="str">
        <f t="shared" si="75"/>
        <v>OK</v>
      </c>
      <c r="DS51" s="320" t="str">
        <f t="shared" si="75"/>
        <v>OK</v>
      </c>
      <c r="DT51" s="168" t="str">
        <f t="shared" si="54"/>
        <v>OK</v>
      </c>
      <c r="DU51" s="153" t="str">
        <f t="shared" si="76"/>
        <v>OK</v>
      </c>
      <c r="DV51" s="153" t="str">
        <f t="shared" si="55"/>
        <v>OK</v>
      </c>
      <c r="DW51" s="153" t="str">
        <f t="shared" si="77"/>
        <v>OK</v>
      </c>
      <c r="DX51" s="153" t="str">
        <f t="shared" si="56"/>
        <v>OK</v>
      </c>
      <c r="DY51" s="153" t="str">
        <f t="shared" si="57"/>
        <v>OK</v>
      </c>
      <c r="DZ51" s="153" t="str">
        <f t="shared" si="58"/>
        <v>OK</v>
      </c>
      <c r="EA51" s="201" t="str">
        <f t="shared" si="59"/>
        <v>OK</v>
      </c>
      <c r="EB51" s="168" t="str">
        <f t="shared" si="78"/>
        <v>OK</v>
      </c>
      <c r="EC51" s="157">
        <f t="shared" si="79"/>
        <v>0</v>
      </c>
      <c r="ED51" s="156" t="str">
        <f t="shared" si="80"/>
        <v>OK</v>
      </c>
    </row>
    <row r="52" spans="1:134" ht="17.5" hidden="1" x14ac:dyDescent="0.3">
      <c r="A52" s="232"/>
      <c r="B52" s="420" t="str">
        <f t="shared" si="0"/>
        <v>-</v>
      </c>
      <c r="C52" s="329">
        <v>27</v>
      </c>
      <c r="D52" s="589"/>
      <c r="E52" s="590"/>
      <c r="F52" s="591"/>
      <c r="G52" s="592"/>
      <c r="H52" s="769"/>
      <c r="I52" s="770"/>
      <c r="J52" s="593"/>
      <c r="K52" s="596"/>
      <c r="L52" s="597"/>
      <c r="M52" s="595"/>
      <c r="N52" s="596"/>
      <c r="O52" s="597"/>
      <c r="P52" s="501" t="str">
        <f t="shared" si="1"/>
        <v/>
      </c>
      <c r="Q52" s="501" t="str">
        <f t="shared" si="60"/>
        <v/>
      </c>
      <c r="R52" s="502" t="str">
        <f t="shared" si="2"/>
        <v/>
      </c>
      <c r="S52" s="422"/>
      <c r="T52" s="66" t="str">
        <f>IF(AND(ISNUMBER(L52),J52=FixedDim),MAX('Adjustment factors'!$S$16,0.2+0.8*L52),IF(ISTEXT(J52),VLOOKUP(J52,Afactors,2,TRUE),""))</f>
        <v/>
      </c>
      <c r="U52" s="204" t="str">
        <f>IF(AND(ISNUMBER(O52),M52=FixedDim),MAX('Adjustment factors'!$S$16,0.2+0.8*O52),IF(ISTEXT(M52),VLOOKUP(M52,Afactors,2,FALSE),""))</f>
        <v/>
      </c>
      <c r="V52" s="18" t="b">
        <f t="shared" si="61"/>
        <v>0</v>
      </c>
      <c r="W52" s="18" t="b">
        <f t="shared" si="3"/>
        <v>0</v>
      </c>
      <c r="X52" s="17" t="str">
        <f t="shared" si="4"/>
        <v/>
      </c>
      <c r="Y52" s="18" t="str">
        <f t="shared" si="5"/>
        <v/>
      </c>
      <c r="Z52" s="17" t="str">
        <f t="shared" si="6"/>
        <v/>
      </c>
      <c r="AA52" s="17" t="str">
        <f t="shared" si="7"/>
        <v/>
      </c>
      <c r="AB52" s="163" t="str">
        <f t="shared" si="8"/>
        <v/>
      </c>
      <c r="AC52" s="210">
        <f t="shared" si="9"/>
        <v>0</v>
      </c>
      <c r="AD52" s="211">
        <f t="shared" si="62"/>
        <v>0</v>
      </c>
      <c r="AE52" s="211">
        <f t="shared" si="10"/>
        <v>0</v>
      </c>
      <c r="AF52" s="211">
        <f t="shared" si="11"/>
        <v>0</v>
      </c>
      <c r="AG52" s="212">
        <f t="shared" si="12"/>
        <v>0</v>
      </c>
      <c r="AH52" s="210">
        <f t="shared" si="13"/>
        <v>0</v>
      </c>
      <c r="AI52" s="211">
        <f t="shared" si="63"/>
        <v>0</v>
      </c>
      <c r="AJ52" s="211">
        <f t="shared" si="14"/>
        <v>0</v>
      </c>
      <c r="AK52" s="211">
        <f t="shared" si="64"/>
        <v>0</v>
      </c>
      <c r="AL52" s="212">
        <f t="shared" si="15"/>
        <v>0</v>
      </c>
      <c r="AM52" s="210">
        <f t="shared" si="16"/>
        <v>0</v>
      </c>
      <c r="AN52" s="211">
        <f t="shared" si="65"/>
        <v>0</v>
      </c>
      <c r="AO52" s="211">
        <f t="shared" si="17"/>
        <v>0</v>
      </c>
      <c r="AP52" s="211">
        <f t="shared" si="66"/>
        <v>0</v>
      </c>
      <c r="AQ52" s="212">
        <f t="shared" si="18"/>
        <v>0</v>
      </c>
      <c r="AR52" s="218" t="b">
        <f t="shared" si="19"/>
        <v>1</v>
      </c>
      <c r="AS52" s="20" t="b">
        <f t="shared" si="20"/>
        <v>0</v>
      </c>
      <c r="AT52" s="20" t="b">
        <f t="shared" si="21"/>
        <v>0</v>
      </c>
      <c r="AU52" s="20" t="b">
        <f t="shared" si="22"/>
        <v>1</v>
      </c>
      <c r="AV52" s="20" t="str">
        <f t="shared" si="23"/>
        <v/>
      </c>
      <c r="AW52" s="20" t="b">
        <f t="shared" si="24"/>
        <v>0</v>
      </c>
      <c r="AX52" s="221" t="b">
        <f>IF(OR(COUNTBLANK(D52:I52)=6,AND(COUNTBLANK(D52:G52)=4,H52=0)),OR(AW53:AW$65),NOT(AW52))</f>
        <v>0</v>
      </c>
      <c r="AY52" s="20" t="b">
        <f t="shared" si="25"/>
        <v>1</v>
      </c>
      <c r="AZ52" s="20" t="b">
        <f t="shared" si="67"/>
        <v>0</v>
      </c>
      <c r="BA52" s="21">
        <f t="shared" si="26"/>
        <v>0</v>
      </c>
      <c r="BB52" s="21" t="str">
        <f t="shared" si="27"/>
        <v/>
      </c>
      <c r="BC52" s="235" t="str">
        <f t="shared" si="28"/>
        <v/>
      </c>
      <c r="BD52" s="236" t="str">
        <f t="shared" si="29"/>
        <v/>
      </c>
      <c r="BE52" s="67" t="str">
        <f t="shared" si="81"/>
        <v/>
      </c>
      <c r="BF52" s="195"/>
      <c r="BG52" s="67" t="str">
        <f t="shared" si="82"/>
        <v/>
      </c>
      <c r="BH52" s="202" t="str">
        <f t="shared" si="68"/>
        <v/>
      </c>
      <c r="BI52" s="781"/>
      <c r="BJ52" s="781"/>
      <c r="BK52" s="224" t="b">
        <f t="shared" si="69"/>
        <v>0</v>
      </c>
      <c r="BL52" s="225" t="b">
        <f t="shared" si="70"/>
        <v>0</v>
      </c>
      <c r="BM52" s="226" t="b">
        <f t="shared" si="30"/>
        <v>0</v>
      </c>
      <c r="BN52" s="224" t="b">
        <f t="shared" si="31"/>
        <v>0</v>
      </c>
      <c r="BO52" s="224" t="b">
        <f t="shared" si="32"/>
        <v>0</v>
      </c>
      <c r="BP52" s="225" t="b">
        <f t="shared" si="33"/>
        <v>0</v>
      </c>
      <c r="BQ52" s="226" t="b">
        <f t="shared" si="34"/>
        <v>0</v>
      </c>
      <c r="BR52" s="224" t="b">
        <f t="shared" si="35"/>
        <v>0</v>
      </c>
      <c r="BS52" s="225" t="b">
        <f t="shared" si="71"/>
        <v>0</v>
      </c>
      <c r="BT52" s="227" t="b">
        <f t="shared" si="36"/>
        <v>0</v>
      </c>
      <c r="BU52" s="228" t="b">
        <f t="shared" si="37"/>
        <v>0</v>
      </c>
      <c r="BV52" s="207" t="str">
        <f t="shared" si="38"/>
        <v/>
      </c>
      <c r="BX52" s="167" t="str">
        <f t="shared" si="39"/>
        <v>no data</v>
      </c>
      <c r="BZ52" s="50">
        <v>27</v>
      </c>
      <c r="CA52" s="50" t="str">
        <f t="shared" si="40"/>
        <v>-</v>
      </c>
      <c r="CC52"/>
      <c r="CE52" s="73"/>
      <c r="CF52" s="26"/>
      <c r="CG52" s="333"/>
      <c r="CH52" s="333"/>
      <c r="CI52" s="354">
        <f t="shared" si="41"/>
        <v>27</v>
      </c>
      <c r="CJ52" s="503">
        <f t="shared" si="42"/>
        <v>0</v>
      </c>
      <c r="CK52" s="503">
        <f t="shared" si="43"/>
        <v>0</v>
      </c>
      <c r="CL52" s="504" t="str">
        <f t="shared" si="44"/>
        <v/>
      </c>
      <c r="CM52" s="505" t="str">
        <f>IF(AZ52,IF(ISNUMBER(L52),MAX('Adjustment factors'!$S$16,0.2+0.8*L52),IF(ISTEXT(J52),VLOOKUP(J52,Afactors,2,FALSE),"")),"")</f>
        <v/>
      </c>
      <c r="CN52" s="505" t="str">
        <f>IF(AZ52,IF(ISNUMBER(O52),MAX('Adjustment factors'!$S$16,0.2+0.8*O52),IF(ISTEXT(M52),VLOOKUP(M52,Afactors,2,FALSE),"")),"")</f>
        <v/>
      </c>
      <c r="CO52" s="506" t="str">
        <f t="shared" si="72"/>
        <v/>
      </c>
      <c r="CP52" s="340"/>
      <c r="CQ52" s="340"/>
      <c r="CR52" s="340"/>
      <c r="CS52" s="340"/>
      <c r="CT52" s="333"/>
      <c r="CU52" s="333"/>
      <c r="CV52" s="333"/>
      <c r="CW52" s="333"/>
      <c r="CX52" s="333"/>
      <c r="CY52" s="333"/>
      <c r="CZ52" s="333"/>
      <c r="DA52" s="333"/>
      <c r="DB52" s="333"/>
      <c r="DC52" s="333"/>
      <c r="DD52" s="333"/>
      <c r="DF52" s="167" t="str">
        <f t="shared" si="45"/>
        <v>OK</v>
      </c>
      <c r="DG52" s="167" t="str">
        <f t="shared" si="46"/>
        <v>OK</v>
      </c>
      <c r="DH52" s="167" t="str">
        <f t="shared" si="47"/>
        <v>OK</v>
      </c>
      <c r="DI52" s="167" t="str">
        <f t="shared" si="48"/>
        <v>OK</v>
      </c>
      <c r="DJ52" s="168" t="str">
        <f t="shared" si="49"/>
        <v>OK</v>
      </c>
      <c r="DK52" s="153" t="str">
        <f t="shared" si="50"/>
        <v>OK</v>
      </c>
      <c r="DL52" s="153" t="str">
        <f t="shared" si="73"/>
        <v>OK</v>
      </c>
      <c r="DM52" s="153" t="str">
        <f t="shared" si="51"/>
        <v>OK</v>
      </c>
      <c r="DN52" s="153" t="str">
        <f t="shared" si="52"/>
        <v>OK</v>
      </c>
      <c r="DO52" s="153" t="str">
        <f t="shared" si="53"/>
        <v>OK</v>
      </c>
      <c r="DP52" s="153" t="str">
        <f t="shared" si="74"/>
        <v>OK</v>
      </c>
      <c r="DQ52" s="320" t="str">
        <f t="shared" si="75"/>
        <v>OK</v>
      </c>
      <c r="DR52" s="320" t="str">
        <f t="shared" si="75"/>
        <v>OK</v>
      </c>
      <c r="DS52" s="320" t="str">
        <f t="shared" si="75"/>
        <v>OK</v>
      </c>
      <c r="DT52" s="168" t="str">
        <f t="shared" si="54"/>
        <v>OK</v>
      </c>
      <c r="DU52" s="153" t="str">
        <f t="shared" si="76"/>
        <v>OK</v>
      </c>
      <c r="DV52" s="153" t="str">
        <f t="shared" si="55"/>
        <v>OK</v>
      </c>
      <c r="DW52" s="153" t="str">
        <f t="shared" si="77"/>
        <v>OK</v>
      </c>
      <c r="DX52" s="153" t="str">
        <f t="shared" si="56"/>
        <v>OK</v>
      </c>
      <c r="DY52" s="153" t="str">
        <f t="shared" si="57"/>
        <v>OK</v>
      </c>
      <c r="DZ52" s="153" t="str">
        <f t="shared" si="58"/>
        <v>OK</v>
      </c>
      <c r="EA52" s="201" t="str">
        <f t="shared" si="59"/>
        <v>OK</v>
      </c>
      <c r="EB52" s="168" t="str">
        <f t="shared" si="78"/>
        <v>OK</v>
      </c>
      <c r="EC52" s="157">
        <f t="shared" si="79"/>
        <v>0</v>
      </c>
      <c r="ED52" s="156" t="str">
        <f t="shared" si="80"/>
        <v>OK</v>
      </c>
    </row>
    <row r="53" spans="1:134" ht="17.5" hidden="1" x14ac:dyDescent="0.3">
      <c r="A53" s="232"/>
      <c r="B53" s="420" t="str">
        <f t="shared" si="0"/>
        <v>-</v>
      </c>
      <c r="C53" s="329">
        <v>28</v>
      </c>
      <c r="D53" s="589"/>
      <c r="E53" s="590"/>
      <c r="F53" s="591"/>
      <c r="G53" s="592"/>
      <c r="H53" s="769"/>
      <c r="I53" s="770"/>
      <c r="J53" s="593"/>
      <c r="K53" s="596"/>
      <c r="L53" s="597"/>
      <c r="M53" s="595"/>
      <c r="N53" s="596"/>
      <c r="O53" s="597"/>
      <c r="P53" s="501" t="str">
        <f t="shared" si="1"/>
        <v/>
      </c>
      <c r="Q53" s="501" t="str">
        <f t="shared" si="60"/>
        <v/>
      </c>
      <c r="R53" s="502" t="str">
        <f t="shared" si="2"/>
        <v/>
      </c>
      <c r="S53" s="422"/>
      <c r="T53" s="66" t="str">
        <f>IF(AND(ISNUMBER(L53),J53=FixedDim),MAX('Adjustment factors'!$S$16,0.2+0.8*L53),IF(ISTEXT(J53),VLOOKUP(J53,Afactors,2,TRUE),""))</f>
        <v/>
      </c>
      <c r="U53" s="204" t="str">
        <f>IF(AND(ISNUMBER(O53),M53=FixedDim),MAX('Adjustment factors'!$S$16,0.2+0.8*O53),IF(ISTEXT(M53),VLOOKUP(M53,Afactors,2,FALSE),""))</f>
        <v/>
      </c>
      <c r="V53" s="18" t="b">
        <f t="shared" si="61"/>
        <v>0</v>
      </c>
      <c r="W53" s="18" t="b">
        <f t="shared" si="3"/>
        <v>0</v>
      </c>
      <c r="X53" s="17" t="str">
        <f t="shared" si="4"/>
        <v/>
      </c>
      <c r="Y53" s="18" t="str">
        <f t="shared" si="5"/>
        <v/>
      </c>
      <c r="Z53" s="17" t="str">
        <f t="shared" si="6"/>
        <v/>
      </c>
      <c r="AA53" s="17" t="str">
        <f t="shared" si="7"/>
        <v/>
      </c>
      <c r="AB53" s="163" t="str">
        <f t="shared" si="8"/>
        <v/>
      </c>
      <c r="AC53" s="210">
        <f t="shared" si="9"/>
        <v>0</v>
      </c>
      <c r="AD53" s="211">
        <f t="shared" si="62"/>
        <v>0</v>
      </c>
      <c r="AE53" s="211">
        <f t="shared" si="10"/>
        <v>0</v>
      </c>
      <c r="AF53" s="211">
        <f t="shared" si="11"/>
        <v>0</v>
      </c>
      <c r="AG53" s="212">
        <f t="shared" si="12"/>
        <v>0</v>
      </c>
      <c r="AH53" s="210">
        <f t="shared" si="13"/>
        <v>0</v>
      </c>
      <c r="AI53" s="211">
        <f t="shared" si="63"/>
        <v>0</v>
      </c>
      <c r="AJ53" s="211">
        <f t="shared" si="14"/>
        <v>0</v>
      </c>
      <c r="AK53" s="211">
        <f t="shared" si="64"/>
        <v>0</v>
      </c>
      <c r="AL53" s="212">
        <f t="shared" si="15"/>
        <v>0</v>
      </c>
      <c r="AM53" s="210">
        <f t="shared" si="16"/>
        <v>0</v>
      </c>
      <c r="AN53" s="211">
        <f t="shared" si="65"/>
        <v>0</v>
      </c>
      <c r="AO53" s="211">
        <f t="shared" si="17"/>
        <v>0</v>
      </c>
      <c r="AP53" s="211">
        <f t="shared" si="66"/>
        <v>0</v>
      </c>
      <c r="AQ53" s="212">
        <f t="shared" si="18"/>
        <v>0</v>
      </c>
      <c r="AR53" s="218" t="b">
        <f t="shared" si="19"/>
        <v>1</v>
      </c>
      <c r="AS53" s="20" t="b">
        <f t="shared" si="20"/>
        <v>0</v>
      </c>
      <c r="AT53" s="20" t="b">
        <f t="shared" si="21"/>
        <v>0</v>
      </c>
      <c r="AU53" s="20" t="b">
        <f t="shared" si="22"/>
        <v>1</v>
      </c>
      <c r="AV53" s="20" t="str">
        <f t="shared" si="23"/>
        <v/>
      </c>
      <c r="AW53" s="20" t="b">
        <f t="shared" si="24"/>
        <v>0</v>
      </c>
      <c r="AX53" s="221" t="b">
        <f>IF(OR(COUNTBLANK(D53:I53)=6,AND(COUNTBLANK(D53:G53)=4,H53=0)),OR(AW54:AW$65),NOT(AW53))</f>
        <v>0</v>
      </c>
      <c r="AY53" s="20" t="b">
        <f t="shared" si="25"/>
        <v>1</v>
      </c>
      <c r="AZ53" s="20" t="b">
        <f t="shared" si="67"/>
        <v>0</v>
      </c>
      <c r="BA53" s="21">
        <f t="shared" si="26"/>
        <v>0</v>
      </c>
      <c r="BB53" s="21" t="str">
        <f t="shared" si="27"/>
        <v/>
      </c>
      <c r="BC53" s="235" t="str">
        <f t="shared" si="28"/>
        <v/>
      </c>
      <c r="BD53" s="236" t="str">
        <f t="shared" si="29"/>
        <v/>
      </c>
      <c r="BE53" s="67" t="str">
        <f t="shared" si="81"/>
        <v/>
      </c>
      <c r="BF53" s="195"/>
      <c r="BG53" s="67" t="str">
        <f t="shared" si="82"/>
        <v/>
      </c>
      <c r="BH53" s="202" t="str">
        <f t="shared" si="68"/>
        <v/>
      </c>
      <c r="BI53" s="781"/>
      <c r="BJ53" s="781"/>
      <c r="BK53" s="224" t="b">
        <f t="shared" si="69"/>
        <v>0</v>
      </c>
      <c r="BL53" s="225" t="b">
        <f t="shared" si="70"/>
        <v>0</v>
      </c>
      <c r="BM53" s="226" t="b">
        <f t="shared" si="30"/>
        <v>0</v>
      </c>
      <c r="BN53" s="224" t="b">
        <f t="shared" si="31"/>
        <v>0</v>
      </c>
      <c r="BO53" s="224" t="b">
        <f t="shared" si="32"/>
        <v>0</v>
      </c>
      <c r="BP53" s="225" t="b">
        <f t="shared" si="33"/>
        <v>0</v>
      </c>
      <c r="BQ53" s="226" t="b">
        <f t="shared" si="34"/>
        <v>0</v>
      </c>
      <c r="BR53" s="224" t="b">
        <f t="shared" si="35"/>
        <v>0</v>
      </c>
      <c r="BS53" s="225" t="b">
        <f t="shared" si="71"/>
        <v>0</v>
      </c>
      <c r="BT53" s="227" t="b">
        <f t="shared" si="36"/>
        <v>0</v>
      </c>
      <c r="BU53" s="228" t="b">
        <f t="shared" si="37"/>
        <v>0</v>
      </c>
      <c r="BV53" s="207" t="str">
        <f t="shared" si="38"/>
        <v/>
      </c>
      <c r="BX53" s="167" t="str">
        <f t="shared" si="39"/>
        <v>no data</v>
      </c>
      <c r="BZ53" s="50">
        <v>28</v>
      </c>
      <c r="CA53" s="50" t="str">
        <f t="shared" si="40"/>
        <v>-</v>
      </c>
      <c r="CC53"/>
      <c r="CE53" s="73"/>
      <c r="CF53" s="26"/>
      <c r="CG53" s="333"/>
      <c r="CH53" s="333"/>
      <c r="CI53" s="354">
        <f t="shared" si="41"/>
        <v>28</v>
      </c>
      <c r="CJ53" s="503">
        <f t="shared" si="42"/>
        <v>0</v>
      </c>
      <c r="CK53" s="503">
        <f t="shared" si="43"/>
        <v>0</v>
      </c>
      <c r="CL53" s="504" t="str">
        <f t="shared" si="44"/>
        <v/>
      </c>
      <c r="CM53" s="505" t="str">
        <f>IF(AZ53,IF(ISNUMBER(L53),MAX('Adjustment factors'!$S$16,0.2+0.8*L53),IF(ISTEXT(J53),VLOOKUP(J53,Afactors,2,FALSE),"")),"")</f>
        <v/>
      </c>
      <c r="CN53" s="505" t="str">
        <f>IF(AZ53,IF(ISNUMBER(O53),MAX('Adjustment factors'!$S$16,0.2+0.8*O53),IF(ISTEXT(M53),VLOOKUP(M53,Afactors,2,FALSE),"")),"")</f>
        <v/>
      </c>
      <c r="CO53" s="506" t="str">
        <f t="shared" si="72"/>
        <v/>
      </c>
      <c r="CP53" s="340"/>
      <c r="CQ53" s="340"/>
      <c r="CR53" s="340"/>
      <c r="CS53" s="340"/>
      <c r="CT53" s="333"/>
      <c r="CU53" s="333"/>
      <c r="CV53" s="333"/>
      <c r="CW53" s="333"/>
      <c r="CX53" s="333"/>
      <c r="CY53" s="333"/>
      <c r="CZ53" s="333"/>
      <c r="DA53" s="333"/>
      <c r="DB53" s="333"/>
      <c r="DC53" s="333"/>
      <c r="DD53" s="333"/>
      <c r="DF53" s="167" t="str">
        <f t="shared" si="45"/>
        <v>OK</v>
      </c>
      <c r="DG53" s="167" t="str">
        <f t="shared" si="46"/>
        <v>OK</v>
      </c>
      <c r="DH53" s="167" t="str">
        <f t="shared" si="47"/>
        <v>OK</v>
      </c>
      <c r="DI53" s="167" t="str">
        <f t="shared" si="48"/>
        <v>OK</v>
      </c>
      <c r="DJ53" s="168" t="str">
        <f t="shared" si="49"/>
        <v>OK</v>
      </c>
      <c r="DK53" s="153" t="str">
        <f t="shared" si="50"/>
        <v>OK</v>
      </c>
      <c r="DL53" s="153" t="str">
        <f t="shared" si="73"/>
        <v>OK</v>
      </c>
      <c r="DM53" s="153" t="str">
        <f t="shared" si="51"/>
        <v>OK</v>
      </c>
      <c r="DN53" s="153" t="str">
        <f t="shared" si="52"/>
        <v>OK</v>
      </c>
      <c r="DO53" s="153" t="str">
        <f t="shared" si="53"/>
        <v>OK</v>
      </c>
      <c r="DP53" s="153" t="str">
        <f t="shared" si="74"/>
        <v>OK</v>
      </c>
      <c r="DQ53" s="320" t="str">
        <f t="shared" si="75"/>
        <v>OK</v>
      </c>
      <c r="DR53" s="320" t="str">
        <f t="shared" si="75"/>
        <v>OK</v>
      </c>
      <c r="DS53" s="320" t="str">
        <f t="shared" si="75"/>
        <v>OK</v>
      </c>
      <c r="DT53" s="168" t="str">
        <f t="shared" si="54"/>
        <v>OK</v>
      </c>
      <c r="DU53" s="153" t="str">
        <f t="shared" si="76"/>
        <v>OK</v>
      </c>
      <c r="DV53" s="153" t="str">
        <f t="shared" si="55"/>
        <v>OK</v>
      </c>
      <c r="DW53" s="153" t="str">
        <f t="shared" si="77"/>
        <v>OK</v>
      </c>
      <c r="DX53" s="153" t="str">
        <f t="shared" si="56"/>
        <v>OK</v>
      </c>
      <c r="DY53" s="153" t="str">
        <f t="shared" si="57"/>
        <v>OK</v>
      </c>
      <c r="DZ53" s="153" t="str">
        <f t="shared" si="58"/>
        <v>OK</v>
      </c>
      <c r="EA53" s="201" t="str">
        <f t="shared" si="59"/>
        <v>OK</v>
      </c>
      <c r="EB53" s="168" t="str">
        <f t="shared" si="78"/>
        <v>OK</v>
      </c>
      <c r="EC53" s="157">
        <f t="shared" si="79"/>
        <v>0</v>
      </c>
      <c r="ED53" s="156" t="str">
        <f t="shared" si="80"/>
        <v>OK</v>
      </c>
    </row>
    <row r="54" spans="1:134" ht="17.5" hidden="1" x14ac:dyDescent="0.3">
      <c r="A54" s="232"/>
      <c r="B54" s="420" t="str">
        <f t="shared" si="0"/>
        <v>-</v>
      </c>
      <c r="C54" s="329">
        <v>29</v>
      </c>
      <c r="D54" s="589"/>
      <c r="E54" s="590"/>
      <c r="F54" s="591"/>
      <c r="G54" s="592"/>
      <c r="H54" s="769"/>
      <c r="I54" s="770"/>
      <c r="J54" s="593"/>
      <c r="K54" s="596"/>
      <c r="L54" s="597"/>
      <c r="M54" s="595"/>
      <c r="N54" s="596"/>
      <c r="O54" s="597"/>
      <c r="P54" s="501" t="str">
        <f t="shared" si="1"/>
        <v/>
      </c>
      <c r="Q54" s="501" t="str">
        <f t="shared" si="60"/>
        <v/>
      </c>
      <c r="R54" s="502" t="str">
        <f t="shared" si="2"/>
        <v/>
      </c>
      <c r="S54" s="422"/>
      <c r="T54" s="66" t="str">
        <f>IF(AND(ISNUMBER(L54),J54=FixedDim),MAX('Adjustment factors'!$S$16,0.2+0.8*L54),IF(ISTEXT(J54),VLOOKUP(J54,Afactors,2,TRUE),""))</f>
        <v/>
      </c>
      <c r="U54" s="204" t="str">
        <f>IF(AND(ISNUMBER(O54),M54=FixedDim),MAX('Adjustment factors'!$S$16,0.2+0.8*O54),IF(ISTEXT(M54),VLOOKUP(M54,Afactors,2,FALSE),""))</f>
        <v/>
      </c>
      <c r="V54" s="18" t="b">
        <f t="shared" si="61"/>
        <v>0</v>
      </c>
      <c r="W54" s="18" t="b">
        <f t="shared" si="3"/>
        <v>0</v>
      </c>
      <c r="X54" s="17" t="str">
        <f t="shared" si="4"/>
        <v/>
      </c>
      <c r="Y54" s="18" t="str">
        <f t="shared" si="5"/>
        <v/>
      </c>
      <c r="Z54" s="17" t="str">
        <f t="shared" si="6"/>
        <v/>
      </c>
      <c r="AA54" s="17" t="str">
        <f t="shared" si="7"/>
        <v/>
      </c>
      <c r="AB54" s="163" t="str">
        <f t="shared" si="8"/>
        <v/>
      </c>
      <c r="AC54" s="210">
        <f t="shared" si="9"/>
        <v>0</v>
      </c>
      <c r="AD54" s="211">
        <f t="shared" si="62"/>
        <v>0</v>
      </c>
      <c r="AE54" s="211">
        <f t="shared" si="10"/>
        <v>0</v>
      </c>
      <c r="AF54" s="211">
        <f t="shared" si="11"/>
        <v>0</v>
      </c>
      <c r="AG54" s="212">
        <f t="shared" si="12"/>
        <v>0</v>
      </c>
      <c r="AH54" s="210">
        <f t="shared" si="13"/>
        <v>0</v>
      </c>
      <c r="AI54" s="211">
        <f t="shared" si="63"/>
        <v>0</v>
      </c>
      <c r="AJ54" s="211">
        <f t="shared" si="14"/>
        <v>0</v>
      </c>
      <c r="AK54" s="211">
        <f t="shared" si="64"/>
        <v>0</v>
      </c>
      <c r="AL54" s="212">
        <f t="shared" si="15"/>
        <v>0</v>
      </c>
      <c r="AM54" s="210">
        <f t="shared" si="16"/>
        <v>0</v>
      </c>
      <c r="AN54" s="211">
        <f t="shared" si="65"/>
        <v>0</v>
      </c>
      <c r="AO54" s="211">
        <f t="shared" si="17"/>
        <v>0</v>
      </c>
      <c r="AP54" s="211">
        <f t="shared" si="66"/>
        <v>0</v>
      </c>
      <c r="AQ54" s="212">
        <f t="shared" si="18"/>
        <v>0</v>
      </c>
      <c r="AR54" s="218" t="b">
        <f t="shared" si="19"/>
        <v>1</v>
      </c>
      <c r="AS54" s="20" t="b">
        <f t="shared" si="20"/>
        <v>0</v>
      </c>
      <c r="AT54" s="20" t="b">
        <f t="shared" si="21"/>
        <v>0</v>
      </c>
      <c r="AU54" s="20" t="b">
        <f t="shared" si="22"/>
        <v>1</v>
      </c>
      <c r="AV54" s="20" t="str">
        <f t="shared" si="23"/>
        <v/>
      </c>
      <c r="AW54" s="20" t="b">
        <f t="shared" si="24"/>
        <v>0</v>
      </c>
      <c r="AX54" s="221" t="b">
        <f>IF(OR(COUNTBLANK(D54:I54)=6,AND(COUNTBLANK(D54:G54)=4,H54=0)),OR(AW55:AW$65),NOT(AW54))</f>
        <v>0</v>
      </c>
      <c r="AY54" s="20" t="b">
        <f t="shared" si="25"/>
        <v>1</v>
      </c>
      <c r="AZ54" s="20" t="b">
        <f t="shared" si="67"/>
        <v>0</v>
      </c>
      <c r="BA54" s="21">
        <f t="shared" si="26"/>
        <v>0</v>
      </c>
      <c r="BB54" s="21" t="str">
        <f t="shared" si="27"/>
        <v/>
      </c>
      <c r="BC54" s="235" t="str">
        <f t="shared" si="28"/>
        <v/>
      </c>
      <c r="BD54" s="236" t="str">
        <f t="shared" si="29"/>
        <v/>
      </c>
      <c r="BE54" s="67" t="str">
        <f t="shared" si="81"/>
        <v/>
      </c>
      <c r="BF54" s="195"/>
      <c r="BG54" s="67" t="str">
        <f t="shared" si="82"/>
        <v/>
      </c>
      <c r="BH54" s="202" t="str">
        <f t="shared" si="68"/>
        <v/>
      </c>
      <c r="BI54" s="781"/>
      <c r="BJ54" s="781"/>
      <c r="BK54" s="224" t="b">
        <f t="shared" si="69"/>
        <v>0</v>
      </c>
      <c r="BL54" s="225" t="b">
        <f t="shared" si="70"/>
        <v>0</v>
      </c>
      <c r="BM54" s="226" t="b">
        <f t="shared" si="30"/>
        <v>0</v>
      </c>
      <c r="BN54" s="224" t="b">
        <f t="shared" si="31"/>
        <v>0</v>
      </c>
      <c r="BO54" s="224" t="b">
        <f t="shared" si="32"/>
        <v>0</v>
      </c>
      <c r="BP54" s="225" t="b">
        <f t="shared" si="33"/>
        <v>0</v>
      </c>
      <c r="BQ54" s="226" t="b">
        <f t="shared" si="34"/>
        <v>0</v>
      </c>
      <c r="BR54" s="224" t="b">
        <f t="shared" si="35"/>
        <v>0</v>
      </c>
      <c r="BS54" s="225" t="b">
        <f t="shared" si="71"/>
        <v>0</v>
      </c>
      <c r="BT54" s="227" t="b">
        <f t="shared" si="36"/>
        <v>0</v>
      </c>
      <c r="BU54" s="228" t="b">
        <f t="shared" si="37"/>
        <v>0</v>
      </c>
      <c r="BV54" s="207" t="str">
        <f t="shared" si="38"/>
        <v/>
      </c>
      <c r="BX54" s="167" t="str">
        <f t="shared" si="39"/>
        <v>no data</v>
      </c>
      <c r="BZ54" s="50">
        <v>29</v>
      </c>
      <c r="CA54" s="50" t="str">
        <f t="shared" si="40"/>
        <v>-</v>
      </c>
      <c r="CC54"/>
      <c r="CE54" s="73"/>
      <c r="CF54" s="26"/>
      <c r="CG54" s="333"/>
      <c r="CH54" s="333"/>
      <c r="CI54" s="354">
        <f t="shared" si="41"/>
        <v>29</v>
      </c>
      <c r="CJ54" s="503">
        <f t="shared" si="42"/>
        <v>0</v>
      </c>
      <c r="CK54" s="503">
        <f t="shared" si="43"/>
        <v>0</v>
      </c>
      <c r="CL54" s="504" t="str">
        <f t="shared" si="44"/>
        <v/>
      </c>
      <c r="CM54" s="505" t="str">
        <f>IF(AZ54,IF(ISNUMBER(L54),MAX('Adjustment factors'!$S$16,0.2+0.8*L54),IF(ISTEXT(J54),VLOOKUP(J54,Afactors,2,FALSE),"")),"")</f>
        <v/>
      </c>
      <c r="CN54" s="505" t="str">
        <f>IF(AZ54,IF(ISNUMBER(O54),MAX('Adjustment factors'!$S$16,0.2+0.8*O54),IF(ISTEXT(M54),VLOOKUP(M54,Afactors,2,FALSE),"")),"")</f>
        <v/>
      </c>
      <c r="CO54" s="506" t="str">
        <f t="shared" si="72"/>
        <v/>
      </c>
      <c r="CP54" s="340"/>
      <c r="CQ54" s="340"/>
      <c r="CR54" s="340"/>
      <c r="CS54" s="340"/>
      <c r="CT54" s="333"/>
      <c r="CU54" s="333"/>
      <c r="CV54" s="333"/>
      <c r="CW54" s="333"/>
      <c r="CX54" s="333"/>
      <c r="CY54" s="333"/>
      <c r="CZ54" s="333"/>
      <c r="DA54" s="333"/>
      <c r="DB54" s="333"/>
      <c r="DC54" s="333"/>
      <c r="DD54" s="333"/>
      <c r="DF54" s="167" t="str">
        <f t="shared" si="45"/>
        <v>OK</v>
      </c>
      <c r="DG54" s="167" t="str">
        <f t="shared" si="46"/>
        <v>OK</v>
      </c>
      <c r="DH54" s="167" t="str">
        <f t="shared" si="47"/>
        <v>OK</v>
      </c>
      <c r="DI54" s="167" t="str">
        <f t="shared" si="48"/>
        <v>OK</v>
      </c>
      <c r="DJ54" s="168" t="str">
        <f t="shared" si="49"/>
        <v>OK</v>
      </c>
      <c r="DK54" s="153" t="str">
        <f t="shared" si="50"/>
        <v>OK</v>
      </c>
      <c r="DL54" s="153" t="str">
        <f t="shared" si="73"/>
        <v>OK</v>
      </c>
      <c r="DM54" s="153" t="str">
        <f t="shared" si="51"/>
        <v>OK</v>
      </c>
      <c r="DN54" s="153" t="str">
        <f t="shared" si="52"/>
        <v>OK</v>
      </c>
      <c r="DO54" s="153" t="str">
        <f t="shared" si="53"/>
        <v>OK</v>
      </c>
      <c r="DP54" s="153" t="str">
        <f t="shared" si="74"/>
        <v>OK</v>
      </c>
      <c r="DQ54" s="320" t="str">
        <f t="shared" si="75"/>
        <v>OK</v>
      </c>
      <c r="DR54" s="320" t="str">
        <f t="shared" si="75"/>
        <v>OK</v>
      </c>
      <c r="DS54" s="320" t="str">
        <f t="shared" si="75"/>
        <v>OK</v>
      </c>
      <c r="DT54" s="168" t="str">
        <f t="shared" si="54"/>
        <v>OK</v>
      </c>
      <c r="DU54" s="153" t="str">
        <f t="shared" si="76"/>
        <v>OK</v>
      </c>
      <c r="DV54" s="153" t="str">
        <f t="shared" si="55"/>
        <v>OK</v>
      </c>
      <c r="DW54" s="153" t="str">
        <f t="shared" si="77"/>
        <v>OK</v>
      </c>
      <c r="DX54" s="153" t="str">
        <f t="shared" si="56"/>
        <v>OK</v>
      </c>
      <c r="DY54" s="153" t="str">
        <f t="shared" si="57"/>
        <v>OK</v>
      </c>
      <c r="DZ54" s="153" t="str">
        <f t="shared" si="58"/>
        <v>OK</v>
      </c>
      <c r="EA54" s="201" t="str">
        <f t="shared" si="59"/>
        <v>OK</v>
      </c>
      <c r="EB54" s="168" t="str">
        <f t="shared" si="78"/>
        <v>OK</v>
      </c>
      <c r="EC54" s="157">
        <f t="shared" si="79"/>
        <v>0</v>
      </c>
      <c r="ED54" s="156" t="str">
        <f t="shared" si="80"/>
        <v>OK</v>
      </c>
    </row>
    <row r="55" spans="1:134" ht="17.5" hidden="1" x14ac:dyDescent="0.3">
      <c r="A55" s="232"/>
      <c r="B55" s="420" t="str">
        <f t="shared" si="0"/>
        <v>-</v>
      </c>
      <c r="C55" s="329">
        <v>30</v>
      </c>
      <c r="D55" s="589"/>
      <c r="E55" s="590"/>
      <c r="F55" s="591"/>
      <c r="G55" s="592"/>
      <c r="H55" s="769"/>
      <c r="I55" s="770"/>
      <c r="J55" s="593"/>
      <c r="K55" s="596"/>
      <c r="L55" s="597"/>
      <c r="M55" s="595"/>
      <c r="N55" s="596"/>
      <c r="O55" s="597"/>
      <c r="P55" s="501" t="str">
        <f t="shared" si="1"/>
        <v/>
      </c>
      <c r="Q55" s="501" t="str">
        <f t="shared" si="60"/>
        <v/>
      </c>
      <c r="R55" s="502" t="str">
        <f t="shared" si="2"/>
        <v/>
      </c>
      <c r="S55" s="422"/>
      <c r="T55" s="66" t="str">
        <f>IF(AND(ISNUMBER(L55),J55=FixedDim),MAX('Adjustment factors'!$S$16,0.2+0.8*L55),IF(ISTEXT(J55),VLOOKUP(J55,Afactors,2,TRUE),""))</f>
        <v/>
      </c>
      <c r="U55" s="204" t="str">
        <f>IF(AND(ISNUMBER(O55),M55=FixedDim),MAX('Adjustment factors'!$S$16,0.2+0.8*O55),IF(ISTEXT(M55),VLOOKUP(M55,Afactors,2,FALSE),""))</f>
        <v/>
      </c>
      <c r="V55" s="18" t="b">
        <f t="shared" si="61"/>
        <v>0</v>
      </c>
      <c r="W55" s="18" t="b">
        <f t="shared" si="3"/>
        <v>0</v>
      </c>
      <c r="X55" s="17" t="str">
        <f t="shared" si="4"/>
        <v/>
      </c>
      <c r="Y55" s="18" t="str">
        <f t="shared" si="5"/>
        <v/>
      </c>
      <c r="Z55" s="17" t="str">
        <f t="shared" si="6"/>
        <v/>
      </c>
      <c r="AA55" s="17" t="str">
        <f t="shared" si="7"/>
        <v/>
      </c>
      <c r="AB55" s="163" t="str">
        <f t="shared" si="8"/>
        <v/>
      </c>
      <c r="AC55" s="210">
        <f t="shared" si="9"/>
        <v>0</v>
      </c>
      <c r="AD55" s="211">
        <f t="shared" si="62"/>
        <v>0</v>
      </c>
      <c r="AE55" s="211">
        <f t="shared" si="10"/>
        <v>0</v>
      </c>
      <c r="AF55" s="211">
        <f t="shared" si="11"/>
        <v>0</v>
      </c>
      <c r="AG55" s="212">
        <f t="shared" si="12"/>
        <v>0</v>
      </c>
      <c r="AH55" s="210">
        <f t="shared" si="13"/>
        <v>0</v>
      </c>
      <c r="AI55" s="211">
        <f t="shared" si="63"/>
        <v>0</v>
      </c>
      <c r="AJ55" s="211">
        <f t="shared" si="14"/>
        <v>0</v>
      </c>
      <c r="AK55" s="211">
        <f t="shared" si="64"/>
        <v>0</v>
      </c>
      <c r="AL55" s="212">
        <f t="shared" si="15"/>
        <v>0</v>
      </c>
      <c r="AM55" s="210">
        <f t="shared" si="16"/>
        <v>0</v>
      </c>
      <c r="AN55" s="211">
        <f t="shared" si="65"/>
        <v>0</v>
      </c>
      <c r="AO55" s="211">
        <f t="shared" si="17"/>
        <v>0</v>
      </c>
      <c r="AP55" s="211">
        <f t="shared" si="66"/>
        <v>0</v>
      </c>
      <c r="AQ55" s="212">
        <f t="shared" si="18"/>
        <v>0</v>
      </c>
      <c r="AR55" s="218" t="b">
        <f t="shared" si="19"/>
        <v>1</v>
      </c>
      <c r="AS55" s="20" t="b">
        <f t="shared" si="20"/>
        <v>0</v>
      </c>
      <c r="AT55" s="20" t="b">
        <f t="shared" si="21"/>
        <v>0</v>
      </c>
      <c r="AU55" s="20" t="b">
        <f t="shared" si="22"/>
        <v>1</v>
      </c>
      <c r="AV55" s="20" t="str">
        <f t="shared" si="23"/>
        <v/>
      </c>
      <c r="AW55" s="20" t="b">
        <f t="shared" si="24"/>
        <v>0</v>
      </c>
      <c r="AX55" s="221" t="b">
        <f>IF(OR(COUNTBLANK(D55:I55)=6,AND(COUNTBLANK(D55:G55)=4,H55=0)),OR(AW56:AW$65),NOT(AW55))</f>
        <v>0</v>
      </c>
      <c r="AY55" s="20" t="b">
        <f t="shared" si="25"/>
        <v>1</v>
      </c>
      <c r="AZ55" s="20" t="b">
        <f t="shared" si="67"/>
        <v>0</v>
      </c>
      <c r="BA55" s="21">
        <f t="shared" si="26"/>
        <v>0</v>
      </c>
      <c r="BB55" s="21" t="str">
        <f t="shared" si="27"/>
        <v/>
      </c>
      <c r="BC55" s="235" t="str">
        <f t="shared" si="28"/>
        <v/>
      </c>
      <c r="BD55" s="236" t="str">
        <f t="shared" si="29"/>
        <v/>
      </c>
      <c r="BE55" s="67" t="str">
        <f t="shared" si="81"/>
        <v/>
      </c>
      <c r="BF55" s="195"/>
      <c r="BG55" s="67" t="str">
        <f t="shared" si="82"/>
        <v/>
      </c>
      <c r="BH55" s="202" t="str">
        <f t="shared" si="68"/>
        <v/>
      </c>
      <c r="BI55" s="781"/>
      <c r="BJ55" s="781"/>
      <c r="BK55" s="224" t="b">
        <f t="shared" si="69"/>
        <v>0</v>
      </c>
      <c r="BL55" s="225" t="b">
        <f t="shared" si="70"/>
        <v>0</v>
      </c>
      <c r="BM55" s="226" t="b">
        <f t="shared" si="30"/>
        <v>0</v>
      </c>
      <c r="BN55" s="224" t="b">
        <f t="shared" si="31"/>
        <v>0</v>
      </c>
      <c r="BO55" s="224" t="b">
        <f t="shared" si="32"/>
        <v>0</v>
      </c>
      <c r="BP55" s="225" t="b">
        <f t="shared" si="33"/>
        <v>0</v>
      </c>
      <c r="BQ55" s="226" t="b">
        <f t="shared" si="34"/>
        <v>0</v>
      </c>
      <c r="BR55" s="224" t="b">
        <f t="shared" si="35"/>
        <v>0</v>
      </c>
      <c r="BS55" s="225" t="b">
        <f t="shared" si="71"/>
        <v>0</v>
      </c>
      <c r="BT55" s="227" t="b">
        <f t="shared" si="36"/>
        <v>0</v>
      </c>
      <c r="BU55" s="228" t="b">
        <f t="shared" si="37"/>
        <v>0</v>
      </c>
      <c r="BV55" s="207" t="str">
        <f t="shared" si="38"/>
        <v/>
      </c>
      <c r="BX55" s="167" t="str">
        <f t="shared" si="39"/>
        <v>no data</v>
      </c>
      <c r="BZ55" s="50">
        <v>30</v>
      </c>
      <c r="CA55" s="50" t="str">
        <f t="shared" si="40"/>
        <v>-</v>
      </c>
      <c r="CC55"/>
      <c r="CE55" s="73"/>
      <c r="CF55" s="26"/>
      <c r="CG55" s="333"/>
      <c r="CH55" s="333"/>
      <c r="CI55" s="354">
        <f t="shared" si="41"/>
        <v>30</v>
      </c>
      <c r="CJ55" s="503">
        <f t="shared" si="42"/>
        <v>0</v>
      </c>
      <c r="CK55" s="503">
        <f t="shared" si="43"/>
        <v>0</v>
      </c>
      <c r="CL55" s="504" t="str">
        <f t="shared" si="44"/>
        <v/>
      </c>
      <c r="CM55" s="505" t="str">
        <f>IF(AZ55,IF(ISNUMBER(L55),MAX('Adjustment factors'!$S$16,0.2+0.8*L55),IF(ISTEXT(J55),VLOOKUP(J55,Afactors,2,FALSE),"")),"")</f>
        <v/>
      </c>
      <c r="CN55" s="505" t="str">
        <f>IF(AZ55,IF(ISNUMBER(O55),MAX('Adjustment factors'!$S$16,0.2+0.8*O55),IF(ISTEXT(M55),VLOOKUP(M55,Afactors,2,FALSE),"")),"")</f>
        <v/>
      </c>
      <c r="CO55" s="506" t="str">
        <f t="shared" si="72"/>
        <v/>
      </c>
      <c r="CP55" s="340"/>
      <c r="CQ55" s="340"/>
      <c r="CR55" s="340"/>
      <c r="CS55" s="340"/>
      <c r="CT55" s="333"/>
      <c r="CU55" s="333"/>
      <c r="CV55" s="333"/>
      <c r="CW55" s="333"/>
      <c r="CX55" s="333"/>
      <c r="CY55" s="333"/>
      <c r="CZ55" s="333"/>
      <c r="DA55" s="333"/>
      <c r="DB55" s="333"/>
      <c r="DC55" s="333"/>
      <c r="DD55" s="333"/>
      <c r="DF55" s="167" t="str">
        <f t="shared" si="45"/>
        <v>OK</v>
      </c>
      <c r="DG55" s="167" t="str">
        <f t="shared" si="46"/>
        <v>OK</v>
      </c>
      <c r="DH55" s="167" t="str">
        <f t="shared" si="47"/>
        <v>OK</v>
      </c>
      <c r="DI55" s="167" t="str">
        <f t="shared" si="48"/>
        <v>OK</v>
      </c>
      <c r="DJ55" s="168" t="str">
        <f t="shared" si="49"/>
        <v>OK</v>
      </c>
      <c r="DK55" s="153" t="str">
        <f t="shared" si="50"/>
        <v>OK</v>
      </c>
      <c r="DL55" s="153" t="str">
        <f t="shared" si="73"/>
        <v>OK</v>
      </c>
      <c r="DM55" s="153" t="str">
        <f t="shared" si="51"/>
        <v>OK</v>
      </c>
      <c r="DN55" s="153" t="str">
        <f t="shared" si="52"/>
        <v>OK</v>
      </c>
      <c r="DO55" s="153" t="str">
        <f t="shared" si="53"/>
        <v>OK</v>
      </c>
      <c r="DP55" s="153" t="str">
        <f t="shared" si="74"/>
        <v>OK</v>
      </c>
      <c r="DQ55" s="320" t="str">
        <f t="shared" si="75"/>
        <v>OK</v>
      </c>
      <c r="DR55" s="320" t="str">
        <f t="shared" si="75"/>
        <v>OK</v>
      </c>
      <c r="DS55" s="320" t="str">
        <f t="shared" si="75"/>
        <v>OK</v>
      </c>
      <c r="DT55" s="168" t="str">
        <f t="shared" si="54"/>
        <v>OK</v>
      </c>
      <c r="DU55" s="153" t="str">
        <f t="shared" si="76"/>
        <v>OK</v>
      </c>
      <c r="DV55" s="153" t="str">
        <f t="shared" si="55"/>
        <v>OK</v>
      </c>
      <c r="DW55" s="153" t="str">
        <f t="shared" si="77"/>
        <v>OK</v>
      </c>
      <c r="DX55" s="153" t="str">
        <f t="shared" si="56"/>
        <v>OK</v>
      </c>
      <c r="DY55" s="153" t="str">
        <f t="shared" si="57"/>
        <v>OK</v>
      </c>
      <c r="DZ55" s="153" t="str">
        <f t="shared" si="58"/>
        <v>OK</v>
      </c>
      <c r="EA55" s="201" t="str">
        <f t="shared" si="59"/>
        <v>OK</v>
      </c>
      <c r="EB55" s="168" t="str">
        <f t="shared" si="78"/>
        <v>OK</v>
      </c>
      <c r="EC55" s="157">
        <f t="shared" si="79"/>
        <v>0</v>
      </c>
      <c r="ED55" s="156" t="str">
        <f t="shared" si="80"/>
        <v>OK</v>
      </c>
    </row>
    <row r="56" spans="1:134" ht="17.5" hidden="1" x14ac:dyDescent="0.3">
      <c r="A56" s="232"/>
      <c r="B56" s="420" t="str">
        <f t="shared" si="0"/>
        <v>-</v>
      </c>
      <c r="C56" s="329">
        <v>31</v>
      </c>
      <c r="D56" s="589"/>
      <c r="E56" s="590"/>
      <c r="F56" s="591"/>
      <c r="G56" s="592"/>
      <c r="H56" s="769"/>
      <c r="I56" s="770"/>
      <c r="J56" s="593"/>
      <c r="K56" s="596"/>
      <c r="L56" s="597"/>
      <c r="M56" s="595"/>
      <c r="N56" s="596"/>
      <c r="O56" s="597"/>
      <c r="P56" s="501" t="str">
        <f t="shared" si="1"/>
        <v/>
      </c>
      <c r="Q56" s="501" t="str">
        <f t="shared" si="60"/>
        <v/>
      </c>
      <c r="R56" s="502" t="str">
        <f t="shared" si="2"/>
        <v/>
      </c>
      <c r="S56" s="422"/>
      <c r="T56" s="66" t="str">
        <f>IF(AND(ISNUMBER(L56),J56=FixedDim),MAX('Adjustment factors'!$S$16,0.2+0.8*L56),IF(ISTEXT(J56),VLOOKUP(J56,Afactors,2,TRUE),""))</f>
        <v/>
      </c>
      <c r="U56" s="204" t="str">
        <f>IF(AND(ISNUMBER(O56),M56=FixedDim),MAX('Adjustment factors'!$S$16,0.2+0.8*O56),IF(ISTEXT(M56),VLOOKUP(M56,Afactors,2,FALSE),""))</f>
        <v/>
      </c>
      <c r="V56" s="18" t="b">
        <f t="shared" si="61"/>
        <v>0</v>
      </c>
      <c r="W56" s="18" t="b">
        <f t="shared" si="3"/>
        <v>0</v>
      </c>
      <c r="X56" s="17" t="str">
        <f t="shared" si="4"/>
        <v/>
      </c>
      <c r="Y56" s="18" t="str">
        <f t="shared" si="5"/>
        <v/>
      </c>
      <c r="Z56" s="17" t="str">
        <f t="shared" si="6"/>
        <v/>
      </c>
      <c r="AA56" s="17" t="str">
        <f t="shared" si="7"/>
        <v/>
      </c>
      <c r="AB56" s="163" t="str">
        <f t="shared" si="8"/>
        <v/>
      </c>
      <c r="AC56" s="210">
        <f t="shared" si="9"/>
        <v>0</v>
      </c>
      <c r="AD56" s="211">
        <f t="shared" si="62"/>
        <v>0</v>
      </c>
      <c r="AE56" s="211">
        <f t="shared" si="10"/>
        <v>0</v>
      </c>
      <c r="AF56" s="211">
        <f t="shared" si="11"/>
        <v>0</v>
      </c>
      <c r="AG56" s="212">
        <f t="shared" si="12"/>
        <v>0</v>
      </c>
      <c r="AH56" s="210">
        <f t="shared" si="13"/>
        <v>0</v>
      </c>
      <c r="AI56" s="211">
        <f t="shared" si="63"/>
        <v>0</v>
      </c>
      <c r="AJ56" s="211">
        <f t="shared" si="14"/>
        <v>0</v>
      </c>
      <c r="AK56" s="211">
        <f t="shared" si="64"/>
        <v>0</v>
      </c>
      <c r="AL56" s="212">
        <f t="shared" si="15"/>
        <v>0</v>
      </c>
      <c r="AM56" s="210">
        <f t="shared" si="16"/>
        <v>0</v>
      </c>
      <c r="AN56" s="211">
        <f t="shared" si="65"/>
        <v>0</v>
      </c>
      <c r="AO56" s="211">
        <f t="shared" si="17"/>
        <v>0</v>
      </c>
      <c r="AP56" s="211">
        <f t="shared" si="66"/>
        <v>0</v>
      </c>
      <c r="AQ56" s="212">
        <f t="shared" si="18"/>
        <v>0</v>
      </c>
      <c r="AR56" s="218" t="b">
        <f t="shared" si="19"/>
        <v>1</v>
      </c>
      <c r="AS56" s="20" t="b">
        <f t="shared" si="20"/>
        <v>0</v>
      </c>
      <c r="AT56" s="20" t="b">
        <f t="shared" si="21"/>
        <v>0</v>
      </c>
      <c r="AU56" s="20" t="b">
        <f t="shared" si="22"/>
        <v>1</v>
      </c>
      <c r="AV56" s="20" t="str">
        <f t="shared" si="23"/>
        <v/>
      </c>
      <c r="AW56" s="20" t="b">
        <f t="shared" si="24"/>
        <v>0</v>
      </c>
      <c r="AX56" s="221" t="b">
        <f>IF(OR(COUNTBLANK(D56:I56)=6,AND(COUNTBLANK(D56:G56)=4,H56=0)),OR(AW57:AW$65),NOT(AW56))</f>
        <v>0</v>
      </c>
      <c r="AY56" s="20" t="b">
        <f t="shared" si="25"/>
        <v>1</v>
      </c>
      <c r="AZ56" s="20" t="b">
        <f t="shared" si="67"/>
        <v>0</v>
      </c>
      <c r="BA56" s="21">
        <f t="shared" si="26"/>
        <v>0</v>
      </c>
      <c r="BB56" s="21" t="str">
        <f t="shared" si="27"/>
        <v/>
      </c>
      <c r="BC56" s="235" t="str">
        <f t="shared" si="28"/>
        <v/>
      </c>
      <c r="BD56" s="236" t="str">
        <f t="shared" si="29"/>
        <v/>
      </c>
      <c r="BE56" s="67" t="str">
        <f t="shared" si="81"/>
        <v/>
      </c>
      <c r="BF56" s="195"/>
      <c r="BG56" s="67" t="str">
        <f t="shared" si="82"/>
        <v/>
      </c>
      <c r="BH56" s="202" t="str">
        <f t="shared" si="68"/>
        <v/>
      </c>
      <c r="BI56" s="781"/>
      <c r="BJ56" s="781"/>
      <c r="BK56" s="224" t="b">
        <f t="shared" si="69"/>
        <v>0</v>
      </c>
      <c r="BL56" s="225" t="b">
        <f t="shared" si="70"/>
        <v>0</v>
      </c>
      <c r="BM56" s="226" t="b">
        <f t="shared" si="30"/>
        <v>0</v>
      </c>
      <c r="BN56" s="224" t="b">
        <f t="shared" si="31"/>
        <v>0</v>
      </c>
      <c r="BO56" s="224" t="b">
        <f t="shared" si="32"/>
        <v>0</v>
      </c>
      <c r="BP56" s="225" t="b">
        <f t="shared" si="33"/>
        <v>0</v>
      </c>
      <c r="BQ56" s="226" t="b">
        <f t="shared" si="34"/>
        <v>0</v>
      </c>
      <c r="BR56" s="224" t="b">
        <f t="shared" si="35"/>
        <v>0</v>
      </c>
      <c r="BS56" s="225" t="b">
        <f t="shared" si="71"/>
        <v>0</v>
      </c>
      <c r="BT56" s="227" t="b">
        <f t="shared" si="36"/>
        <v>0</v>
      </c>
      <c r="BU56" s="228" t="b">
        <f t="shared" si="37"/>
        <v>0</v>
      </c>
      <c r="BV56" s="207" t="str">
        <f t="shared" si="38"/>
        <v/>
      </c>
      <c r="BX56" s="167" t="str">
        <f t="shared" si="39"/>
        <v>no data</v>
      </c>
      <c r="BZ56" s="50">
        <v>31</v>
      </c>
      <c r="CA56" s="50" t="str">
        <f t="shared" si="40"/>
        <v>-</v>
      </c>
      <c r="CC56"/>
      <c r="CE56" s="73"/>
      <c r="CF56" s="26"/>
      <c r="CG56" s="333"/>
      <c r="CH56" s="333"/>
      <c r="CI56" s="354">
        <f t="shared" si="41"/>
        <v>31</v>
      </c>
      <c r="CJ56" s="503">
        <f t="shared" si="42"/>
        <v>0</v>
      </c>
      <c r="CK56" s="503">
        <f t="shared" si="43"/>
        <v>0</v>
      </c>
      <c r="CL56" s="504" t="str">
        <f t="shared" si="44"/>
        <v/>
      </c>
      <c r="CM56" s="505" t="str">
        <f>IF(AZ56,IF(ISNUMBER(L56),MAX('Adjustment factors'!$S$16,0.2+0.8*L56),IF(ISTEXT(J56),VLOOKUP(J56,Afactors,2,FALSE),"")),"")</f>
        <v/>
      </c>
      <c r="CN56" s="505" t="str">
        <f>IF(AZ56,IF(ISNUMBER(O56),MAX('Adjustment factors'!$S$16,0.2+0.8*O56),IF(ISTEXT(M56),VLOOKUP(M56,Afactors,2,FALSE),"")),"")</f>
        <v/>
      </c>
      <c r="CO56" s="506" t="str">
        <f t="shared" si="72"/>
        <v/>
      </c>
      <c r="CP56" s="340"/>
      <c r="CQ56" s="340"/>
      <c r="CR56" s="340"/>
      <c r="CS56" s="340"/>
      <c r="CT56" s="333"/>
      <c r="CU56" s="333"/>
      <c r="CV56" s="333"/>
      <c r="CW56" s="333"/>
      <c r="CX56" s="333"/>
      <c r="CY56" s="333"/>
      <c r="CZ56" s="333"/>
      <c r="DA56" s="333"/>
      <c r="DB56" s="333"/>
      <c r="DC56" s="333"/>
      <c r="DD56" s="333"/>
      <c r="DF56" s="167" t="str">
        <f t="shared" si="45"/>
        <v>OK</v>
      </c>
      <c r="DG56" s="167" t="str">
        <f t="shared" si="46"/>
        <v>OK</v>
      </c>
      <c r="DH56" s="167" t="str">
        <f t="shared" si="47"/>
        <v>OK</v>
      </c>
      <c r="DI56" s="167" t="str">
        <f t="shared" si="48"/>
        <v>OK</v>
      </c>
      <c r="DJ56" s="168" t="str">
        <f t="shared" si="49"/>
        <v>OK</v>
      </c>
      <c r="DK56" s="153" t="str">
        <f t="shared" si="50"/>
        <v>OK</v>
      </c>
      <c r="DL56" s="153" t="str">
        <f t="shared" si="73"/>
        <v>OK</v>
      </c>
      <c r="DM56" s="153" t="str">
        <f t="shared" si="51"/>
        <v>OK</v>
      </c>
      <c r="DN56" s="153" t="str">
        <f t="shared" si="52"/>
        <v>OK</v>
      </c>
      <c r="DO56" s="153" t="str">
        <f t="shared" si="53"/>
        <v>OK</v>
      </c>
      <c r="DP56" s="153" t="str">
        <f t="shared" si="74"/>
        <v>OK</v>
      </c>
      <c r="DQ56" s="320" t="str">
        <f t="shared" si="75"/>
        <v>OK</v>
      </c>
      <c r="DR56" s="320" t="str">
        <f t="shared" si="75"/>
        <v>OK</v>
      </c>
      <c r="DS56" s="320" t="str">
        <f t="shared" si="75"/>
        <v>OK</v>
      </c>
      <c r="DT56" s="168" t="str">
        <f t="shared" si="54"/>
        <v>OK</v>
      </c>
      <c r="DU56" s="153" t="str">
        <f t="shared" si="76"/>
        <v>OK</v>
      </c>
      <c r="DV56" s="153" t="str">
        <f t="shared" si="55"/>
        <v>OK</v>
      </c>
      <c r="DW56" s="153" t="str">
        <f t="shared" si="77"/>
        <v>OK</v>
      </c>
      <c r="DX56" s="153" t="str">
        <f t="shared" si="56"/>
        <v>OK</v>
      </c>
      <c r="DY56" s="153" t="str">
        <f t="shared" si="57"/>
        <v>OK</v>
      </c>
      <c r="DZ56" s="153" t="str">
        <f t="shared" si="58"/>
        <v>OK</v>
      </c>
      <c r="EA56" s="201" t="str">
        <f t="shared" si="59"/>
        <v>OK</v>
      </c>
      <c r="EB56" s="168" t="str">
        <f t="shared" si="78"/>
        <v>OK</v>
      </c>
      <c r="EC56" s="157">
        <f t="shared" si="79"/>
        <v>0</v>
      </c>
      <c r="ED56" s="156" t="str">
        <f t="shared" si="80"/>
        <v>OK</v>
      </c>
    </row>
    <row r="57" spans="1:134" ht="17.5" hidden="1" x14ac:dyDescent="0.3">
      <c r="A57" s="232"/>
      <c r="B57" s="420" t="str">
        <f t="shared" si="0"/>
        <v>-</v>
      </c>
      <c r="C57" s="329">
        <v>32</v>
      </c>
      <c r="D57" s="589"/>
      <c r="E57" s="590"/>
      <c r="F57" s="591"/>
      <c r="G57" s="592"/>
      <c r="H57" s="769"/>
      <c r="I57" s="770"/>
      <c r="J57" s="593"/>
      <c r="K57" s="596"/>
      <c r="L57" s="597"/>
      <c r="M57" s="595"/>
      <c r="N57" s="596"/>
      <c r="O57" s="597"/>
      <c r="P57" s="501" t="str">
        <f t="shared" si="1"/>
        <v/>
      </c>
      <c r="Q57" s="501" t="str">
        <f t="shared" si="60"/>
        <v/>
      </c>
      <c r="R57" s="502" t="str">
        <f t="shared" si="2"/>
        <v/>
      </c>
      <c r="S57" s="422"/>
      <c r="T57" s="66" t="str">
        <f>IF(AND(ISNUMBER(L57),J57=FixedDim),MAX('Adjustment factors'!$S$16,0.2+0.8*L57),IF(ISTEXT(J57),VLOOKUP(J57,Afactors,2,TRUE),""))</f>
        <v/>
      </c>
      <c r="U57" s="204" t="str">
        <f>IF(AND(ISNUMBER(O57),M57=FixedDim),MAX('Adjustment factors'!$S$16,0.2+0.8*O57),IF(ISTEXT(M57),VLOOKUP(M57,Afactors,2,FALSE),""))</f>
        <v/>
      </c>
      <c r="V57" s="18" t="b">
        <f t="shared" si="61"/>
        <v>0</v>
      </c>
      <c r="W57" s="18" t="b">
        <f t="shared" si="3"/>
        <v>0</v>
      </c>
      <c r="X57" s="17" t="str">
        <f t="shared" si="4"/>
        <v/>
      </c>
      <c r="Y57" s="18" t="str">
        <f t="shared" si="5"/>
        <v/>
      </c>
      <c r="Z57" s="17" t="str">
        <f t="shared" si="6"/>
        <v/>
      </c>
      <c r="AA57" s="17" t="str">
        <f t="shared" si="7"/>
        <v/>
      </c>
      <c r="AB57" s="163" t="str">
        <f t="shared" si="8"/>
        <v/>
      </c>
      <c r="AC57" s="210">
        <f t="shared" si="9"/>
        <v>0</v>
      </c>
      <c r="AD57" s="211">
        <f t="shared" si="62"/>
        <v>0</v>
      </c>
      <c r="AE57" s="211">
        <f t="shared" si="10"/>
        <v>0</v>
      </c>
      <c r="AF57" s="211">
        <f t="shared" si="11"/>
        <v>0</v>
      </c>
      <c r="AG57" s="212">
        <f t="shared" si="12"/>
        <v>0</v>
      </c>
      <c r="AH57" s="210">
        <f t="shared" si="13"/>
        <v>0</v>
      </c>
      <c r="AI57" s="211">
        <f t="shared" si="63"/>
        <v>0</v>
      </c>
      <c r="AJ57" s="211">
        <f t="shared" si="14"/>
        <v>0</v>
      </c>
      <c r="AK57" s="211">
        <f t="shared" si="64"/>
        <v>0</v>
      </c>
      <c r="AL57" s="212">
        <f t="shared" si="15"/>
        <v>0</v>
      </c>
      <c r="AM57" s="210">
        <f t="shared" si="16"/>
        <v>0</v>
      </c>
      <c r="AN57" s="211">
        <f t="shared" si="65"/>
        <v>0</v>
      </c>
      <c r="AO57" s="211">
        <f t="shared" si="17"/>
        <v>0</v>
      </c>
      <c r="AP57" s="211">
        <f t="shared" si="66"/>
        <v>0</v>
      </c>
      <c r="AQ57" s="212">
        <f t="shared" si="18"/>
        <v>0</v>
      </c>
      <c r="AR57" s="218" t="b">
        <f t="shared" si="19"/>
        <v>1</v>
      </c>
      <c r="AS57" s="20" t="b">
        <f t="shared" si="20"/>
        <v>0</v>
      </c>
      <c r="AT57" s="20" t="b">
        <f t="shared" si="21"/>
        <v>0</v>
      </c>
      <c r="AU57" s="20" t="b">
        <f t="shared" si="22"/>
        <v>1</v>
      </c>
      <c r="AV57" s="20" t="str">
        <f t="shared" si="23"/>
        <v/>
      </c>
      <c r="AW57" s="20" t="b">
        <f t="shared" si="24"/>
        <v>0</v>
      </c>
      <c r="AX57" s="221" t="b">
        <f>IF(OR(COUNTBLANK(D57:I57)=6,AND(COUNTBLANK(D57:G57)=4,H57=0)),OR(AW58:AW$65),NOT(AW57))</f>
        <v>0</v>
      </c>
      <c r="AY57" s="20" t="b">
        <f t="shared" si="25"/>
        <v>1</v>
      </c>
      <c r="AZ57" s="20" t="b">
        <f t="shared" si="67"/>
        <v>0</v>
      </c>
      <c r="BA57" s="21">
        <f t="shared" si="26"/>
        <v>0</v>
      </c>
      <c r="BB57" s="21" t="str">
        <f t="shared" si="27"/>
        <v/>
      </c>
      <c r="BC57" s="235" t="str">
        <f t="shared" si="28"/>
        <v/>
      </c>
      <c r="BD57" s="236" t="str">
        <f t="shared" si="29"/>
        <v/>
      </c>
      <c r="BE57" s="67" t="str">
        <f t="shared" si="81"/>
        <v/>
      </c>
      <c r="BF57" s="195"/>
      <c r="BG57" s="67" t="str">
        <f t="shared" si="82"/>
        <v/>
      </c>
      <c r="BH57" s="202" t="str">
        <f t="shared" si="68"/>
        <v/>
      </c>
      <c r="BI57" s="781"/>
      <c r="BJ57" s="781"/>
      <c r="BK57" s="224" t="b">
        <f t="shared" si="69"/>
        <v>0</v>
      </c>
      <c r="BL57" s="225" t="b">
        <f t="shared" si="70"/>
        <v>0</v>
      </c>
      <c r="BM57" s="226" t="b">
        <f t="shared" si="30"/>
        <v>0</v>
      </c>
      <c r="BN57" s="224" t="b">
        <f t="shared" si="31"/>
        <v>0</v>
      </c>
      <c r="BO57" s="224" t="b">
        <f t="shared" si="32"/>
        <v>0</v>
      </c>
      <c r="BP57" s="225" t="b">
        <f t="shared" si="33"/>
        <v>0</v>
      </c>
      <c r="BQ57" s="226" t="b">
        <f t="shared" si="34"/>
        <v>0</v>
      </c>
      <c r="BR57" s="224" t="b">
        <f t="shared" si="35"/>
        <v>0</v>
      </c>
      <c r="BS57" s="225" t="b">
        <f t="shared" si="71"/>
        <v>0</v>
      </c>
      <c r="BT57" s="227" t="b">
        <f t="shared" si="36"/>
        <v>0</v>
      </c>
      <c r="BU57" s="228" t="b">
        <f t="shared" si="37"/>
        <v>0</v>
      </c>
      <c r="BV57" s="207" t="str">
        <f t="shared" si="38"/>
        <v/>
      </c>
      <c r="BX57" s="167" t="str">
        <f t="shared" si="39"/>
        <v>no data</v>
      </c>
      <c r="BZ57" s="50">
        <v>32</v>
      </c>
      <c r="CA57" s="50" t="str">
        <f t="shared" si="40"/>
        <v>-</v>
      </c>
      <c r="CC57"/>
      <c r="CE57" s="73"/>
      <c r="CF57" s="26"/>
      <c r="CG57" s="333"/>
      <c r="CH57" s="333"/>
      <c r="CI57" s="354">
        <f t="shared" si="41"/>
        <v>32</v>
      </c>
      <c r="CJ57" s="503">
        <f t="shared" si="42"/>
        <v>0</v>
      </c>
      <c r="CK57" s="503">
        <f t="shared" si="43"/>
        <v>0</v>
      </c>
      <c r="CL57" s="504" t="str">
        <f t="shared" si="44"/>
        <v/>
      </c>
      <c r="CM57" s="505" t="str">
        <f>IF(AZ57,IF(ISNUMBER(L57),MAX('Adjustment factors'!$S$16,0.2+0.8*L57),IF(ISTEXT(J57),VLOOKUP(J57,Afactors,2,FALSE),"")),"")</f>
        <v/>
      </c>
      <c r="CN57" s="505" t="str">
        <f>IF(AZ57,IF(ISNUMBER(O57),MAX('Adjustment factors'!$S$16,0.2+0.8*O57),IF(ISTEXT(M57),VLOOKUP(M57,Afactors,2,FALSE),"")),"")</f>
        <v/>
      </c>
      <c r="CO57" s="506" t="str">
        <f t="shared" si="72"/>
        <v/>
      </c>
      <c r="CP57" s="340"/>
      <c r="CQ57" s="340"/>
      <c r="CR57" s="340"/>
      <c r="CS57" s="340"/>
      <c r="CT57" s="333"/>
      <c r="CU57" s="333"/>
      <c r="CV57" s="333"/>
      <c r="CW57" s="333"/>
      <c r="CX57" s="333"/>
      <c r="CY57" s="333"/>
      <c r="CZ57" s="333"/>
      <c r="DA57" s="333"/>
      <c r="DB57" s="333"/>
      <c r="DC57" s="333"/>
      <c r="DD57" s="333"/>
      <c r="DF57" s="167" t="str">
        <f t="shared" si="45"/>
        <v>OK</v>
      </c>
      <c r="DG57" s="167" t="str">
        <f t="shared" si="46"/>
        <v>OK</v>
      </c>
      <c r="DH57" s="167" t="str">
        <f t="shared" si="47"/>
        <v>OK</v>
      </c>
      <c r="DI57" s="167" t="str">
        <f t="shared" si="48"/>
        <v>OK</v>
      </c>
      <c r="DJ57" s="168" t="str">
        <f t="shared" si="49"/>
        <v>OK</v>
      </c>
      <c r="DK57" s="153" t="str">
        <f t="shared" si="50"/>
        <v>OK</v>
      </c>
      <c r="DL57" s="153" t="str">
        <f t="shared" si="73"/>
        <v>OK</v>
      </c>
      <c r="DM57" s="153" t="str">
        <f t="shared" si="51"/>
        <v>OK</v>
      </c>
      <c r="DN57" s="153" t="str">
        <f t="shared" si="52"/>
        <v>OK</v>
      </c>
      <c r="DO57" s="153" t="str">
        <f t="shared" si="53"/>
        <v>OK</v>
      </c>
      <c r="DP57" s="153" t="str">
        <f t="shared" si="74"/>
        <v>OK</v>
      </c>
      <c r="DQ57" s="320" t="str">
        <f t="shared" si="75"/>
        <v>OK</v>
      </c>
      <c r="DR57" s="320" t="str">
        <f t="shared" si="75"/>
        <v>OK</v>
      </c>
      <c r="DS57" s="320" t="str">
        <f t="shared" si="75"/>
        <v>OK</v>
      </c>
      <c r="DT57" s="168" t="str">
        <f t="shared" si="54"/>
        <v>OK</v>
      </c>
      <c r="DU57" s="153" t="str">
        <f t="shared" si="76"/>
        <v>OK</v>
      </c>
      <c r="DV57" s="153" t="str">
        <f t="shared" si="55"/>
        <v>OK</v>
      </c>
      <c r="DW57" s="153" t="str">
        <f t="shared" si="77"/>
        <v>OK</v>
      </c>
      <c r="DX57" s="153" t="str">
        <f t="shared" si="56"/>
        <v>OK</v>
      </c>
      <c r="DY57" s="153" t="str">
        <f t="shared" si="57"/>
        <v>OK</v>
      </c>
      <c r="DZ57" s="153" t="str">
        <f t="shared" si="58"/>
        <v>OK</v>
      </c>
      <c r="EA57" s="201" t="str">
        <f t="shared" si="59"/>
        <v>OK</v>
      </c>
      <c r="EB57" s="168" t="str">
        <f t="shared" si="78"/>
        <v>OK</v>
      </c>
      <c r="EC57" s="157">
        <f t="shared" si="79"/>
        <v>0</v>
      </c>
      <c r="ED57" s="156" t="str">
        <f t="shared" si="80"/>
        <v>OK</v>
      </c>
    </row>
    <row r="58" spans="1:134" ht="17.5" hidden="1" x14ac:dyDescent="0.3">
      <c r="A58" s="232"/>
      <c r="B58" s="420" t="str">
        <f t="shared" si="0"/>
        <v>-</v>
      </c>
      <c r="C58" s="329">
        <v>33</v>
      </c>
      <c r="D58" s="589"/>
      <c r="E58" s="590"/>
      <c r="F58" s="591"/>
      <c r="G58" s="592"/>
      <c r="H58" s="769"/>
      <c r="I58" s="770"/>
      <c r="J58" s="593"/>
      <c r="K58" s="596"/>
      <c r="L58" s="597"/>
      <c r="M58" s="595"/>
      <c r="N58" s="596"/>
      <c r="O58" s="597"/>
      <c r="P58" s="501" t="str">
        <f t="shared" si="1"/>
        <v/>
      </c>
      <c r="Q58" s="501" t="str">
        <f t="shared" si="60"/>
        <v/>
      </c>
      <c r="R58" s="502" t="str">
        <f t="shared" si="2"/>
        <v/>
      </c>
      <c r="S58" s="422"/>
      <c r="T58" s="66" t="str">
        <f>IF(AND(ISNUMBER(L58),J58=FixedDim),MAX('Adjustment factors'!$S$16,0.2+0.8*L58),IF(ISTEXT(J58),VLOOKUP(J58,Afactors,2,TRUE),""))</f>
        <v/>
      </c>
      <c r="U58" s="204" t="str">
        <f>IF(AND(ISNUMBER(O58),M58=FixedDim),MAX('Adjustment factors'!$S$16,0.2+0.8*O58),IF(ISTEXT(M58),VLOOKUP(M58,Afactors,2,FALSE),""))</f>
        <v/>
      </c>
      <c r="V58" s="18" t="b">
        <f t="shared" si="61"/>
        <v>0</v>
      </c>
      <c r="W58" s="18" t="b">
        <f t="shared" si="3"/>
        <v>0</v>
      </c>
      <c r="X58" s="17" t="str">
        <f t="shared" si="4"/>
        <v/>
      </c>
      <c r="Y58" s="18" t="str">
        <f t="shared" si="5"/>
        <v/>
      </c>
      <c r="Z58" s="17" t="str">
        <f t="shared" si="6"/>
        <v/>
      </c>
      <c r="AA58" s="17" t="str">
        <f t="shared" si="7"/>
        <v/>
      </c>
      <c r="AB58" s="163" t="str">
        <f t="shared" si="8"/>
        <v/>
      </c>
      <c r="AC58" s="210">
        <f t="shared" si="9"/>
        <v>0</v>
      </c>
      <c r="AD58" s="211">
        <f t="shared" si="62"/>
        <v>0</v>
      </c>
      <c r="AE58" s="211">
        <f t="shared" si="10"/>
        <v>0</v>
      </c>
      <c r="AF58" s="211">
        <f t="shared" si="11"/>
        <v>0</v>
      </c>
      <c r="AG58" s="212">
        <f t="shared" si="12"/>
        <v>0</v>
      </c>
      <c r="AH58" s="210">
        <f t="shared" si="13"/>
        <v>0</v>
      </c>
      <c r="AI58" s="211">
        <f t="shared" si="63"/>
        <v>0</v>
      </c>
      <c r="AJ58" s="211">
        <f t="shared" si="14"/>
        <v>0</v>
      </c>
      <c r="AK58" s="211">
        <f t="shared" si="64"/>
        <v>0</v>
      </c>
      <c r="AL58" s="212">
        <f t="shared" si="15"/>
        <v>0</v>
      </c>
      <c r="AM58" s="210">
        <f t="shared" si="16"/>
        <v>0</v>
      </c>
      <c r="AN58" s="211">
        <f t="shared" si="65"/>
        <v>0</v>
      </c>
      <c r="AO58" s="211">
        <f t="shared" si="17"/>
        <v>0</v>
      </c>
      <c r="AP58" s="211">
        <f t="shared" si="66"/>
        <v>0</v>
      </c>
      <c r="AQ58" s="212">
        <f t="shared" si="18"/>
        <v>0</v>
      </c>
      <c r="AR58" s="218" t="b">
        <f t="shared" si="19"/>
        <v>1</v>
      </c>
      <c r="AS58" s="20" t="b">
        <f t="shared" si="20"/>
        <v>0</v>
      </c>
      <c r="AT58" s="20" t="b">
        <f t="shared" si="21"/>
        <v>0</v>
      </c>
      <c r="AU58" s="20" t="b">
        <f t="shared" si="22"/>
        <v>1</v>
      </c>
      <c r="AV58" s="20" t="str">
        <f t="shared" si="23"/>
        <v/>
      </c>
      <c r="AW58" s="20" t="b">
        <f t="shared" si="24"/>
        <v>0</v>
      </c>
      <c r="AX58" s="221" t="b">
        <f>IF(OR(COUNTBLANK(D58:I58)=6,AND(COUNTBLANK(D58:G58)=4,H58=0)),OR(AW59:AW$65),NOT(AW58))</f>
        <v>0</v>
      </c>
      <c r="AY58" s="20" t="b">
        <f t="shared" si="25"/>
        <v>1</v>
      </c>
      <c r="AZ58" s="20" t="b">
        <f t="shared" si="67"/>
        <v>0</v>
      </c>
      <c r="BA58" s="21">
        <f t="shared" si="26"/>
        <v>0</v>
      </c>
      <c r="BB58" s="21" t="str">
        <f t="shared" si="27"/>
        <v/>
      </c>
      <c r="BC58" s="235" t="str">
        <f t="shared" si="28"/>
        <v/>
      </c>
      <c r="BD58" s="236" t="str">
        <f t="shared" si="29"/>
        <v/>
      </c>
      <c r="BE58" s="67" t="str">
        <f t="shared" si="81"/>
        <v/>
      </c>
      <c r="BF58" s="195"/>
      <c r="BG58" s="67" t="str">
        <f t="shared" si="82"/>
        <v/>
      </c>
      <c r="BH58" s="202" t="str">
        <f t="shared" si="68"/>
        <v/>
      </c>
      <c r="BI58" s="781"/>
      <c r="BJ58" s="781"/>
      <c r="BK58" s="224" t="b">
        <f t="shared" si="69"/>
        <v>0</v>
      </c>
      <c r="BL58" s="225" t="b">
        <f t="shared" si="70"/>
        <v>0</v>
      </c>
      <c r="BM58" s="226" t="b">
        <f t="shared" si="30"/>
        <v>0</v>
      </c>
      <c r="BN58" s="224" t="b">
        <f t="shared" si="31"/>
        <v>0</v>
      </c>
      <c r="BO58" s="224" t="b">
        <f t="shared" si="32"/>
        <v>0</v>
      </c>
      <c r="BP58" s="225" t="b">
        <f t="shared" si="33"/>
        <v>0</v>
      </c>
      <c r="BQ58" s="226" t="b">
        <f t="shared" si="34"/>
        <v>0</v>
      </c>
      <c r="BR58" s="224" t="b">
        <f t="shared" si="35"/>
        <v>0</v>
      </c>
      <c r="BS58" s="225" t="b">
        <f t="shared" si="71"/>
        <v>0</v>
      </c>
      <c r="BT58" s="227" t="b">
        <f t="shared" si="36"/>
        <v>0</v>
      </c>
      <c r="BU58" s="228" t="b">
        <f t="shared" si="37"/>
        <v>0</v>
      </c>
      <c r="BV58" s="207" t="str">
        <f t="shared" si="38"/>
        <v/>
      </c>
      <c r="BX58" s="167" t="str">
        <f t="shared" si="39"/>
        <v>no data</v>
      </c>
      <c r="BZ58" s="50">
        <v>33</v>
      </c>
      <c r="CA58" s="50" t="str">
        <f t="shared" si="40"/>
        <v>-</v>
      </c>
      <c r="CC58"/>
      <c r="CE58" s="73"/>
      <c r="CF58" s="26"/>
      <c r="CG58" s="333"/>
      <c r="CH58" s="333"/>
      <c r="CI58" s="354">
        <f t="shared" si="41"/>
        <v>33</v>
      </c>
      <c r="CJ58" s="503">
        <f t="shared" si="42"/>
        <v>0</v>
      </c>
      <c r="CK58" s="503">
        <f t="shared" si="43"/>
        <v>0</v>
      </c>
      <c r="CL58" s="504" t="str">
        <f t="shared" si="44"/>
        <v/>
      </c>
      <c r="CM58" s="505" t="str">
        <f>IF(AZ58,IF(ISNUMBER(L58),MAX('Adjustment factors'!$S$16,0.2+0.8*L58),IF(ISTEXT(J58),VLOOKUP(J58,Afactors,2,FALSE),"")),"")</f>
        <v/>
      </c>
      <c r="CN58" s="505" t="str">
        <f>IF(AZ58,IF(ISNUMBER(O58),MAX('Adjustment factors'!$S$16,0.2+0.8*O58),IF(ISTEXT(M58),VLOOKUP(M58,Afactors,2,FALSE),"")),"")</f>
        <v/>
      </c>
      <c r="CO58" s="506" t="str">
        <f t="shared" si="72"/>
        <v/>
      </c>
      <c r="CP58" s="340"/>
      <c r="CQ58" s="340"/>
      <c r="CR58" s="340"/>
      <c r="CS58" s="340"/>
      <c r="CT58" s="333"/>
      <c r="CU58" s="333"/>
      <c r="CV58" s="333"/>
      <c r="CW58" s="333"/>
      <c r="CX58" s="333"/>
      <c r="CY58" s="333"/>
      <c r="CZ58" s="333"/>
      <c r="DA58" s="333"/>
      <c r="DB58" s="333"/>
      <c r="DC58" s="333"/>
      <c r="DD58" s="333"/>
      <c r="DF58" s="167" t="str">
        <f t="shared" si="45"/>
        <v>OK</v>
      </c>
      <c r="DG58" s="167" t="str">
        <f t="shared" si="46"/>
        <v>OK</v>
      </c>
      <c r="DH58" s="167" t="str">
        <f t="shared" si="47"/>
        <v>OK</v>
      </c>
      <c r="DI58" s="167" t="str">
        <f t="shared" si="48"/>
        <v>OK</v>
      </c>
      <c r="DJ58" s="168" t="str">
        <f t="shared" si="49"/>
        <v>OK</v>
      </c>
      <c r="DK58" s="153" t="str">
        <f t="shared" si="50"/>
        <v>OK</v>
      </c>
      <c r="DL58" s="153" t="str">
        <f t="shared" si="73"/>
        <v>OK</v>
      </c>
      <c r="DM58" s="153" t="str">
        <f t="shared" si="51"/>
        <v>OK</v>
      </c>
      <c r="DN58" s="153" t="str">
        <f t="shared" si="52"/>
        <v>OK</v>
      </c>
      <c r="DO58" s="153" t="str">
        <f t="shared" si="53"/>
        <v>OK</v>
      </c>
      <c r="DP58" s="153" t="str">
        <f t="shared" si="74"/>
        <v>OK</v>
      </c>
      <c r="DQ58" s="320" t="str">
        <f t="shared" si="75"/>
        <v>OK</v>
      </c>
      <c r="DR58" s="320" t="str">
        <f t="shared" si="75"/>
        <v>OK</v>
      </c>
      <c r="DS58" s="320" t="str">
        <f t="shared" si="75"/>
        <v>OK</v>
      </c>
      <c r="DT58" s="168" t="str">
        <f t="shared" si="54"/>
        <v>OK</v>
      </c>
      <c r="DU58" s="153" t="str">
        <f t="shared" si="76"/>
        <v>OK</v>
      </c>
      <c r="DV58" s="153" t="str">
        <f t="shared" si="55"/>
        <v>OK</v>
      </c>
      <c r="DW58" s="153" t="str">
        <f t="shared" si="77"/>
        <v>OK</v>
      </c>
      <c r="DX58" s="153" t="str">
        <f t="shared" si="56"/>
        <v>OK</v>
      </c>
      <c r="DY58" s="153" t="str">
        <f t="shared" si="57"/>
        <v>OK</v>
      </c>
      <c r="DZ58" s="153" t="str">
        <f t="shared" si="58"/>
        <v>OK</v>
      </c>
      <c r="EA58" s="201" t="str">
        <f t="shared" si="59"/>
        <v>OK</v>
      </c>
      <c r="EB58" s="168" t="str">
        <f t="shared" si="78"/>
        <v>OK</v>
      </c>
      <c r="EC58" s="157">
        <f t="shared" si="79"/>
        <v>0</v>
      </c>
      <c r="ED58" s="156" t="str">
        <f t="shared" si="80"/>
        <v>OK</v>
      </c>
    </row>
    <row r="59" spans="1:134" ht="17.5" hidden="1" x14ac:dyDescent="0.3">
      <c r="A59" s="232"/>
      <c r="B59" s="420" t="str">
        <f t="shared" si="0"/>
        <v>-</v>
      </c>
      <c r="C59" s="329">
        <v>34</v>
      </c>
      <c r="D59" s="589"/>
      <c r="E59" s="590"/>
      <c r="F59" s="591"/>
      <c r="G59" s="592"/>
      <c r="H59" s="769"/>
      <c r="I59" s="770"/>
      <c r="J59" s="593"/>
      <c r="K59" s="596"/>
      <c r="L59" s="597"/>
      <c r="M59" s="595"/>
      <c r="N59" s="596"/>
      <c r="O59" s="597"/>
      <c r="P59" s="501" t="str">
        <f t="shared" si="1"/>
        <v/>
      </c>
      <c r="Q59" s="501" t="str">
        <f t="shared" si="60"/>
        <v/>
      </c>
      <c r="R59" s="502" t="str">
        <f t="shared" si="2"/>
        <v/>
      </c>
      <c r="S59" s="422"/>
      <c r="T59" s="66" t="str">
        <f>IF(AND(ISNUMBER(L59),J59=FixedDim),MAX('Adjustment factors'!$S$16,0.2+0.8*L59),IF(ISTEXT(J59),VLOOKUP(J59,Afactors,2,TRUE),""))</f>
        <v/>
      </c>
      <c r="U59" s="204" t="str">
        <f>IF(AND(ISNUMBER(O59),M59=FixedDim),MAX('Adjustment factors'!$S$16,0.2+0.8*O59),IF(ISTEXT(M59),VLOOKUP(M59,Afactors,2,FALSE),""))</f>
        <v/>
      </c>
      <c r="V59" s="18" t="b">
        <f t="shared" si="61"/>
        <v>0</v>
      </c>
      <c r="W59" s="18" t="b">
        <f t="shared" si="3"/>
        <v>0</v>
      </c>
      <c r="X59" s="17" t="str">
        <f t="shared" si="4"/>
        <v/>
      </c>
      <c r="Y59" s="18" t="str">
        <f t="shared" si="5"/>
        <v/>
      </c>
      <c r="Z59" s="17" t="str">
        <f t="shared" si="6"/>
        <v/>
      </c>
      <c r="AA59" s="17" t="str">
        <f t="shared" si="7"/>
        <v/>
      </c>
      <c r="AB59" s="163" t="str">
        <f t="shared" si="8"/>
        <v/>
      </c>
      <c r="AC59" s="210">
        <f t="shared" si="9"/>
        <v>0</v>
      </c>
      <c r="AD59" s="211">
        <f t="shared" si="62"/>
        <v>0</v>
      </c>
      <c r="AE59" s="211">
        <f t="shared" si="10"/>
        <v>0</v>
      </c>
      <c r="AF59" s="211">
        <f t="shared" si="11"/>
        <v>0</v>
      </c>
      <c r="AG59" s="212">
        <f t="shared" si="12"/>
        <v>0</v>
      </c>
      <c r="AH59" s="210">
        <f t="shared" si="13"/>
        <v>0</v>
      </c>
      <c r="AI59" s="211">
        <f t="shared" si="63"/>
        <v>0</v>
      </c>
      <c r="AJ59" s="211">
        <f t="shared" si="14"/>
        <v>0</v>
      </c>
      <c r="AK59" s="211">
        <f t="shared" si="64"/>
        <v>0</v>
      </c>
      <c r="AL59" s="212">
        <f t="shared" si="15"/>
        <v>0</v>
      </c>
      <c r="AM59" s="210">
        <f t="shared" si="16"/>
        <v>0</v>
      </c>
      <c r="AN59" s="211">
        <f t="shared" si="65"/>
        <v>0</v>
      </c>
      <c r="AO59" s="211">
        <f t="shared" si="17"/>
        <v>0</v>
      </c>
      <c r="AP59" s="211">
        <f t="shared" si="66"/>
        <v>0</v>
      </c>
      <c r="AQ59" s="212">
        <f t="shared" si="18"/>
        <v>0</v>
      </c>
      <c r="AR59" s="218" t="b">
        <f t="shared" si="19"/>
        <v>1</v>
      </c>
      <c r="AS59" s="20" t="b">
        <f t="shared" si="20"/>
        <v>0</v>
      </c>
      <c r="AT59" s="20" t="b">
        <f t="shared" si="21"/>
        <v>0</v>
      </c>
      <c r="AU59" s="20" t="b">
        <f t="shared" si="22"/>
        <v>1</v>
      </c>
      <c r="AV59" s="20" t="str">
        <f t="shared" si="23"/>
        <v/>
      </c>
      <c r="AW59" s="20" t="b">
        <f t="shared" si="24"/>
        <v>0</v>
      </c>
      <c r="AX59" s="221" t="b">
        <f>IF(OR(COUNTBLANK(D59:I59)=6,AND(COUNTBLANK(D59:G59)=4,H59=0)),OR(AW60:AW$65),NOT(AW59))</f>
        <v>0</v>
      </c>
      <c r="AY59" s="20" t="b">
        <f t="shared" si="25"/>
        <v>1</v>
      </c>
      <c r="AZ59" s="20" t="b">
        <f t="shared" si="67"/>
        <v>0</v>
      </c>
      <c r="BA59" s="21">
        <f t="shared" si="26"/>
        <v>0</v>
      </c>
      <c r="BB59" s="21" t="str">
        <f t="shared" si="27"/>
        <v/>
      </c>
      <c r="BC59" s="235" t="str">
        <f t="shared" si="28"/>
        <v/>
      </c>
      <c r="BD59" s="236" t="str">
        <f t="shared" si="29"/>
        <v/>
      </c>
      <c r="BE59" s="67" t="str">
        <f t="shared" si="81"/>
        <v/>
      </c>
      <c r="BF59" s="195"/>
      <c r="BG59" s="67" t="str">
        <f t="shared" si="82"/>
        <v/>
      </c>
      <c r="BH59" s="202" t="str">
        <f t="shared" si="68"/>
        <v/>
      </c>
      <c r="BI59" s="781"/>
      <c r="BJ59" s="781"/>
      <c r="BK59" s="224" t="b">
        <f t="shared" si="69"/>
        <v>0</v>
      </c>
      <c r="BL59" s="225" t="b">
        <f t="shared" si="70"/>
        <v>0</v>
      </c>
      <c r="BM59" s="226" t="b">
        <f t="shared" si="30"/>
        <v>0</v>
      </c>
      <c r="BN59" s="224" t="b">
        <f t="shared" si="31"/>
        <v>0</v>
      </c>
      <c r="BO59" s="224" t="b">
        <f t="shared" si="32"/>
        <v>0</v>
      </c>
      <c r="BP59" s="225" t="b">
        <f t="shared" si="33"/>
        <v>0</v>
      </c>
      <c r="BQ59" s="226" t="b">
        <f t="shared" si="34"/>
        <v>0</v>
      </c>
      <c r="BR59" s="224" t="b">
        <f t="shared" si="35"/>
        <v>0</v>
      </c>
      <c r="BS59" s="225" t="b">
        <f t="shared" si="71"/>
        <v>0</v>
      </c>
      <c r="BT59" s="227" t="b">
        <f t="shared" si="36"/>
        <v>0</v>
      </c>
      <c r="BU59" s="228" t="b">
        <f t="shared" si="37"/>
        <v>0</v>
      </c>
      <c r="BV59" s="207" t="str">
        <f t="shared" si="38"/>
        <v/>
      </c>
      <c r="BX59" s="167" t="str">
        <f t="shared" si="39"/>
        <v>no data</v>
      </c>
      <c r="BZ59" s="50">
        <v>34</v>
      </c>
      <c r="CA59" s="50" t="str">
        <f t="shared" si="40"/>
        <v>-</v>
      </c>
      <c r="CC59"/>
      <c r="CE59" s="73"/>
      <c r="CF59" s="26"/>
      <c r="CG59" s="333"/>
      <c r="CH59" s="333"/>
      <c r="CI59" s="354">
        <f t="shared" si="41"/>
        <v>34</v>
      </c>
      <c r="CJ59" s="503">
        <f t="shared" si="42"/>
        <v>0</v>
      </c>
      <c r="CK59" s="503">
        <f t="shared" si="43"/>
        <v>0</v>
      </c>
      <c r="CL59" s="504" t="str">
        <f t="shared" si="44"/>
        <v/>
      </c>
      <c r="CM59" s="505" t="str">
        <f>IF(AZ59,IF(ISNUMBER(L59),MAX('Adjustment factors'!$S$16,0.2+0.8*L59),IF(ISTEXT(J59),VLOOKUP(J59,Afactors,2,FALSE),"")),"")</f>
        <v/>
      </c>
      <c r="CN59" s="505" t="str">
        <f>IF(AZ59,IF(ISNUMBER(O59),MAX('Adjustment factors'!$S$16,0.2+0.8*O59),IF(ISTEXT(M59),VLOOKUP(M59,Afactors,2,FALSE),"")),"")</f>
        <v/>
      </c>
      <c r="CO59" s="506" t="str">
        <f t="shared" si="72"/>
        <v/>
      </c>
      <c r="CP59" s="340"/>
      <c r="CQ59" s="340"/>
      <c r="CR59" s="340"/>
      <c r="CS59" s="340"/>
      <c r="CT59" s="333"/>
      <c r="CU59" s="333"/>
      <c r="CV59" s="333"/>
      <c r="CW59" s="333"/>
      <c r="CX59" s="333"/>
      <c r="CY59" s="333"/>
      <c r="CZ59" s="333"/>
      <c r="DA59" s="333"/>
      <c r="DB59" s="333"/>
      <c r="DC59" s="333"/>
      <c r="DD59" s="333"/>
      <c r="DF59" s="167" t="str">
        <f t="shared" si="45"/>
        <v>OK</v>
      </c>
      <c r="DG59" s="167" t="str">
        <f t="shared" si="46"/>
        <v>OK</v>
      </c>
      <c r="DH59" s="167" t="str">
        <f t="shared" si="47"/>
        <v>OK</v>
      </c>
      <c r="DI59" s="167" t="str">
        <f t="shared" si="48"/>
        <v>OK</v>
      </c>
      <c r="DJ59" s="168" t="str">
        <f t="shared" si="49"/>
        <v>OK</v>
      </c>
      <c r="DK59" s="153" t="str">
        <f t="shared" si="50"/>
        <v>OK</v>
      </c>
      <c r="DL59" s="153" t="str">
        <f t="shared" si="73"/>
        <v>OK</v>
      </c>
      <c r="DM59" s="153" t="str">
        <f t="shared" si="51"/>
        <v>OK</v>
      </c>
      <c r="DN59" s="153" t="str">
        <f t="shared" si="52"/>
        <v>OK</v>
      </c>
      <c r="DO59" s="153" t="str">
        <f t="shared" si="53"/>
        <v>OK</v>
      </c>
      <c r="DP59" s="153" t="str">
        <f t="shared" si="74"/>
        <v>OK</v>
      </c>
      <c r="DQ59" s="320" t="str">
        <f t="shared" si="75"/>
        <v>OK</v>
      </c>
      <c r="DR59" s="320" t="str">
        <f t="shared" si="75"/>
        <v>OK</v>
      </c>
      <c r="DS59" s="320" t="str">
        <f t="shared" si="75"/>
        <v>OK</v>
      </c>
      <c r="DT59" s="168" t="str">
        <f t="shared" si="54"/>
        <v>OK</v>
      </c>
      <c r="DU59" s="153" t="str">
        <f t="shared" si="76"/>
        <v>OK</v>
      </c>
      <c r="DV59" s="153" t="str">
        <f t="shared" si="55"/>
        <v>OK</v>
      </c>
      <c r="DW59" s="153" t="str">
        <f t="shared" si="77"/>
        <v>OK</v>
      </c>
      <c r="DX59" s="153" t="str">
        <f t="shared" si="56"/>
        <v>OK</v>
      </c>
      <c r="DY59" s="153" t="str">
        <f t="shared" si="57"/>
        <v>OK</v>
      </c>
      <c r="DZ59" s="153" t="str">
        <f t="shared" si="58"/>
        <v>OK</v>
      </c>
      <c r="EA59" s="201" t="str">
        <f t="shared" si="59"/>
        <v>OK</v>
      </c>
      <c r="EB59" s="168" t="str">
        <f t="shared" si="78"/>
        <v>OK</v>
      </c>
      <c r="EC59" s="157">
        <f t="shared" si="79"/>
        <v>0</v>
      </c>
      <c r="ED59" s="156" t="str">
        <f t="shared" si="80"/>
        <v>OK</v>
      </c>
    </row>
    <row r="60" spans="1:134" ht="17.5" hidden="1" x14ac:dyDescent="0.3">
      <c r="A60" s="232"/>
      <c r="B60" s="420" t="str">
        <f t="shared" si="0"/>
        <v>-</v>
      </c>
      <c r="C60" s="329">
        <v>35</v>
      </c>
      <c r="D60" s="589"/>
      <c r="E60" s="590"/>
      <c r="F60" s="591"/>
      <c r="G60" s="592"/>
      <c r="H60" s="769"/>
      <c r="I60" s="770"/>
      <c r="J60" s="593"/>
      <c r="K60" s="596"/>
      <c r="L60" s="597"/>
      <c r="M60" s="595"/>
      <c r="N60" s="596"/>
      <c r="O60" s="597"/>
      <c r="P60" s="501" t="str">
        <f t="shared" si="1"/>
        <v/>
      </c>
      <c r="Q60" s="501" t="str">
        <f t="shared" si="60"/>
        <v/>
      </c>
      <c r="R60" s="502" t="str">
        <f t="shared" si="2"/>
        <v/>
      </c>
      <c r="S60" s="422"/>
      <c r="T60" s="66" t="str">
        <f>IF(AND(ISNUMBER(L60),J60=FixedDim),MAX('Adjustment factors'!$S$16,0.2+0.8*L60),IF(ISTEXT(J60),VLOOKUP(J60,Afactors,2,TRUE),""))</f>
        <v/>
      </c>
      <c r="U60" s="204" t="str">
        <f>IF(AND(ISNUMBER(O60),M60=FixedDim),MAX('Adjustment factors'!$S$16,0.2+0.8*O60),IF(ISTEXT(M60),VLOOKUP(M60,Afactors,2,FALSE),""))</f>
        <v/>
      </c>
      <c r="V60" s="18" t="b">
        <f t="shared" si="61"/>
        <v>0</v>
      </c>
      <c r="W60" s="18" t="b">
        <f t="shared" si="3"/>
        <v>0</v>
      </c>
      <c r="X60" s="17" t="str">
        <f t="shared" si="4"/>
        <v/>
      </c>
      <c r="Y60" s="18" t="str">
        <f t="shared" si="5"/>
        <v/>
      </c>
      <c r="Z60" s="17" t="str">
        <f t="shared" si="6"/>
        <v/>
      </c>
      <c r="AA60" s="17" t="str">
        <f t="shared" si="7"/>
        <v/>
      </c>
      <c r="AB60" s="163" t="str">
        <f t="shared" si="8"/>
        <v/>
      </c>
      <c r="AC60" s="210">
        <f t="shared" si="9"/>
        <v>0</v>
      </c>
      <c r="AD60" s="211">
        <f t="shared" si="62"/>
        <v>0</v>
      </c>
      <c r="AE60" s="211">
        <f t="shared" si="10"/>
        <v>0</v>
      </c>
      <c r="AF60" s="211">
        <f t="shared" si="11"/>
        <v>0</v>
      </c>
      <c r="AG60" s="212">
        <f t="shared" si="12"/>
        <v>0</v>
      </c>
      <c r="AH60" s="210">
        <f t="shared" si="13"/>
        <v>0</v>
      </c>
      <c r="AI60" s="211">
        <f t="shared" si="63"/>
        <v>0</v>
      </c>
      <c r="AJ60" s="211">
        <f t="shared" si="14"/>
        <v>0</v>
      </c>
      <c r="AK60" s="211">
        <f t="shared" si="64"/>
        <v>0</v>
      </c>
      <c r="AL60" s="212">
        <f t="shared" si="15"/>
        <v>0</v>
      </c>
      <c r="AM60" s="210">
        <f t="shared" si="16"/>
        <v>0</v>
      </c>
      <c r="AN60" s="211">
        <f t="shared" si="65"/>
        <v>0</v>
      </c>
      <c r="AO60" s="211">
        <f t="shared" si="17"/>
        <v>0</v>
      </c>
      <c r="AP60" s="211">
        <f t="shared" si="66"/>
        <v>0</v>
      </c>
      <c r="AQ60" s="212">
        <f t="shared" si="18"/>
        <v>0</v>
      </c>
      <c r="AR60" s="218" t="b">
        <f t="shared" si="19"/>
        <v>1</v>
      </c>
      <c r="AS60" s="20" t="b">
        <f t="shared" si="20"/>
        <v>0</v>
      </c>
      <c r="AT60" s="20" t="b">
        <f t="shared" si="21"/>
        <v>0</v>
      </c>
      <c r="AU60" s="20" t="b">
        <f t="shared" si="22"/>
        <v>1</v>
      </c>
      <c r="AV60" s="20" t="str">
        <f t="shared" si="23"/>
        <v/>
      </c>
      <c r="AW60" s="20" t="b">
        <f t="shared" si="24"/>
        <v>0</v>
      </c>
      <c r="AX60" s="221" t="b">
        <f>IF(OR(COUNTBLANK(D60:I60)=6,AND(COUNTBLANK(D60:G60)=4,H60=0)),OR(AW61:AW$65),NOT(AW60))</f>
        <v>0</v>
      </c>
      <c r="AY60" s="20" t="b">
        <f t="shared" si="25"/>
        <v>1</v>
      </c>
      <c r="AZ60" s="20" t="b">
        <f t="shared" si="67"/>
        <v>0</v>
      </c>
      <c r="BA60" s="21">
        <f t="shared" si="26"/>
        <v>0</v>
      </c>
      <c r="BB60" s="21" t="str">
        <f t="shared" si="27"/>
        <v/>
      </c>
      <c r="BC60" s="235" t="str">
        <f t="shared" si="28"/>
        <v/>
      </c>
      <c r="BD60" s="236" t="str">
        <f t="shared" si="29"/>
        <v/>
      </c>
      <c r="BE60" s="67" t="str">
        <f t="shared" si="81"/>
        <v/>
      </c>
      <c r="BF60" s="195"/>
      <c r="BG60" s="67" t="str">
        <f t="shared" si="82"/>
        <v/>
      </c>
      <c r="BH60" s="202" t="str">
        <f t="shared" si="68"/>
        <v/>
      </c>
      <c r="BI60" s="781"/>
      <c r="BJ60" s="781"/>
      <c r="BK60" s="224" t="b">
        <f t="shared" si="69"/>
        <v>0</v>
      </c>
      <c r="BL60" s="225" t="b">
        <f t="shared" si="70"/>
        <v>0</v>
      </c>
      <c r="BM60" s="226" t="b">
        <f t="shared" si="30"/>
        <v>0</v>
      </c>
      <c r="BN60" s="224" t="b">
        <f t="shared" si="31"/>
        <v>0</v>
      </c>
      <c r="BO60" s="224" t="b">
        <f t="shared" si="32"/>
        <v>0</v>
      </c>
      <c r="BP60" s="225" t="b">
        <f t="shared" si="33"/>
        <v>0</v>
      </c>
      <c r="BQ60" s="226" t="b">
        <f t="shared" si="34"/>
        <v>0</v>
      </c>
      <c r="BR60" s="224" t="b">
        <f t="shared" si="35"/>
        <v>0</v>
      </c>
      <c r="BS60" s="225" t="b">
        <f t="shared" si="71"/>
        <v>0</v>
      </c>
      <c r="BT60" s="227" t="b">
        <f t="shared" si="36"/>
        <v>0</v>
      </c>
      <c r="BU60" s="228" t="b">
        <f t="shared" si="37"/>
        <v>0</v>
      </c>
      <c r="BV60" s="207" t="str">
        <f t="shared" si="38"/>
        <v/>
      </c>
      <c r="BX60" s="167" t="str">
        <f t="shared" si="39"/>
        <v>no data</v>
      </c>
      <c r="BZ60" s="50">
        <v>35</v>
      </c>
      <c r="CA60" s="50" t="str">
        <f t="shared" si="40"/>
        <v>-</v>
      </c>
      <c r="CC60"/>
      <c r="CE60" s="73"/>
      <c r="CF60" s="26"/>
      <c r="CG60" s="333"/>
      <c r="CH60" s="333"/>
      <c r="CI60" s="354">
        <f t="shared" si="41"/>
        <v>35</v>
      </c>
      <c r="CJ60" s="503">
        <f t="shared" si="42"/>
        <v>0</v>
      </c>
      <c r="CK60" s="503">
        <f t="shared" si="43"/>
        <v>0</v>
      </c>
      <c r="CL60" s="504" t="str">
        <f t="shared" si="44"/>
        <v/>
      </c>
      <c r="CM60" s="505" t="str">
        <f>IF(AZ60,IF(ISNUMBER(L60),MAX('Adjustment factors'!$S$16,0.2+0.8*L60),IF(ISTEXT(J60),VLOOKUP(J60,Afactors,2,FALSE),"")),"")</f>
        <v/>
      </c>
      <c r="CN60" s="505" t="str">
        <f>IF(AZ60,IF(ISNUMBER(O60),MAX('Adjustment factors'!$S$16,0.2+0.8*O60),IF(ISTEXT(M60),VLOOKUP(M60,Afactors,2,FALSE),"")),"")</f>
        <v/>
      </c>
      <c r="CO60" s="506" t="str">
        <f t="shared" si="72"/>
        <v/>
      </c>
      <c r="CP60" s="340"/>
      <c r="CQ60" s="340"/>
      <c r="CR60" s="340"/>
      <c r="CS60" s="340"/>
      <c r="CT60" s="333"/>
      <c r="CU60" s="333"/>
      <c r="CV60" s="333"/>
      <c r="CW60" s="333"/>
      <c r="CX60" s="333"/>
      <c r="CY60" s="333"/>
      <c r="CZ60" s="333"/>
      <c r="DA60" s="333"/>
      <c r="DB60" s="333"/>
      <c r="DC60" s="333"/>
      <c r="DD60" s="333"/>
      <c r="DF60" s="167" t="str">
        <f t="shared" si="45"/>
        <v>OK</v>
      </c>
      <c r="DG60" s="167" t="str">
        <f t="shared" si="46"/>
        <v>OK</v>
      </c>
      <c r="DH60" s="167" t="str">
        <f t="shared" si="47"/>
        <v>OK</v>
      </c>
      <c r="DI60" s="167" t="str">
        <f t="shared" si="48"/>
        <v>OK</v>
      </c>
      <c r="DJ60" s="168" t="str">
        <f t="shared" si="49"/>
        <v>OK</v>
      </c>
      <c r="DK60" s="153" t="str">
        <f t="shared" si="50"/>
        <v>OK</v>
      </c>
      <c r="DL60" s="153" t="str">
        <f t="shared" si="73"/>
        <v>OK</v>
      </c>
      <c r="DM60" s="153" t="str">
        <f t="shared" si="51"/>
        <v>OK</v>
      </c>
      <c r="DN60" s="153" t="str">
        <f t="shared" si="52"/>
        <v>OK</v>
      </c>
      <c r="DO60" s="153" t="str">
        <f t="shared" si="53"/>
        <v>OK</v>
      </c>
      <c r="DP60" s="153" t="str">
        <f t="shared" si="74"/>
        <v>OK</v>
      </c>
      <c r="DQ60" s="320" t="str">
        <f t="shared" si="75"/>
        <v>OK</v>
      </c>
      <c r="DR60" s="320" t="str">
        <f t="shared" si="75"/>
        <v>OK</v>
      </c>
      <c r="DS60" s="320" t="str">
        <f t="shared" si="75"/>
        <v>OK</v>
      </c>
      <c r="DT60" s="168" t="str">
        <f t="shared" si="54"/>
        <v>OK</v>
      </c>
      <c r="DU60" s="153" t="str">
        <f t="shared" si="76"/>
        <v>OK</v>
      </c>
      <c r="DV60" s="153" t="str">
        <f t="shared" si="55"/>
        <v>OK</v>
      </c>
      <c r="DW60" s="153" t="str">
        <f t="shared" si="77"/>
        <v>OK</v>
      </c>
      <c r="DX60" s="153" t="str">
        <f t="shared" si="56"/>
        <v>OK</v>
      </c>
      <c r="DY60" s="153" t="str">
        <f t="shared" si="57"/>
        <v>OK</v>
      </c>
      <c r="DZ60" s="153" t="str">
        <f t="shared" si="58"/>
        <v>OK</v>
      </c>
      <c r="EA60" s="201" t="str">
        <f t="shared" si="59"/>
        <v>OK</v>
      </c>
      <c r="EB60" s="168" t="str">
        <f t="shared" si="78"/>
        <v>OK</v>
      </c>
      <c r="EC60" s="157">
        <f t="shared" si="79"/>
        <v>0</v>
      </c>
      <c r="ED60" s="156" t="str">
        <f t="shared" si="80"/>
        <v>OK</v>
      </c>
    </row>
    <row r="61" spans="1:134" ht="17.5" hidden="1" x14ac:dyDescent="0.3">
      <c r="A61" s="232"/>
      <c r="B61" s="420" t="str">
        <f t="shared" si="0"/>
        <v>-</v>
      </c>
      <c r="C61" s="329">
        <v>36</v>
      </c>
      <c r="D61" s="589"/>
      <c r="E61" s="590"/>
      <c r="F61" s="591"/>
      <c r="G61" s="592"/>
      <c r="H61" s="769"/>
      <c r="I61" s="770"/>
      <c r="J61" s="593"/>
      <c r="K61" s="596"/>
      <c r="L61" s="597"/>
      <c r="M61" s="595"/>
      <c r="N61" s="596"/>
      <c r="O61" s="597"/>
      <c r="P61" s="501" t="str">
        <f t="shared" si="1"/>
        <v/>
      </c>
      <c r="Q61" s="501" t="str">
        <f t="shared" si="60"/>
        <v/>
      </c>
      <c r="R61" s="502" t="str">
        <f t="shared" si="2"/>
        <v/>
      </c>
      <c r="S61" s="422"/>
      <c r="T61" s="66" t="str">
        <f>IF(AND(ISNUMBER(L61),J61=FixedDim),MAX('Adjustment factors'!$S$16,0.2+0.8*L61),IF(ISTEXT(J61),VLOOKUP(J61,Afactors,2,TRUE),""))</f>
        <v/>
      </c>
      <c r="U61" s="204" t="str">
        <f>IF(AND(ISNUMBER(O61),M61=FixedDim),MAX('Adjustment factors'!$S$16,0.2+0.8*O61),IF(ISTEXT(M61),VLOOKUP(M61,Afactors,2,FALSE),""))</f>
        <v/>
      </c>
      <c r="V61" s="18" t="b">
        <f t="shared" si="61"/>
        <v>0</v>
      </c>
      <c r="W61" s="18" t="b">
        <f t="shared" si="3"/>
        <v>0</v>
      </c>
      <c r="X61" s="17" t="str">
        <f t="shared" si="4"/>
        <v/>
      </c>
      <c r="Y61" s="18" t="str">
        <f t="shared" si="5"/>
        <v/>
      </c>
      <c r="Z61" s="17" t="str">
        <f t="shared" si="6"/>
        <v/>
      </c>
      <c r="AA61" s="17" t="str">
        <f t="shared" si="7"/>
        <v/>
      </c>
      <c r="AB61" s="163" t="str">
        <f t="shared" si="8"/>
        <v/>
      </c>
      <c r="AC61" s="210">
        <f t="shared" si="9"/>
        <v>0</v>
      </c>
      <c r="AD61" s="211">
        <f t="shared" si="62"/>
        <v>0</v>
      </c>
      <c r="AE61" s="211">
        <f t="shared" si="10"/>
        <v>0</v>
      </c>
      <c r="AF61" s="211">
        <f t="shared" si="11"/>
        <v>0</v>
      </c>
      <c r="AG61" s="212">
        <f t="shared" si="12"/>
        <v>0</v>
      </c>
      <c r="AH61" s="210">
        <f t="shared" si="13"/>
        <v>0</v>
      </c>
      <c r="AI61" s="211">
        <f t="shared" si="63"/>
        <v>0</v>
      </c>
      <c r="AJ61" s="211">
        <f t="shared" si="14"/>
        <v>0</v>
      </c>
      <c r="AK61" s="211">
        <f t="shared" si="64"/>
        <v>0</v>
      </c>
      <c r="AL61" s="212">
        <f t="shared" si="15"/>
        <v>0</v>
      </c>
      <c r="AM61" s="210">
        <f t="shared" si="16"/>
        <v>0</v>
      </c>
      <c r="AN61" s="211">
        <f t="shared" si="65"/>
        <v>0</v>
      </c>
      <c r="AO61" s="211">
        <f t="shared" si="17"/>
        <v>0</v>
      </c>
      <c r="AP61" s="211">
        <f t="shared" si="66"/>
        <v>0</v>
      </c>
      <c r="AQ61" s="212">
        <f t="shared" si="18"/>
        <v>0</v>
      </c>
      <c r="AR61" s="218" t="b">
        <f t="shared" si="19"/>
        <v>1</v>
      </c>
      <c r="AS61" s="20" t="b">
        <f t="shared" si="20"/>
        <v>0</v>
      </c>
      <c r="AT61" s="20" t="b">
        <f t="shared" si="21"/>
        <v>0</v>
      </c>
      <c r="AU61" s="20" t="b">
        <f t="shared" si="22"/>
        <v>1</v>
      </c>
      <c r="AV61" s="20" t="str">
        <f t="shared" si="23"/>
        <v/>
      </c>
      <c r="AW61" s="20" t="b">
        <f t="shared" si="24"/>
        <v>0</v>
      </c>
      <c r="AX61" s="221" t="b">
        <f>IF(OR(COUNTBLANK(D61:I61)=6,AND(COUNTBLANK(D61:G61)=4,H61=0)),OR(AW62:AW$65),NOT(AW61))</f>
        <v>0</v>
      </c>
      <c r="AY61" s="20" t="b">
        <f t="shared" si="25"/>
        <v>1</v>
      </c>
      <c r="AZ61" s="20" t="b">
        <f t="shared" si="67"/>
        <v>0</v>
      </c>
      <c r="BA61" s="21">
        <f t="shared" si="26"/>
        <v>0</v>
      </c>
      <c r="BB61" s="21" t="str">
        <f t="shared" si="27"/>
        <v/>
      </c>
      <c r="BC61" s="235" t="str">
        <f t="shared" si="28"/>
        <v/>
      </c>
      <c r="BD61" s="236" t="str">
        <f t="shared" si="29"/>
        <v/>
      </c>
      <c r="BE61" s="67" t="str">
        <f t="shared" si="81"/>
        <v/>
      </c>
      <c r="BF61" s="195"/>
      <c r="BG61" s="67" t="str">
        <f t="shared" si="82"/>
        <v/>
      </c>
      <c r="BH61" s="202" t="str">
        <f t="shared" si="68"/>
        <v/>
      </c>
      <c r="BI61" s="781"/>
      <c r="BJ61" s="781"/>
      <c r="BK61" s="224" t="b">
        <f t="shared" si="69"/>
        <v>0</v>
      </c>
      <c r="BL61" s="225" t="b">
        <f t="shared" si="70"/>
        <v>0</v>
      </c>
      <c r="BM61" s="226" t="b">
        <f t="shared" si="30"/>
        <v>0</v>
      </c>
      <c r="BN61" s="224" t="b">
        <f t="shared" si="31"/>
        <v>0</v>
      </c>
      <c r="BO61" s="224" t="b">
        <f t="shared" si="32"/>
        <v>0</v>
      </c>
      <c r="BP61" s="225" t="b">
        <f t="shared" si="33"/>
        <v>0</v>
      </c>
      <c r="BQ61" s="226" t="b">
        <f t="shared" si="34"/>
        <v>0</v>
      </c>
      <c r="BR61" s="224" t="b">
        <f t="shared" si="35"/>
        <v>0</v>
      </c>
      <c r="BS61" s="225" t="b">
        <f t="shared" si="71"/>
        <v>0</v>
      </c>
      <c r="BT61" s="227" t="b">
        <f t="shared" si="36"/>
        <v>0</v>
      </c>
      <c r="BU61" s="228" t="b">
        <f t="shared" si="37"/>
        <v>0</v>
      </c>
      <c r="BV61" s="207" t="str">
        <f t="shared" si="38"/>
        <v/>
      </c>
      <c r="BX61" s="167" t="str">
        <f t="shared" si="39"/>
        <v>no data</v>
      </c>
      <c r="BZ61" s="50">
        <v>36</v>
      </c>
      <c r="CA61" s="50" t="str">
        <f t="shared" si="40"/>
        <v>-</v>
      </c>
      <c r="CC61"/>
      <c r="CE61" s="73"/>
      <c r="CF61" s="26"/>
      <c r="CG61" s="333"/>
      <c r="CH61" s="333"/>
      <c r="CI61" s="354">
        <f t="shared" si="41"/>
        <v>36</v>
      </c>
      <c r="CJ61" s="503">
        <f t="shared" si="42"/>
        <v>0</v>
      </c>
      <c r="CK61" s="503">
        <f t="shared" si="43"/>
        <v>0</v>
      </c>
      <c r="CL61" s="504" t="str">
        <f t="shared" si="44"/>
        <v/>
      </c>
      <c r="CM61" s="505" t="str">
        <f>IF(AZ61,IF(ISNUMBER(L61),MAX('Adjustment factors'!$S$16,0.2+0.8*L61),IF(ISTEXT(J61),VLOOKUP(J61,Afactors,2,FALSE),"")),"")</f>
        <v/>
      </c>
      <c r="CN61" s="505" t="str">
        <f>IF(AZ61,IF(ISNUMBER(O61),MAX('Adjustment factors'!$S$16,0.2+0.8*O61),IF(ISTEXT(M61),VLOOKUP(M61,Afactors,2,FALSE),"")),"")</f>
        <v/>
      </c>
      <c r="CO61" s="506" t="str">
        <f t="shared" si="72"/>
        <v/>
      </c>
      <c r="CP61" s="340"/>
      <c r="CQ61" s="340"/>
      <c r="CR61" s="340"/>
      <c r="CS61" s="340"/>
      <c r="CT61" s="333"/>
      <c r="CU61" s="333"/>
      <c r="CV61" s="333"/>
      <c r="CW61" s="333"/>
      <c r="CX61" s="333"/>
      <c r="CY61" s="333"/>
      <c r="CZ61" s="333"/>
      <c r="DA61" s="333"/>
      <c r="DB61" s="333"/>
      <c r="DC61" s="333"/>
      <c r="DD61" s="333"/>
      <c r="DF61" s="167" t="str">
        <f t="shared" si="45"/>
        <v>OK</v>
      </c>
      <c r="DG61" s="167" t="str">
        <f t="shared" si="46"/>
        <v>OK</v>
      </c>
      <c r="DH61" s="167" t="str">
        <f t="shared" si="47"/>
        <v>OK</v>
      </c>
      <c r="DI61" s="167" t="str">
        <f t="shared" si="48"/>
        <v>OK</v>
      </c>
      <c r="DJ61" s="168" t="str">
        <f t="shared" si="49"/>
        <v>OK</v>
      </c>
      <c r="DK61" s="153" t="str">
        <f t="shared" si="50"/>
        <v>OK</v>
      </c>
      <c r="DL61" s="153" t="str">
        <f t="shared" si="73"/>
        <v>OK</v>
      </c>
      <c r="DM61" s="153" t="str">
        <f t="shared" si="51"/>
        <v>OK</v>
      </c>
      <c r="DN61" s="153" t="str">
        <f t="shared" si="52"/>
        <v>OK</v>
      </c>
      <c r="DO61" s="153" t="str">
        <f t="shared" si="53"/>
        <v>OK</v>
      </c>
      <c r="DP61" s="153" t="str">
        <f t="shared" si="74"/>
        <v>OK</v>
      </c>
      <c r="DQ61" s="320" t="str">
        <f t="shared" si="75"/>
        <v>OK</v>
      </c>
      <c r="DR61" s="320" t="str">
        <f t="shared" si="75"/>
        <v>OK</v>
      </c>
      <c r="DS61" s="320" t="str">
        <f t="shared" si="75"/>
        <v>OK</v>
      </c>
      <c r="DT61" s="168" t="str">
        <f t="shared" si="54"/>
        <v>OK</v>
      </c>
      <c r="DU61" s="153" t="str">
        <f t="shared" si="76"/>
        <v>OK</v>
      </c>
      <c r="DV61" s="153" t="str">
        <f t="shared" si="55"/>
        <v>OK</v>
      </c>
      <c r="DW61" s="153" t="str">
        <f t="shared" si="77"/>
        <v>OK</v>
      </c>
      <c r="DX61" s="153" t="str">
        <f t="shared" si="56"/>
        <v>OK</v>
      </c>
      <c r="DY61" s="153" t="str">
        <f t="shared" si="57"/>
        <v>OK</v>
      </c>
      <c r="DZ61" s="153" t="str">
        <f t="shared" si="58"/>
        <v>OK</v>
      </c>
      <c r="EA61" s="201" t="str">
        <f t="shared" si="59"/>
        <v>OK</v>
      </c>
      <c r="EB61" s="168" t="str">
        <f t="shared" si="78"/>
        <v>OK</v>
      </c>
      <c r="EC61" s="157">
        <f t="shared" si="79"/>
        <v>0</v>
      </c>
      <c r="ED61" s="156" t="str">
        <f t="shared" si="80"/>
        <v>OK</v>
      </c>
    </row>
    <row r="62" spans="1:134" ht="17.5" hidden="1" x14ac:dyDescent="0.3">
      <c r="A62" s="232"/>
      <c r="B62" s="420" t="str">
        <f t="shared" si="0"/>
        <v>-</v>
      </c>
      <c r="C62" s="329">
        <v>37</v>
      </c>
      <c r="D62" s="589"/>
      <c r="E62" s="590"/>
      <c r="F62" s="591"/>
      <c r="G62" s="592"/>
      <c r="H62" s="769"/>
      <c r="I62" s="770"/>
      <c r="J62" s="593"/>
      <c r="K62" s="596"/>
      <c r="L62" s="597"/>
      <c r="M62" s="595"/>
      <c r="N62" s="596"/>
      <c r="O62" s="597"/>
      <c r="P62" s="501" t="str">
        <f t="shared" si="1"/>
        <v/>
      </c>
      <c r="Q62" s="501" t="str">
        <f t="shared" si="60"/>
        <v/>
      </c>
      <c r="R62" s="502" t="str">
        <f t="shared" si="2"/>
        <v/>
      </c>
      <c r="S62" s="422"/>
      <c r="T62" s="66" t="str">
        <f>IF(AND(ISNUMBER(L62),J62=FixedDim),MAX('Adjustment factors'!$S$16,0.2+0.8*L62),IF(ISTEXT(J62),VLOOKUP(J62,Afactors,2,TRUE),""))</f>
        <v/>
      </c>
      <c r="U62" s="204" t="str">
        <f>IF(AND(ISNUMBER(O62),M62=FixedDim),MAX('Adjustment factors'!$S$16,0.2+0.8*O62),IF(ISTEXT(M62),VLOOKUP(M62,Afactors,2,FALSE),""))</f>
        <v/>
      </c>
      <c r="V62" s="18" t="b">
        <f t="shared" si="61"/>
        <v>0</v>
      </c>
      <c r="W62" s="18" t="b">
        <f t="shared" si="3"/>
        <v>0</v>
      </c>
      <c r="X62" s="17" t="str">
        <f t="shared" si="4"/>
        <v/>
      </c>
      <c r="Y62" s="18" t="str">
        <f t="shared" si="5"/>
        <v/>
      </c>
      <c r="Z62" s="17" t="str">
        <f t="shared" si="6"/>
        <v/>
      </c>
      <c r="AA62" s="17" t="str">
        <f t="shared" si="7"/>
        <v/>
      </c>
      <c r="AB62" s="163" t="str">
        <f t="shared" si="8"/>
        <v/>
      </c>
      <c r="AC62" s="210">
        <f t="shared" si="9"/>
        <v>0</v>
      </c>
      <c r="AD62" s="211">
        <f t="shared" si="62"/>
        <v>0</v>
      </c>
      <c r="AE62" s="211">
        <f t="shared" si="10"/>
        <v>0</v>
      </c>
      <c r="AF62" s="211">
        <f t="shared" si="11"/>
        <v>0</v>
      </c>
      <c r="AG62" s="212">
        <f t="shared" si="12"/>
        <v>0</v>
      </c>
      <c r="AH62" s="210">
        <f t="shared" si="13"/>
        <v>0</v>
      </c>
      <c r="AI62" s="211">
        <f t="shared" si="63"/>
        <v>0</v>
      </c>
      <c r="AJ62" s="211">
        <f t="shared" si="14"/>
        <v>0</v>
      </c>
      <c r="AK62" s="211">
        <f t="shared" si="64"/>
        <v>0</v>
      </c>
      <c r="AL62" s="212">
        <f t="shared" si="15"/>
        <v>0</v>
      </c>
      <c r="AM62" s="210">
        <f t="shared" si="16"/>
        <v>0</v>
      </c>
      <c r="AN62" s="211">
        <f t="shared" si="65"/>
        <v>0</v>
      </c>
      <c r="AO62" s="211">
        <f t="shared" si="17"/>
        <v>0</v>
      </c>
      <c r="AP62" s="211">
        <f t="shared" si="66"/>
        <v>0</v>
      </c>
      <c r="AQ62" s="212">
        <f t="shared" si="18"/>
        <v>0</v>
      </c>
      <c r="AR62" s="218" t="b">
        <f t="shared" si="19"/>
        <v>1</v>
      </c>
      <c r="AS62" s="20" t="b">
        <f t="shared" si="20"/>
        <v>0</v>
      </c>
      <c r="AT62" s="20" t="b">
        <f t="shared" si="21"/>
        <v>0</v>
      </c>
      <c r="AU62" s="20" t="b">
        <f t="shared" si="22"/>
        <v>1</v>
      </c>
      <c r="AV62" s="20" t="str">
        <f t="shared" si="23"/>
        <v/>
      </c>
      <c r="AW62" s="20" t="b">
        <f t="shared" si="24"/>
        <v>0</v>
      </c>
      <c r="AX62" s="221" t="b">
        <f>IF(OR(COUNTBLANK(D62:I62)=6,AND(COUNTBLANK(D62:G62)=4,H62=0)),OR(AW63:AW$65),NOT(AW62))</f>
        <v>0</v>
      </c>
      <c r="AY62" s="20" t="b">
        <f t="shared" si="25"/>
        <v>1</v>
      </c>
      <c r="AZ62" s="20" t="b">
        <f t="shared" si="67"/>
        <v>0</v>
      </c>
      <c r="BA62" s="21">
        <f t="shared" si="26"/>
        <v>0</v>
      </c>
      <c r="BB62" s="21" t="str">
        <f t="shared" si="27"/>
        <v/>
      </c>
      <c r="BC62" s="235" t="str">
        <f t="shared" si="28"/>
        <v/>
      </c>
      <c r="BD62" s="236" t="str">
        <f t="shared" si="29"/>
        <v/>
      </c>
      <c r="BE62" s="67" t="str">
        <f t="shared" si="81"/>
        <v/>
      </c>
      <c r="BF62" s="195"/>
      <c r="BG62" s="67" t="str">
        <f t="shared" si="82"/>
        <v/>
      </c>
      <c r="BH62" s="202" t="str">
        <f t="shared" si="68"/>
        <v/>
      </c>
      <c r="BI62" s="781"/>
      <c r="BJ62" s="781"/>
      <c r="BK62" s="224" t="b">
        <f t="shared" si="69"/>
        <v>0</v>
      </c>
      <c r="BL62" s="225" t="b">
        <f t="shared" si="70"/>
        <v>0</v>
      </c>
      <c r="BM62" s="226" t="b">
        <f t="shared" si="30"/>
        <v>0</v>
      </c>
      <c r="BN62" s="224" t="b">
        <f t="shared" si="31"/>
        <v>0</v>
      </c>
      <c r="BO62" s="224" t="b">
        <f t="shared" si="32"/>
        <v>0</v>
      </c>
      <c r="BP62" s="225" t="b">
        <f t="shared" si="33"/>
        <v>0</v>
      </c>
      <c r="BQ62" s="226" t="b">
        <f t="shared" si="34"/>
        <v>0</v>
      </c>
      <c r="BR62" s="224" t="b">
        <f t="shared" si="35"/>
        <v>0</v>
      </c>
      <c r="BS62" s="225" t="b">
        <f t="shared" si="71"/>
        <v>0</v>
      </c>
      <c r="BT62" s="227" t="b">
        <f t="shared" si="36"/>
        <v>0</v>
      </c>
      <c r="BU62" s="228" t="b">
        <f t="shared" si="37"/>
        <v>0</v>
      </c>
      <c r="BV62" s="207" t="str">
        <f t="shared" si="38"/>
        <v/>
      </c>
      <c r="BX62" s="167" t="str">
        <f t="shared" si="39"/>
        <v>no data</v>
      </c>
      <c r="BZ62" s="50">
        <v>37</v>
      </c>
      <c r="CA62" s="50" t="str">
        <f t="shared" si="40"/>
        <v>-</v>
      </c>
      <c r="CC62"/>
      <c r="CE62" s="73"/>
      <c r="CF62" s="26"/>
      <c r="CG62" s="333"/>
      <c r="CH62" s="333"/>
      <c r="CI62" s="354">
        <f t="shared" si="41"/>
        <v>37</v>
      </c>
      <c r="CJ62" s="503">
        <f t="shared" si="42"/>
        <v>0</v>
      </c>
      <c r="CK62" s="503">
        <f t="shared" si="43"/>
        <v>0</v>
      </c>
      <c r="CL62" s="504" t="str">
        <f t="shared" si="44"/>
        <v/>
      </c>
      <c r="CM62" s="505" t="str">
        <f>IF(AZ62,IF(ISNUMBER(L62),MAX('Adjustment factors'!$S$16,0.2+0.8*L62),IF(ISTEXT(J62),VLOOKUP(J62,Afactors,2,FALSE),"")),"")</f>
        <v/>
      </c>
      <c r="CN62" s="505" t="str">
        <f>IF(AZ62,IF(ISNUMBER(O62),MAX('Adjustment factors'!$S$16,0.2+0.8*O62),IF(ISTEXT(M62),VLOOKUP(M62,Afactors,2,FALSE),"")),"")</f>
        <v/>
      </c>
      <c r="CO62" s="506" t="str">
        <f t="shared" si="72"/>
        <v/>
      </c>
      <c r="CP62" s="340"/>
      <c r="CQ62" s="340"/>
      <c r="CR62" s="340"/>
      <c r="CS62" s="340"/>
      <c r="CT62" s="333"/>
      <c r="CU62" s="333"/>
      <c r="CV62" s="333"/>
      <c r="CW62" s="333"/>
      <c r="CX62" s="333"/>
      <c r="CY62" s="333"/>
      <c r="CZ62" s="333"/>
      <c r="DA62" s="333"/>
      <c r="DB62" s="333"/>
      <c r="DC62" s="333"/>
      <c r="DD62" s="333"/>
      <c r="DF62" s="167" t="str">
        <f t="shared" si="45"/>
        <v>OK</v>
      </c>
      <c r="DG62" s="167" t="str">
        <f t="shared" si="46"/>
        <v>OK</v>
      </c>
      <c r="DH62" s="167" t="str">
        <f t="shared" si="47"/>
        <v>OK</v>
      </c>
      <c r="DI62" s="167" t="str">
        <f t="shared" si="48"/>
        <v>OK</v>
      </c>
      <c r="DJ62" s="168" t="str">
        <f t="shared" si="49"/>
        <v>OK</v>
      </c>
      <c r="DK62" s="153" t="str">
        <f t="shared" si="50"/>
        <v>OK</v>
      </c>
      <c r="DL62" s="153" t="str">
        <f t="shared" si="73"/>
        <v>OK</v>
      </c>
      <c r="DM62" s="153" t="str">
        <f t="shared" si="51"/>
        <v>OK</v>
      </c>
      <c r="DN62" s="153" t="str">
        <f t="shared" si="52"/>
        <v>OK</v>
      </c>
      <c r="DO62" s="153" t="str">
        <f t="shared" si="53"/>
        <v>OK</v>
      </c>
      <c r="DP62" s="153" t="str">
        <f t="shared" si="74"/>
        <v>OK</v>
      </c>
      <c r="DQ62" s="320" t="str">
        <f t="shared" si="75"/>
        <v>OK</v>
      </c>
      <c r="DR62" s="320" t="str">
        <f t="shared" si="75"/>
        <v>OK</v>
      </c>
      <c r="DS62" s="320" t="str">
        <f t="shared" si="75"/>
        <v>OK</v>
      </c>
      <c r="DT62" s="168" t="str">
        <f t="shared" si="54"/>
        <v>OK</v>
      </c>
      <c r="DU62" s="153" t="str">
        <f t="shared" si="76"/>
        <v>OK</v>
      </c>
      <c r="DV62" s="153" t="str">
        <f t="shared" si="55"/>
        <v>OK</v>
      </c>
      <c r="DW62" s="153" t="str">
        <f t="shared" si="77"/>
        <v>OK</v>
      </c>
      <c r="DX62" s="153" t="str">
        <f t="shared" si="56"/>
        <v>OK</v>
      </c>
      <c r="DY62" s="153" t="str">
        <f t="shared" si="57"/>
        <v>OK</v>
      </c>
      <c r="DZ62" s="153" t="str">
        <f t="shared" si="58"/>
        <v>OK</v>
      </c>
      <c r="EA62" s="201" t="str">
        <f t="shared" si="59"/>
        <v>OK</v>
      </c>
      <c r="EB62" s="168" t="str">
        <f t="shared" si="78"/>
        <v>OK</v>
      </c>
      <c r="EC62" s="157">
        <f t="shared" si="79"/>
        <v>0</v>
      </c>
      <c r="ED62" s="156" t="str">
        <f t="shared" si="80"/>
        <v>OK</v>
      </c>
    </row>
    <row r="63" spans="1:134" ht="17.5" hidden="1" x14ac:dyDescent="0.3">
      <c r="A63" s="232"/>
      <c r="B63" s="420" t="str">
        <f t="shared" si="0"/>
        <v>-</v>
      </c>
      <c r="C63" s="329">
        <v>38</v>
      </c>
      <c r="D63" s="589"/>
      <c r="E63" s="590"/>
      <c r="F63" s="591"/>
      <c r="G63" s="592"/>
      <c r="H63" s="769"/>
      <c r="I63" s="770"/>
      <c r="J63" s="593"/>
      <c r="K63" s="596"/>
      <c r="L63" s="597"/>
      <c r="M63" s="595"/>
      <c r="N63" s="596"/>
      <c r="O63" s="597"/>
      <c r="P63" s="501" t="str">
        <f t="shared" si="1"/>
        <v/>
      </c>
      <c r="Q63" s="501" t="str">
        <f t="shared" si="60"/>
        <v/>
      </c>
      <c r="R63" s="502" t="str">
        <f t="shared" si="2"/>
        <v/>
      </c>
      <c r="S63" s="422"/>
      <c r="T63" s="66" t="str">
        <f>IF(AND(ISNUMBER(L63),J63=FixedDim),MAX('Adjustment factors'!$S$16,0.2+0.8*L63),IF(ISTEXT(J63),VLOOKUP(J63,Afactors,2,TRUE),""))</f>
        <v/>
      </c>
      <c r="U63" s="204" t="str">
        <f>IF(AND(ISNUMBER(O63),M63=FixedDim),MAX('Adjustment factors'!$S$16,0.2+0.8*O63),IF(ISTEXT(M63),VLOOKUP(M63,Afactors,2,FALSE),""))</f>
        <v/>
      </c>
      <c r="V63" s="18" t="b">
        <f t="shared" si="61"/>
        <v>0</v>
      </c>
      <c r="W63" s="18" t="b">
        <f t="shared" si="3"/>
        <v>0</v>
      </c>
      <c r="X63" s="17" t="str">
        <f t="shared" si="4"/>
        <v/>
      </c>
      <c r="Y63" s="18" t="str">
        <f t="shared" si="5"/>
        <v/>
      </c>
      <c r="Z63" s="17" t="str">
        <f t="shared" si="6"/>
        <v/>
      </c>
      <c r="AA63" s="17" t="str">
        <f t="shared" si="7"/>
        <v/>
      </c>
      <c r="AB63" s="163" t="str">
        <f t="shared" si="8"/>
        <v/>
      </c>
      <c r="AC63" s="210">
        <f t="shared" si="9"/>
        <v>0</v>
      </c>
      <c r="AD63" s="211">
        <f t="shared" si="62"/>
        <v>0</v>
      </c>
      <c r="AE63" s="211">
        <f t="shared" si="10"/>
        <v>0</v>
      </c>
      <c r="AF63" s="211">
        <f t="shared" si="11"/>
        <v>0</v>
      </c>
      <c r="AG63" s="212">
        <f t="shared" si="12"/>
        <v>0</v>
      </c>
      <c r="AH63" s="210">
        <f t="shared" si="13"/>
        <v>0</v>
      </c>
      <c r="AI63" s="211">
        <f t="shared" si="63"/>
        <v>0</v>
      </c>
      <c r="AJ63" s="211">
        <f t="shared" si="14"/>
        <v>0</v>
      </c>
      <c r="AK63" s="211">
        <f t="shared" si="64"/>
        <v>0</v>
      </c>
      <c r="AL63" s="212">
        <f t="shared" si="15"/>
        <v>0</v>
      </c>
      <c r="AM63" s="210">
        <f t="shared" si="16"/>
        <v>0</v>
      </c>
      <c r="AN63" s="211">
        <f t="shared" si="65"/>
        <v>0</v>
      </c>
      <c r="AO63" s="211">
        <f t="shared" si="17"/>
        <v>0</v>
      </c>
      <c r="AP63" s="211">
        <f t="shared" si="66"/>
        <v>0</v>
      </c>
      <c r="AQ63" s="212">
        <f t="shared" si="18"/>
        <v>0</v>
      </c>
      <c r="AR63" s="218" t="b">
        <f t="shared" si="19"/>
        <v>1</v>
      </c>
      <c r="AS63" s="20" t="b">
        <f t="shared" si="20"/>
        <v>0</v>
      </c>
      <c r="AT63" s="20" t="b">
        <f t="shared" si="21"/>
        <v>0</v>
      </c>
      <c r="AU63" s="20" t="b">
        <f t="shared" si="22"/>
        <v>1</v>
      </c>
      <c r="AV63" s="20" t="str">
        <f t="shared" si="23"/>
        <v/>
      </c>
      <c r="AW63" s="20" t="b">
        <f t="shared" si="24"/>
        <v>0</v>
      </c>
      <c r="AX63" s="221" t="b">
        <f>IF(OR(COUNTBLANK(D63:I63)=6,AND(COUNTBLANK(D63:G63)=4,H63=0)),OR(AW64:AW$65),NOT(AW63))</f>
        <v>0</v>
      </c>
      <c r="AY63" s="20" t="b">
        <f t="shared" si="25"/>
        <v>1</v>
      </c>
      <c r="AZ63" s="20" t="b">
        <f t="shared" si="67"/>
        <v>0</v>
      </c>
      <c r="BA63" s="21">
        <f t="shared" si="26"/>
        <v>0</v>
      </c>
      <c r="BB63" s="21" t="str">
        <f t="shared" si="27"/>
        <v/>
      </c>
      <c r="BC63" s="235" t="str">
        <f t="shared" si="28"/>
        <v/>
      </c>
      <c r="BD63" s="236" t="str">
        <f t="shared" si="29"/>
        <v/>
      </c>
      <c r="BE63" s="67" t="str">
        <f t="shared" si="81"/>
        <v/>
      </c>
      <c r="BF63" s="195"/>
      <c r="BG63" s="67" t="str">
        <f t="shared" si="82"/>
        <v/>
      </c>
      <c r="BH63" s="202" t="str">
        <f t="shared" si="68"/>
        <v/>
      </c>
      <c r="BI63" s="781"/>
      <c r="BJ63" s="781"/>
      <c r="BK63" s="224" t="b">
        <f t="shared" si="69"/>
        <v>0</v>
      </c>
      <c r="BL63" s="225" t="b">
        <f t="shared" si="70"/>
        <v>0</v>
      </c>
      <c r="BM63" s="226" t="b">
        <f t="shared" si="30"/>
        <v>0</v>
      </c>
      <c r="BN63" s="224" t="b">
        <f t="shared" si="31"/>
        <v>0</v>
      </c>
      <c r="BO63" s="224" t="b">
        <f t="shared" si="32"/>
        <v>0</v>
      </c>
      <c r="BP63" s="225" t="b">
        <f t="shared" si="33"/>
        <v>0</v>
      </c>
      <c r="BQ63" s="226" t="b">
        <f t="shared" si="34"/>
        <v>0</v>
      </c>
      <c r="BR63" s="224" t="b">
        <f t="shared" si="35"/>
        <v>0</v>
      </c>
      <c r="BS63" s="225" t="b">
        <f t="shared" si="71"/>
        <v>0</v>
      </c>
      <c r="BT63" s="227" t="b">
        <f t="shared" si="36"/>
        <v>0</v>
      </c>
      <c r="BU63" s="228" t="b">
        <f t="shared" si="37"/>
        <v>0</v>
      </c>
      <c r="BV63" s="207" t="str">
        <f t="shared" si="38"/>
        <v/>
      </c>
      <c r="BX63" s="167" t="str">
        <f t="shared" si="39"/>
        <v>no data</v>
      </c>
      <c r="BZ63" s="50">
        <v>38</v>
      </c>
      <c r="CA63" s="50" t="str">
        <f t="shared" si="40"/>
        <v>-</v>
      </c>
      <c r="CC63"/>
      <c r="CE63" s="73"/>
      <c r="CF63" s="26"/>
      <c r="CG63" s="333"/>
      <c r="CH63" s="333"/>
      <c r="CI63" s="354">
        <f t="shared" si="41"/>
        <v>38</v>
      </c>
      <c r="CJ63" s="503">
        <f t="shared" si="42"/>
        <v>0</v>
      </c>
      <c r="CK63" s="503">
        <f t="shared" si="43"/>
        <v>0</v>
      </c>
      <c r="CL63" s="504" t="str">
        <f t="shared" si="44"/>
        <v/>
      </c>
      <c r="CM63" s="505" t="str">
        <f>IF(AZ63,IF(ISNUMBER(L63),MAX('Adjustment factors'!$S$16,0.2+0.8*L63),IF(ISTEXT(J63),VLOOKUP(J63,Afactors,2,FALSE),"")),"")</f>
        <v/>
      </c>
      <c r="CN63" s="505" t="str">
        <f>IF(AZ63,IF(ISNUMBER(O63),MAX('Adjustment factors'!$S$16,0.2+0.8*O63),IF(ISTEXT(M63),VLOOKUP(M63,Afactors,2,FALSE),"")),"")</f>
        <v/>
      </c>
      <c r="CO63" s="506" t="str">
        <f t="shared" si="72"/>
        <v/>
      </c>
      <c r="CP63" s="340"/>
      <c r="CQ63" s="340"/>
      <c r="CR63" s="340"/>
      <c r="CS63" s="340"/>
      <c r="CT63" s="333"/>
      <c r="CU63" s="333"/>
      <c r="CV63" s="333"/>
      <c r="CW63" s="333"/>
      <c r="CX63" s="333"/>
      <c r="CY63" s="333"/>
      <c r="CZ63" s="333"/>
      <c r="DA63" s="333"/>
      <c r="DB63" s="333"/>
      <c r="DC63" s="333"/>
      <c r="DD63" s="333"/>
      <c r="DF63" s="167" t="str">
        <f t="shared" si="45"/>
        <v>OK</v>
      </c>
      <c r="DG63" s="167" t="str">
        <f t="shared" si="46"/>
        <v>OK</v>
      </c>
      <c r="DH63" s="167" t="str">
        <f t="shared" si="47"/>
        <v>OK</v>
      </c>
      <c r="DI63" s="167" t="str">
        <f t="shared" si="48"/>
        <v>OK</v>
      </c>
      <c r="DJ63" s="168" t="str">
        <f t="shared" si="49"/>
        <v>OK</v>
      </c>
      <c r="DK63" s="153" t="str">
        <f t="shared" si="50"/>
        <v>OK</v>
      </c>
      <c r="DL63" s="153" t="str">
        <f t="shared" si="73"/>
        <v>OK</v>
      </c>
      <c r="DM63" s="153" t="str">
        <f t="shared" si="51"/>
        <v>OK</v>
      </c>
      <c r="DN63" s="153" t="str">
        <f t="shared" si="52"/>
        <v>OK</v>
      </c>
      <c r="DO63" s="153" t="str">
        <f t="shared" si="53"/>
        <v>OK</v>
      </c>
      <c r="DP63" s="153" t="str">
        <f t="shared" si="74"/>
        <v>OK</v>
      </c>
      <c r="DQ63" s="320" t="str">
        <f t="shared" si="75"/>
        <v>OK</v>
      </c>
      <c r="DR63" s="320" t="str">
        <f t="shared" si="75"/>
        <v>OK</v>
      </c>
      <c r="DS63" s="320" t="str">
        <f t="shared" si="75"/>
        <v>OK</v>
      </c>
      <c r="DT63" s="168" t="str">
        <f t="shared" si="54"/>
        <v>OK</v>
      </c>
      <c r="DU63" s="153" t="str">
        <f t="shared" si="76"/>
        <v>OK</v>
      </c>
      <c r="DV63" s="153" t="str">
        <f t="shared" si="55"/>
        <v>OK</v>
      </c>
      <c r="DW63" s="153" t="str">
        <f t="shared" si="77"/>
        <v>OK</v>
      </c>
      <c r="DX63" s="153" t="str">
        <f t="shared" si="56"/>
        <v>OK</v>
      </c>
      <c r="DY63" s="153" t="str">
        <f t="shared" si="57"/>
        <v>OK</v>
      </c>
      <c r="DZ63" s="153" t="str">
        <f t="shared" si="58"/>
        <v>OK</v>
      </c>
      <c r="EA63" s="201" t="str">
        <f t="shared" si="59"/>
        <v>OK</v>
      </c>
      <c r="EB63" s="168" t="str">
        <f t="shared" si="78"/>
        <v>OK</v>
      </c>
      <c r="EC63" s="157">
        <f t="shared" si="79"/>
        <v>0</v>
      </c>
      <c r="ED63" s="156" t="str">
        <f t="shared" si="80"/>
        <v>OK</v>
      </c>
    </row>
    <row r="64" spans="1:134" ht="17.5" hidden="1" x14ac:dyDescent="0.3">
      <c r="A64" s="232"/>
      <c r="B64" s="420" t="str">
        <f t="shared" si="0"/>
        <v>-</v>
      </c>
      <c r="C64" s="329">
        <v>39</v>
      </c>
      <c r="D64" s="589"/>
      <c r="E64" s="590"/>
      <c r="F64" s="591"/>
      <c r="G64" s="592"/>
      <c r="H64" s="769"/>
      <c r="I64" s="770"/>
      <c r="J64" s="593"/>
      <c r="K64" s="596"/>
      <c r="L64" s="597"/>
      <c r="M64" s="595"/>
      <c r="N64" s="596"/>
      <c r="O64" s="597"/>
      <c r="P64" s="501" t="str">
        <f t="shared" si="1"/>
        <v/>
      </c>
      <c r="Q64" s="501" t="str">
        <f t="shared" si="60"/>
        <v/>
      </c>
      <c r="R64" s="502" t="str">
        <f t="shared" si="2"/>
        <v/>
      </c>
      <c r="S64" s="422"/>
      <c r="T64" s="66" t="str">
        <f>IF(AND(ISNUMBER(L64),J64=FixedDim),MAX('Adjustment factors'!$S$16,0.2+0.8*L64),IF(ISTEXT(J64),VLOOKUP(J64,Afactors,2,TRUE),""))</f>
        <v/>
      </c>
      <c r="U64" s="204" t="str">
        <f>IF(AND(ISNUMBER(O64),M64=FixedDim),MAX('Adjustment factors'!$S$16,0.2+0.8*O64),IF(ISTEXT(M64),VLOOKUP(M64,Afactors,2,FALSE),""))</f>
        <v/>
      </c>
      <c r="V64" s="18" t="b">
        <f t="shared" si="61"/>
        <v>0</v>
      </c>
      <c r="W64" s="18" t="b">
        <f t="shared" si="3"/>
        <v>0</v>
      </c>
      <c r="X64" s="17" t="str">
        <f t="shared" si="4"/>
        <v/>
      </c>
      <c r="Y64" s="18" t="str">
        <f t="shared" si="5"/>
        <v/>
      </c>
      <c r="Z64" s="17" t="str">
        <f t="shared" si="6"/>
        <v/>
      </c>
      <c r="AA64" s="17" t="str">
        <f t="shared" si="7"/>
        <v/>
      </c>
      <c r="AB64" s="163" t="str">
        <f t="shared" si="8"/>
        <v/>
      </c>
      <c r="AC64" s="210">
        <f t="shared" si="9"/>
        <v>0</v>
      </c>
      <c r="AD64" s="211">
        <f t="shared" si="62"/>
        <v>0</v>
      </c>
      <c r="AE64" s="211">
        <f t="shared" si="10"/>
        <v>0</v>
      </c>
      <c r="AF64" s="211">
        <f t="shared" si="11"/>
        <v>0</v>
      </c>
      <c r="AG64" s="212">
        <f t="shared" si="12"/>
        <v>0</v>
      </c>
      <c r="AH64" s="210">
        <f t="shared" si="13"/>
        <v>0</v>
      </c>
      <c r="AI64" s="211">
        <f t="shared" si="63"/>
        <v>0</v>
      </c>
      <c r="AJ64" s="211">
        <f t="shared" si="14"/>
        <v>0</v>
      </c>
      <c r="AK64" s="211">
        <f t="shared" si="64"/>
        <v>0</v>
      </c>
      <c r="AL64" s="212">
        <f t="shared" si="15"/>
        <v>0</v>
      </c>
      <c r="AM64" s="210">
        <f t="shared" si="16"/>
        <v>0</v>
      </c>
      <c r="AN64" s="211">
        <f t="shared" si="65"/>
        <v>0</v>
      </c>
      <c r="AO64" s="211">
        <f t="shared" si="17"/>
        <v>0</v>
      </c>
      <c r="AP64" s="211">
        <f t="shared" si="66"/>
        <v>0</v>
      </c>
      <c r="AQ64" s="212">
        <f t="shared" si="18"/>
        <v>0</v>
      </c>
      <c r="AR64" s="218" t="b">
        <f t="shared" si="19"/>
        <v>1</v>
      </c>
      <c r="AS64" s="20" t="b">
        <f t="shared" si="20"/>
        <v>0</v>
      </c>
      <c r="AT64" s="20" t="b">
        <f t="shared" si="21"/>
        <v>0</v>
      </c>
      <c r="AU64" s="20" t="b">
        <f t="shared" si="22"/>
        <v>1</v>
      </c>
      <c r="AV64" s="20" t="str">
        <f t="shared" si="23"/>
        <v/>
      </c>
      <c r="AW64" s="20" t="b">
        <f t="shared" si="24"/>
        <v>0</v>
      </c>
      <c r="AX64" s="221" t="b">
        <f>IF(OR(COUNTBLANK(D64:I64)=6,AND(COUNTBLANK(D64:G64)=4,H64=0)),OR(AW65:AW$65),NOT(AW64))</f>
        <v>0</v>
      </c>
      <c r="AY64" s="20" t="b">
        <f t="shared" si="25"/>
        <v>1</v>
      </c>
      <c r="AZ64" s="20" t="b">
        <f t="shared" si="67"/>
        <v>0</v>
      </c>
      <c r="BA64" s="21">
        <f t="shared" si="26"/>
        <v>0</v>
      </c>
      <c r="BB64" s="21" t="str">
        <f t="shared" si="27"/>
        <v/>
      </c>
      <c r="BC64" s="235" t="str">
        <f t="shared" si="28"/>
        <v/>
      </c>
      <c r="BD64" s="236" t="str">
        <f t="shared" si="29"/>
        <v/>
      </c>
      <c r="BE64" s="67" t="str">
        <f t="shared" si="81"/>
        <v/>
      </c>
      <c r="BF64" s="195"/>
      <c r="BG64" s="67" t="str">
        <f t="shared" si="82"/>
        <v/>
      </c>
      <c r="BH64" s="202" t="str">
        <f t="shared" si="68"/>
        <v/>
      </c>
      <c r="BI64" s="781"/>
      <c r="BJ64" s="781"/>
      <c r="BK64" s="224" t="b">
        <f t="shared" si="69"/>
        <v>0</v>
      </c>
      <c r="BL64" s="225" t="b">
        <f t="shared" si="70"/>
        <v>0</v>
      </c>
      <c r="BM64" s="226" t="b">
        <f t="shared" si="30"/>
        <v>0</v>
      </c>
      <c r="BN64" s="224" t="b">
        <f t="shared" si="31"/>
        <v>0</v>
      </c>
      <c r="BO64" s="224" t="b">
        <f t="shared" si="32"/>
        <v>0</v>
      </c>
      <c r="BP64" s="225" t="b">
        <f t="shared" si="33"/>
        <v>0</v>
      </c>
      <c r="BQ64" s="226" t="b">
        <f t="shared" si="34"/>
        <v>0</v>
      </c>
      <c r="BR64" s="224" t="b">
        <f t="shared" si="35"/>
        <v>0</v>
      </c>
      <c r="BS64" s="225" t="b">
        <f t="shared" si="71"/>
        <v>0</v>
      </c>
      <c r="BT64" s="227" t="b">
        <f t="shared" si="36"/>
        <v>0</v>
      </c>
      <c r="BU64" s="228" t="b">
        <f t="shared" si="37"/>
        <v>0</v>
      </c>
      <c r="BV64" s="207" t="str">
        <f t="shared" si="38"/>
        <v/>
      </c>
      <c r="BX64" s="167" t="str">
        <f t="shared" si="39"/>
        <v>no data</v>
      </c>
      <c r="BZ64" s="50">
        <v>39</v>
      </c>
      <c r="CA64" s="50" t="str">
        <f t="shared" si="40"/>
        <v>-</v>
      </c>
      <c r="CC64"/>
      <c r="CE64" s="73"/>
      <c r="CF64" s="26"/>
      <c r="CG64" s="333"/>
      <c r="CH64" s="333"/>
      <c r="CI64" s="354">
        <f t="shared" si="41"/>
        <v>39</v>
      </c>
      <c r="CJ64" s="503">
        <f t="shared" si="42"/>
        <v>0</v>
      </c>
      <c r="CK64" s="503">
        <f t="shared" si="43"/>
        <v>0</v>
      </c>
      <c r="CL64" s="504" t="str">
        <f t="shared" si="44"/>
        <v/>
      </c>
      <c r="CM64" s="505" t="str">
        <f>IF(AZ64,IF(ISNUMBER(L64),MAX('Adjustment factors'!$S$16,0.2+0.8*L64),IF(ISTEXT(J64),VLOOKUP(J64,Afactors,2,FALSE),"")),"")</f>
        <v/>
      </c>
      <c r="CN64" s="505" t="str">
        <f>IF(AZ64,IF(ISNUMBER(O64),MAX('Adjustment factors'!$S$16,0.2+0.8*O64),IF(ISTEXT(M64),VLOOKUP(M64,Afactors,2,FALSE),"")),"")</f>
        <v/>
      </c>
      <c r="CO64" s="506" t="str">
        <f t="shared" si="72"/>
        <v/>
      </c>
      <c r="CP64" s="340"/>
      <c r="CQ64" s="340"/>
      <c r="CR64" s="340"/>
      <c r="CS64" s="340"/>
      <c r="CT64" s="333"/>
      <c r="CU64" s="333"/>
      <c r="CV64" s="333"/>
      <c r="CW64" s="333"/>
      <c r="CX64" s="333"/>
      <c r="CY64" s="333"/>
      <c r="CZ64" s="333"/>
      <c r="DA64" s="333"/>
      <c r="DB64" s="333"/>
      <c r="DC64" s="333"/>
      <c r="DD64" s="333"/>
      <c r="DF64" s="167" t="str">
        <f t="shared" si="45"/>
        <v>OK</v>
      </c>
      <c r="DG64" s="167" t="str">
        <f t="shared" si="46"/>
        <v>OK</v>
      </c>
      <c r="DH64" s="167" t="str">
        <f t="shared" si="47"/>
        <v>OK</v>
      </c>
      <c r="DI64" s="167" t="str">
        <f t="shared" si="48"/>
        <v>OK</v>
      </c>
      <c r="DJ64" s="168" t="str">
        <f t="shared" si="49"/>
        <v>OK</v>
      </c>
      <c r="DK64" s="153" t="str">
        <f t="shared" si="50"/>
        <v>OK</v>
      </c>
      <c r="DL64" s="153" t="str">
        <f t="shared" si="73"/>
        <v>OK</v>
      </c>
      <c r="DM64" s="153" t="str">
        <f t="shared" si="51"/>
        <v>OK</v>
      </c>
      <c r="DN64" s="153" t="str">
        <f t="shared" si="52"/>
        <v>OK</v>
      </c>
      <c r="DO64" s="153" t="str">
        <f t="shared" si="53"/>
        <v>OK</v>
      </c>
      <c r="DP64" s="153" t="str">
        <f t="shared" si="74"/>
        <v>OK</v>
      </c>
      <c r="DQ64" s="320" t="str">
        <f t="shared" si="75"/>
        <v>OK</v>
      </c>
      <c r="DR64" s="320" t="str">
        <f t="shared" si="75"/>
        <v>OK</v>
      </c>
      <c r="DS64" s="320" t="str">
        <f t="shared" si="75"/>
        <v>OK</v>
      </c>
      <c r="DT64" s="168" t="str">
        <f t="shared" si="54"/>
        <v>OK</v>
      </c>
      <c r="DU64" s="153" t="str">
        <f t="shared" si="76"/>
        <v>OK</v>
      </c>
      <c r="DV64" s="153" t="str">
        <f t="shared" si="55"/>
        <v>OK</v>
      </c>
      <c r="DW64" s="153" t="str">
        <f t="shared" si="77"/>
        <v>OK</v>
      </c>
      <c r="DX64" s="153" t="str">
        <f t="shared" si="56"/>
        <v>OK</v>
      </c>
      <c r="DY64" s="153" t="str">
        <f t="shared" si="57"/>
        <v>OK</v>
      </c>
      <c r="DZ64" s="153" t="str">
        <f t="shared" si="58"/>
        <v>OK</v>
      </c>
      <c r="EA64" s="201" t="str">
        <f t="shared" si="59"/>
        <v>OK</v>
      </c>
      <c r="EB64" s="168" t="str">
        <f t="shared" si="78"/>
        <v>OK</v>
      </c>
      <c r="EC64" s="157">
        <f t="shared" si="79"/>
        <v>0</v>
      </c>
      <c r="ED64" s="156" t="str">
        <f t="shared" si="80"/>
        <v>OK</v>
      </c>
    </row>
    <row r="65" spans="1:134" ht="17.5" hidden="1" x14ac:dyDescent="0.3">
      <c r="A65" s="232"/>
      <c r="B65" s="421" t="str">
        <f t="shared" si="0"/>
        <v>-</v>
      </c>
      <c r="C65" s="329">
        <v>40</v>
      </c>
      <c r="D65" s="589"/>
      <c r="E65" s="590"/>
      <c r="F65" s="591"/>
      <c r="G65" s="592"/>
      <c r="H65" s="769"/>
      <c r="I65" s="770"/>
      <c r="J65" s="593"/>
      <c r="K65" s="596"/>
      <c r="L65" s="597"/>
      <c r="M65" s="595"/>
      <c r="N65" s="596"/>
      <c r="O65" s="597"/>
      <c r="P65" s="501" t="str">
        <f t="shared" si="1"/>
        <v/>
      </c>
      <c r="Q65" s="501" t="str">
        <f t="shared" si="60"/>
        <v/>
      </c>
      <c r="R65" s="502" t="str">
        <f t="shared" si="2"/>
        <v/>
      </c>
      <c r="S65" s="422"/>
      <c r="T65" s="66" t="str">
        <f>IF(AND(ISNUMBER(L65),J65=FixedDim),MAX('Adjustment factors'!$S$16,0.2+0.8*L65),IF(ISTEXT(J65),VLOOKUP(J65,Afactors,2,TRUE),""))</f>
        <v/>
      </c>
      <c r="U65" s="204" t="str">
        <f>IF(AND(ISNUMBER(O65),M65=FixedDim),MAX('Adjustment factors'!$S$16,0.2+0.8*O65),IF(ISTEXT(M65),VLOOKUP(M65,Afactors,2,FALSE),""))</f>
        <v/>
      </c>
      <c r="V65" s="18" t="b">
        <f t="shared" si="61"/>
        <v>0</v>
      </c>
      <c r="W65" s="18" t="b">
        <f t="shared" si="3"/>
        <v>0</v>
      </c>
      <c r="X65" s="17" t="str">
        <f t="shared" si="4"/>
        <v/>
      </c>
      <c r="Y65" s="18" t="str">
        <f t="shared" si="5"/>
        <v/>
      </c>
      <c r="Z65" s="17" t="str">
        <f t="shared" si="6"/>
        <v/>
      </c>
      <c r="AA65" s="17" t="str">
        <f t="shared" si="7"/>
        <v/>
      </c>
      <c r="AB65" s="163" t="str">
        <f t="shared" si="8"/>
        <v/>
      </c>
      <c r="AC65" s="210">
        <f t="shared" si="9"/>
        <v>0</v>
      </c>
      <c r="AD65" s="211">
        <f t="shared" si="62"/>
        <v>0</v>
      </c>
      <c r="AE65" s="211">
        <f t="shared" si="10"/>
        <v>0</v>
      </c>
      <c r="AF65" s="211">
        <f t="shared" si="11"/>
        <v>0</v>
      </c>
      <c r="AG65" s="212">
        <f t="shared" si="12"/>
        <v>0</v>
      </c>
      <c r="AH65" s="210">
        <f t="shared" si="13"/>
        <v>0</v>
      </c>
      <c r="AI65" s="211">
        <f t="shared" si="63"/>
        <v>0</v>
      </c>
      <c r="AJ65" s="211">
        <f t="shared" si="14"/>
        <v>0</v>
      </c>
      <c r="AK65" s="211">
        <f t="shared" si="64"/>
        <v>0</v>
      </c>
      <c r="AL65" s="212">
        <f t="shared" si="15"/>
        <v>0</v>
      </c>
      <c r="AM65" s="210">
        <f t="shared" si="16"/>
        <v>0</v>
      </c>
      <c r="AN65" s="211">
        <f t="shared" si="65"/>
        <v>0</v>
      </c>
      <c r="AO65" s="211">
        <f t="shared" si="17"/>
        <v>0</v>
      </c>
      <c r="AP65" s="211">
        <f t="shared" si="66"/>
        <v>0</v>
      </c>
      <c r="AQ65" s="212">
        <f t="shared" si="18"/>
        <v>0</v>
      </c>
      <c r="AR65" s="218" t="b">
        <f t="shared" si="19"/>
        <v>1</v>
      </c>
      <c r="AS65" s="20" t="b">
        <f t="shared" si="20"/>
        <v>0</v>
      </c>
      <c r="AT65" s="20" t="b">
        <f t="shared" si="21"/>
        <v>0</v>
      </c>
      <c r="AU65" s="20" t="b">
        <f t="shared" si="22"/>
        <v>1</v>
      </c>
      <c r="AV65" s="20" t="str">
        <f t="shared" si="23"/>
        <v/>
      </c>
      <c r="AW65" s="20" t="b">
        <f t="shared" si="24"/>
        <v>0</v>
      </c>
      <c r="AX65" s="221" t="b">
        <f>IF(OR(COUNTBLANK(D65:I65)=6,AND(COUNTBLANK(D65:G65)=4,H65=0)),OR(AW$65:AW67),NOT(AW65))</f>
        <v>0</v>
      </c>
      <c r="AY65" s="20" t="b">
        <f t="shared" si="25"/>
        <v>1</v>
      </c>
      <c r="AZ65" s="20" t="b">
        <f t="shared" si="67"/>
        <v>0</v>
      </c>
      <c r="BA65" s="21">
        <f t="shared" si="26"/>
        <v>0</v>
      </c>
      <c r="BB65" s="21" t="str">
        <f t="shared" si="27"/>
        <v/>
      </c>
      <c r="BC65" s="235" t="str">
        <f t="shared" si="28"/>
        <v/>
      </c>
      <c r="BD65" s="236" t="str">
        <f t="shared" si="29"/>
        <v/>
      </c>
      <c r="BE65" s="67" t="str">
        <f t="shared" si="81"/>
        <v/>
      </c>
      <c r="BF65" s="195"/>
      <c r="BG65" s="67" t="str">
        <f t="shared" si="82"/>
        <v/>
      </c>
      <c r="BH65" s="202" t="str">
        <f t="shared" si="68"/>
        <v/>
      </c>
      <c r="BI65" s="782"/>
      <c r="BJ65" s="782"/>
      <c r="BK65" s="224" t="b">
        <f t="shared" si="69"/>
        <v>0</v>
      </c>
      <c r="BL65" s="225" t="b">
        <f t="shared" si="70"/>
        <v>0</v>
      </c>
      <c r="BM65" s="226" t="b">
        <f t="shared" si="30"/>
        <v>0</v>
      </c>
      <c r="BN65" s="224" t="b">
        <f t="shared" si="31"/>
        <v>0</v>
      </c>
      <c r="BO65" s="224" t="b">
        <f t="shared" si="32"/>
        <v>0</v>
      </c>
      <c r="BP65" s="225" t="b">
        <f t="shared" si="33"/>
        <v>0</v>
      </c>
      <c r="BQ65" s="226" t="b">
        <f t="shared" si="34"/>
        <v>0</v>
      </c>
      <c r="BR65" s="224" t="b">
        <f t="shared" si="35"/>
        <v>0</v>
      </c>
      <c r="BS65" s="225" t="b">
        <f t="shared" si="71"/>
        <v>0</v>
      </c>
      <c r="BT65" s="227" t="b">
        <f t="shared" si="36"/>
        <v>0</v>
      </c>
      <c r="BU65" s="228" t="b">
        <f t="shared" si="37"/>
        <v>0</v>
      </c>
      <c r="BV65" s="207" t="str">
        <f t="shared" si="38"/>
        <v/>
      </c>
      <c r="BX65" s="167" t="str">
        <f t="shared" si="39"/>
        <v>no data</v>
      </c>
      <c r="BZ65" s="50">
        <v>40</v>
      </c>
      <c r="CA65" s="50" t="str">
        <f t="shared" si="40"/>
        <v>-</v>
      </c>
      <c r="CC65"/>
      <c r="CE65" s="73"/>
      <c r="CF65" s="26"/>
      <c r="CG65" s="333"/>
      <c r="CH65" s="333"/>
      <c r="CI65" s="354">
        <f t="shared" si="41"/>
        <v>40</v>
      </c>
      <c r="CJ65" s="503">
        <f t="shared" si="42"/>
        <v>0</v>
      </c>
      <c r="CK65" s="503">
        <f t="shared" si="43"/>
        <v>0</v>
      </c>
      <c r="CL65" s="504" t="str">
        <f t="shared" si="44"/>
        <v/>
      </c>
      <c r="CM65" s="505" t="str">
        <f>IF(AZ65,IF(ISNUMBER(L65),MAX('Adjustment factors'!$S$16,0.2+0.8*L65),IF(ISTEXT(J65),VLOOKUP(J65,Afactors,2,FALSE),"")),"")</f>
        <v/>
      </c>
      <c r="CN65" s="505" t="str">
        <f>IF(AZ65,IF(ISNUMBER(O65),MAX('Adjustment factors'!$S$16,0.2+0.8*O65),IF(ISTEXT(M65),VLOOKUP(M65,Afactors,2,FALSE),"")),"")</f>
        <v/>
      </c>
      <c r="CO65" s="506" t="str">
        <f t="shared" si="72"/>
        <v/>
      </c>
      <c r="CP65" s="340"/>
      <c r="CQ65" s="340"/>
      <c r="CR65" s="340"/>
      <c r="CS65" s="340"/>
      <c r="CT65" s="333"/>
      <c r="CU65" s="333"/>
      <c r="CV65" s="333"/>
      <c r="CW65" s="333"/>
      <c r="CX65" s="333"/>
      <c r="CY65" s="333"/>
      <c r="CZ65" s="333"/>
      <c r="DA65" s="333"/>
      <c r="DB65" s="333"/>
      <c r="DC65" s="333"/>
      <c r="DD65" s="333"/>
      <c r="DF65" s="167" t="str">
        <f t="shared" si="45"/>
        <v>OK</v>
      </c>
      <c r="DG65" s="167" t="str">
        <f t="shared" si="46"/>
        <v>OK</v>
      </c>
      <c r="DH65" s="167" t="str">
        <f t="shared" si="47"/>
        <v>OK</v>
      </c>
      <c r="DI65" s="167" t="str">
        <f t="shared" si="48"/>
        <v>OK</v>
      </c>
      <c r="DJ65" s="168" t="str">
        <f t="shared" si="49"/>
        <v>OK</v>
      </c>
      <c r="DK65" s="153" t="str">
        <f t="shared" si="50"/>
        <v>OK</v>
      </c>
      <c r="DL65" s="153" t="str">
        <f t="shared" si="73"/>
        <v>OK</v>
      </c>
      <c r="DM65" s="153" t="str">
        <f t="shared" si="51"/>
        <v>OK</v>
      </c>
      <c r="DN65" s="153" t="str">
        <f t="shared" si="52"/>
        <v>OK</v>
      </c>
      <c r="DO65" s="153" t="str">
        <f t="shared" si="53"/>
        <v>OK</v>
      </c>
      <c r="DP65" s="153" t="str">
        <f t="shared" si="74"/>
        <v>OK</v>
      </c>
      <c r="DQ65" s="320" t="str">
        <f t="shared" si="75"/>
        <v>OK</v>
      </c>
      <c r="DR65" s="320" t="str">
        <f t="shared" si="75"/>
        <v>OK</v>
      </c>
      <c r="DS65" s="320" t="str">
        <f t="shared" si="75"/>
        <v>OK</v>
      </c>
      <c r="DT65" s="168" t="str">
        <f t="shared" si="54"/>
        <v>OK</v>
      </c>
      <c r="DU65" s="153" t="str">
        <f t="shared" si="76"/>
        <v>OK</v>
      </c>
      <c r="DV65" s="153" t="str">
        <f t="shared" si="55"/>
        <v>OK</v>
      </c>
      <c r="DW65" s="153" t="str">
        <f t="shared" si="77"/>
        <v>OK</v>
      </c>
      <c r="DX65" s="153" t="str">
        <f t="shared" si="56"/>
        <v>OK</v>
      </c>
      <c r="DY65" s="153" t="str">
        <f t="shared" si="57"/>
        <v>OK</v>
      </c>
      <c r="DZ65" s="153" t="str">
        <f t="shared" si="58"/>
        <v>OK</v>
      </c>
      <c r="EA65" s="201" t="str">
        <f t="shared" si="59"/>
        <v>OK</v>
      </c>
      <c r="EB65" s="168" t="str">
        <f t="shared" si="78"/>
        <v>OK</v>
      </c>
      <c r="EC65" s="157">
        <f t="shared" si="79"/>
        <v>0</v>
      </c>
      <c r="ED65" s="156" t="str">
        <f t="shared" si="80"/>
        <v>OK</v>
      </c>
    </row>
    <row r="66" spans="1:134" ht="17.5" x14ac:dyDescent="0.35">
      <c r="A66" s="232"/>
      <c r="B66" s="512"/>
      <c r="C66" s="512"/>
      <c r="D66" s="512"/>
      <c r="E66" s="512"/>
      <c r="F66" s="512"/>
      <c r="G66" s="512"/>
      <c r="H66" s="512"/>
      <c r="I66" s="512"/>
      <c r="J66" s="512"/>
      <c r="K66" s="512"/>
      <c r="L66" s="512"/>
      <c r="M66" s="512"/>
      <c r="N66" s="512"/>
      <c r="O66" s="512"/>
      <c r="P66" s="512"/>
      <c r="Q66" s="512"/>
      <c r="R66" s="512"/>
      <c r="S66" s="423"/>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239"/>
      <c r="AR66" s="218" t="b">
        <f t="shared" si="19"/>
        <v>1</v>
      </c>
      <c r="AS66" s="239"/>
      <c r="AT66" s="20" t="b">
        <f t="shared" si="21"/>
        <v>0</v>
      </c>
      <c r="AU66" s="20" t="b">
        <f t="shared" si="22"/>
        <v>1</v>
      </c>
      <c r="AV66" s="20" t="str">
        <f t="shared" si="23"/>
        <v/>
      </c>
      <c r="AW66" s="239"/>
      <c r="AX66" s="239"/>
      <c r="AY66" s="239"/>
      <c r="AZ66" s="239"/>
      <c r="BA66" s="239"/>
      <c r="BB66" s="239"/>
      <c r="BC66" s="239"/>
      <c r="BD66" s="239"/>
      <c r="BE66" s="277"/>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73"/>
      <c r="CF66" s="60"/>
      <c r="CG66" s="340"/>
      <c r="CH66" s="423"/>
      <c r="CI66" s="423"/>
      <c r="CJ66" s="423"/>
      <c r="CK66" s="423"/>
      <c r="CL66" s="423"/>
      <c r="CM66" s="423"/>
      <c r="CN66" s="423"/>
      <c r="CO66" s="423"/>
      <c r="CP66" s="423"/>
      <c r="CQ66" s="340"/>
      <c r="CR66" s="340"/>
      <c r="CS66" s="340"/>
      <c r="CT66" s="333"/>
      <c r="CU66" s="333"/>
      <c r="CV66" s="333"/>
      <c r="CW66" s="333"/>
      <c r="CX66" s="333"/>
      <c r="CY66" s="333"/>
      <c r="CZ66" s="333"/>
      <c r="DA66" s="333"/>
      <c r="DB66" s="333"/>
      <c r="DC66" s="333"/>
      <c r="DD66" s="333"/>
      <c r="DE66" s="239"/>
      <c r="DF66" s="239"/>
      <c r="DG66" s="239"/>
      <c r="DH66" s="239"/>
      <c r="DI66" s="239"/>
      <c r="DJ66" s="239"/>
      <c r="DK66" s="239"/>
      <c r="DL66" s="239"/>
      <c r="DM66" s="239"/>
      <c r="DN66" s="153"/>
      <c r="DO66" s="239"/>
      <c r="DP66" s="239"/>
      <c r="DQ66" s="239"/>
      <c r="DR66" s="239"/>
      <c r="DS66" s="239"/>
      <c r="DT66" s="239"/>
      <c r="DU66" s="239"/>
      <c r="DV66" s="239"/>
      <c r="DW66" s="239"/>
      <c r="DX66" s="239"/>
      <c r="DY66" s="239"/>
      <c r="DZ66" s="239"/>
      <c r="EA66" s="239"/>
      <c r="EB66" s="239"/>
      <c r="EC66" s="239"/>
      <c r="ED66" s="239"/>
    </row>
    <row r="67" spans="1:134" ht="20.5" thickBot="1" x14ac:dyDescent="0.4">
      <c r="A67" s="26"/>
      <c r="B67" s="512"/>
      <c r="C67" s="513"/>
      <c r="D67" s="514"/>
      <c r="E67" s="514"/>
      <c r="F67" s="514"/>
      <c r="G67" s="515"/>
      <c r="H67" s="516"/>
      <c r="I67" s="514"/>
      <c r="J67" s="516"/>
      <c r="K67" s="516"/>
      <c r="L67" s="517"/>
      <c r="M67" s="516"/>
      <c r="N67" s="516"/>
      <c r="O67" s="517"/>
      <c r="P67" s="518" t="str">
        <f>IFERROR(IF(I110,"Allowance",""),"")</f>
        <v/>
      </c>
      <c r="Q67" s="519" t="str">
        <f>IFERROR(IF(I110,"Design Average",""),"")</f>
        <v/>
      </c>
      <c r="R67" s="520"/>
      <c r="S67" s="422"/>
      <c r="T67" s="7"/>
      <c r="U67" s="7"/>
      <c r="V67" s="7"/>
      <c r="W67" s="7"/>
      <c r="X67" s="7"/>
      <c r="Y67" s="7"/>
      <c r="Z67" s="55"/>
      <c r="AA67" s="55"/>
      <c r="AB67" s="55"/>
      <c r="AC67" s="209" t="s">
        <v>186</v>
      </c>
      <c r="AD67" s="209" t="s">
        <v>187</v>
      </c>
      <c r="AE67" s="209" t="s">
        <v>150</v>
      </c>
      <c r="AF67" s="209" t="s">
        <v>224</v>
      </c>
      <c r="AG67" s="110"/>
      <c r="AH67" s="209" t="s">
        <v>186</v>
      </c>
      <c r="AI67" s="209" t="s">
        <v>187</v>
      </c>
      <c r="AJ67" s="209" t="s">
        <v>150</v>
      </c>
      <c r="AK67" s="209" t="s">
        <v>224</v>
      </c>
      <c r="AL67" s="240" t="s">
        <v>184</v>
      </c>
      <c r="AM67" s="209" t="s">
        <v>186</v>
      </c>
      <c r="AN67" s="209" t="s">
        <v>187</v>
      </c>
      <c r="AO67" s="209" t="s">
        <v>150</v>
      </c>
      <c r="AP67" s="209" t="s">
        <v>224</v>
      </c>
      <c r="AQ67" s="240" t="s">
        <v>184</v>
      </c>
      <c r="AR67" s="6"/>
      <c r="AS67" s="11"/>
      <c r="AT67" s="11"/>
      <c r="AU67" s="11"/>
      <c r="AV67" s="11"/>
      <c r="AW67" s="11"/>
      <c r="AX67" s="11"/>
      <c r="AY67" s="11"/>
      <c r="AZ67" s="11"/>
      <c r="BA67" s="52"/>
      <c r="BB67" s="52"/>
      <c r="BC67" s="52"/>
      <c r="BD67" s="52"/>
      <c r="BE67" s="278"/>
      <c r="BF67" s="52"/>
      <c r="BG67" s="52"/>
      <c r="BH67" s="52"/>
      <c r="BI67" s="52"/>
      <c r="BJ67" s="52"/>
      <c r="BK67" s="52"/>
      <c r="BL67" s="52"/>
      <c r="BM67" s="52"/>
      <c r="BN67" s="52"/>
      <c r="BO67" s="52"/>
      <c r="BP67" s="52"/>
      <c r="BQ67" s="52"/>
      <c r="BR67" s="52"/>
      <c r="BS67" s="52"/>
      <c r="BT67" s="51"/>
      <c r="BU67" s="51"/>
      <c r="BV67" s="6"/>
      <c r="BZ67" s="56"/>
      <c r="CA67" s="56"/>
      <c r="CC67"/>
      <c r="CD67" s="59"/>
      <c r="CE67" s="73"/>
      <c r="CF67" s="26"/>
      <c r="CG67" s="333"/>
      <c r="CH67" s="333"/>
      <c r="CI67" s="333"/>
      <c r="CJ67" s="333"/>
      <c r="CK67" s="495"/>
      <c r="CL67" s="507"/>
      <c r="CM67" s="500"/>
      <c r="CN67" s="500"/>
      <c r="CO67" s="507"/>
      <c r="CP67" s="500"/>
      <c r="CQ67" s="340"/>
      <c r="CR67" s="340"/>
      <c r="CS67" s="340"/>
      <c r="CT67" s="333"/>
      <c r="CU67" s="333"/>
      <c r="CV67" s="333"/>
      <c r="CW67" s="333"/>
      <c r="CX67" s="333"/>
      <c r="CY67" s="333"/>
      <c r="CZ67" s="333"/>
      <c r="DA67" s="333"/>
      <c r="DB67" s="333"/>
      <c r="DC67" s="333"/>
      <c r="DD67" s="333"/>
    </row>
    <row r="68" spans="1:134" ht="20" customHeight="1" thickBot="1" x14ac:dyDescent="0.45">
      <c r="A68" s="26"/>
      <c r="B68" s="512"/>
      <c r="C68" s="513"/>
      <c r="D68" s="514"/>
      <c r="E68" s="514"/>
      <c r="F68" s="521">
        <f>SUM(F26:F65)</f>
        <v>0</v>
      </c>
      <c r="G68" s="522" t="str">
        <f>IF(COUNTA(G26:G65)=0,"",SUM(G26:G65))</f>
        <v/>
      </c>
      <c r="H68" s="516"/>
      <c r="I68" s="514"/>
      <c r="J68" s="516"/>
      <c r="K68" s="516"/>
      <c r="L68" s="765" t="str">
        <f>S96</f>
        <v/>
      </c>
      <c r="M68" s="765"/>
      <c r="N68" s="765"/>
      <c r="O68" s="765"/>
      <c r="P68" s="523" t="str">
        <f>IF(AC68&gt;0,S101,"")</f>
        <v/>
      </c>
      <c r="Q68" s="524" t="str">
        <f>IF(AND(I110,OR(ClassificationTwo=Class2,ClassificationTwo=Class4)),T101,"")</f>
        <v/>
      </c>
      <c r="R68" s="525"/>
      <c r="S68" s="422"/>
      <c r="T68" s="7"/>
      <c r="U68" s="7"/>
      <c r="V68" s="7"/>
      <c r="W68" s="7"/>
      <c r="X68" s="7"/>
      <c r="Y68" s="7"/>
      <c r="Z68" s="55"/>
      <c r="AA68" s="55"/>
      <c r="AB68" s="55"/>
      <c r="AC68" s="55">
        <f>SUM(AC26:AC65)</f>
        <v>0</v>
      </c>
      <c r="AD68" s="55">
        <f>SUM(AD26:AD65)</f>
        <v>0</v>
      </c>
      <c r="AE68" s="55" t="e">
        <f>AF68/AC68</f>
        <v>#DIV/0!</v>
      </c>
      <c r="AF68" s="55">
        <f>SUM(AF26:AF65)</f>
        <v>0</v>
      </c>
      <c r="AG68" s="111">
        <f>COUNT(AG26:AG65)</f>
        <v>40</v>
      </c>
      <c r="AH68" s="55">
        <f>SUM(AH26:AH65)</f>
        <v>0</v>
      </c>
      <c r="AI68" s="55">
        <f>SUM(AI26:AI65)</f>
        <v>0</v>
      </c>
      <c r="AJ68" s="55" t="e">
        <f>AK68/AH68</f>
        <v>#DIV/0!</v>
      </c>
      <c r="AK68" s="55">
        <f>SUM(AK26:AK65)</f>
        <v>0</v>
      </c>
      <c r="AL68" s="111">
        <f>COUNT(AL26:AL65)</f>
        <v>40</v>
      </c>
      <c r="AM68" s="55">
        <f>SUM(AM26:AM65)</f>
        <v>0</v>
      </c>
      <c r="AN68" s="55">
        <f>SUM(AN26:AN65)</f>
        <v>0</v>
      </c>
      <c r="AO68" s="55" t="e">
        <f>AP68/AM68</f>
        <v>#DIV/0!</v>
      </c>
      <c r="AP68" s="55">
        <f>SUM(AP26:AP65)</f>
        <v>0</v>
      </c>
      <c r="AQ68" s="55">
        <f>COUNT(AQ26:AQ65)</f>
        <v>40</v>
      </c>
      <c r="AR68" s="6"/>
      <c r="AS68" s="11"/>
      <c r="AT68" s="11"/>
      <c r="AU68" s="11"/>
      <c r="AV68" s="11"/>
      <c r="AW68" s="11"/>
      <c r="AX68" s="11"/>
      <c r="AY68" s="11"/>
      <c r="AZ68" s="11"/>
      <c r="BA68" s="52"/>
      <c r="BB68" s="52"/>
      <c r="BC68" s="52"/>
      <c r="BD68" s="52"/>
      <c r="BE68" s="278"/>
      <c r="BF68" s="52"/>
      <c r="BG68" s="52"/>
      <c r="BH68" s="52"/>
      <c r="BI68" s="52"/>
      <c r="BJ68" s="52"/>
      <c r="BK68" s="52"/>
      <c r="BL68" s="52"/>
      <c r="BM68" s="52"/>
      <c r="BN68" s="52"/>
      <c r="BO68" s="52"/>
      <c r="BP68" s="52"/>
      <c r="BQ68" s="52"/>
      <c r="BR68" s="52"/>
      <c r="BS68" s="52"/>
      <c r="BT68" s="51"/>
      <c r="BU68" s="51"/>
      <c r="BV68" s="6"/>
      <c r="BX68" s="198">
        <f>SUM(BX26:BX65)</f>
        <v>0</v>
      </c>
      <c r="BZ68" s="56"/>
      <c r="CA68" s="56"/>
      <c r="CC68"/>
      <c r="CD68" s="75"/>
      <c r="CE68" s="73"/>
      <c r="CF68" s="26"/>
      <c r="CG68" s="333"/>
      <c r="CH68" s="333"/>
      <c r="CI68" s="333"/>
      <c r="CJ68" s="333"/>
      <c r="CK68" s="729" t="s">
        <v>150</v>
      </c>
      <c r="CL68" s="662" t="str">
        <f>IF(AZ26,AVERAGE(CL26:CL65),"")</f>
        <v/>
      </c>
      <c r="CM68" s="663"/>
      <c r="CN68" s="729" t="s">
        <v>150</v>
      </c>
      <c r="CO68" s="664" t="str">
        <f>IF(AZ26,AVERAGE(CO26:CO65),"")</f>
        <v/>
      </c>
      <c r="CP68" s="500"/>
      <c r="CQ68" s="340"/>
      <c r="CR68" s="340"/>
      <c r="CS68" s="340"/>
      <c r="CT68" s="333"/>
      <c r="CU68" s="333"/>
      <c r="CV68" s="333"/>
      <c r="CW68" s="333"/>
      <c r="CX68" s="333"/>
      <c r="CY68" s="333"/>
      <c r="CZ68" s="333"/>
      <c r="DA68" s="333"/>
      <c r="DB68" s="333"/>
      <c r="DC68" s="333"/>
      <c r="DD68" s="333"/>
    </row>
    <row r="69" spans="1:134" ht="15" customHeight="1" x14ac:dyDescent="0.35">
      <c r="A69" s="26"/>
      <c r="B69" s="512"/>
      <c r="C69" s="513"/>
      <c r="D69" s="514"/>
      <c r="E69" s="514"/>
      <c r="F69" s="526"/>
      <c r="G69" s="527"/>
      <c r="H69" s="516"/>
      <c r="I69" s="514"/>
      <c r="J69" s="516"/>
      <c r="K69" s="516"/>
      <c r="L69" s="765" t="str">
        <f>S97</f>
        <v/>
      </c>
      <c r="M69" s="765"/>
      <c r="N69" s="765"/>
      <c r="O69" s="765"/>
      <c r="P69" s="523" t="str">
        <f>IF(AH68&gt;0,S103,"")</f>
        <v/>
      </c>
      <c r="Q69" s="524" t="str">
        <f>IF(AND(I110,OR(ClassificationTwo=Class2,ClassificationTwo=Class4)),T103,"")</f>
        <v/>
      </c>
      <c r="R69" s="525"/>
      <c r="S69" s="422"/>
      <c r="T69" s="7"/>
      <c r="U69" s="7"/>
      <c r="V69" s="7"/>
      <c r="W69" s="7"/>
      <c r="X69" s="7"/>
      <c r="Y69" s="7"/>
      <c r="Z69" s="55"/>
      <c r="AA69" s="55"/>
      <c r="AB69" s="55"/>
      <c r="AC69" s="55"/>
      <c r="AD69" s="55"/>
      <c r="AE69" s="55"/>
      <c r="AF69" s="55"/>
      <c r="AG69" s="55"/>
      <c r="AH69" s="55"/>
      <c r="AI69" s="55"/>
      <c r="AJ69" s="55"/>
      <c r="AK69" s="55"/>
      <c r="AL69" s="55"/>
      <c r="AM69" s="55"/>
      <c r="AN69" s="55"/>
      <c r="AO69" s="55"/>
      <c r="AP69" s="55"/>
      <c r="AQ69" s="112"/>
      <c r="AR69" s="6"/>
      <c r="AS69" s="11"/>
      <c r="AT69" s="11"/>
      <c r="AU69" s="11"/>
      <c r="AV69" s="11"/>
      <c r="AW69" s="11"/>
      <c r="AX69" s="11"/>
      <c r="AY69" s="11"/>
      <c r="AZ69" s="11"/>
      <c r="BA69" s="52"/>
      <c r="BB69" s="52"/>
      <c r="BC69" s="52"/>
      <c r="BD69" s="52"/>
      <c r="BE69" s="278"/>
      <c r="BF69" s="52"/>
      <c r="BG69" s="52"/>
      <c r="BH69" s="52"/>
      <c r="BI69" s="52"/>
      <c r="BJ69" s="52"/>
      <c r="BK69" s="52"/>
      <c r="BL69" s="52"/>
      <c r="BM69" s="52"/>
      <c r="BN69" s="52"/>
      <c r="BO69" s="52"/>
      <c r="BP69" s="52"/>
      <c r="BQ69" s="52"/>
      <c r="BR69" s="52"/>
      <c r="BS69" s="52"/>
      <c r="BT69" s="51"/>
      <c r="BU69" s="51"/>
      <c r="BV69" s="6"/>
      <c r="BX69" s="167" t="str">
        <f>IF(ISNA(BX68),"Invalid Location data is present","OK")</f>
        <v>OK</v>
      </c>
      <c r="BZ69" s="56"/>
      <c r="CA69" s="56"/>
      <c r="CC69"/>
      <c r="CD69" s="75"/>
      <c r="CE69" s="73"/>
      <c r="CF69" s="26"/>
      <c r="CG69" s="333"/>
      <c r="CH69" s="333"/>
      <c r="CI69" s="333"/>
      <c r="CJ69" s="333"/>
      <c r="CK69" s="508"/>
      <c r="CL69" s="509"/>
      <c r="CM69" s="500"/>
      <c r="CN69" s="510"/>
      <c r="CO69" s="511"/>
      <c r="CP69" s="500"/>
      <c r="CQ69" s="340"/>
      <c r="CR69" s="340"/>
      <c r="CS69" s="340"/>
      <c r="CT69" s="333"/>
      <c r="CU69" s="333"/>
      <c r="CV69" s="333"/>
      <c r="CW69" s="333"/>
      <c r="CX69" s="333"/>
      <c r="CY69" s="333"/>
      <c r="CZ69" s="333"/>
      <c r="DA69" s="333"/>
      <c r="DB69" s="333"/>
      <c r="DC69" s="333"/>
      <c r="DD69" s="333"/>
    </row>
    <row r="70" spans="1:134" ht="15" customHeight="1" x14ac:dyDescent="0.35">
      <c r="A70" s="26"/>
      <c r="B70" s="512"/>
      <c r="C70" s="513"/>
      <c r="D70" s="514"/>
      <c r="E70" s="514"/>
      <c r="F70" s="526"/>
      <c r="G70" s="527"/>
      <c r="H70" s="516"/>
      <c r="I70" s="514"/>
      <c r="J70" s="516"/>
      <c r="K70" s="516"/>
      <c r="L70" s="765" t="str">
        <f>S98</f>
        <v/>
      </c>
      <c r="M70" s="765"/>
      <c r="N70" s="765"/>
      <c r="O70" s="765"/>
      <c r="P70" s="523" t="str">
        <f>IF(AM68&gt;0,S104,"")</f>
        <v/>
      </c>
      <c r="Q70" s="524" t="str">
        <f>""</f>
        <v/>
      </c>
      <c r="R70" s="525"/>
      <c r="S70" s="422"/>
      <c r="T70" s="7"/>
      <c r="U70" s="7"/>
      <c r="V70" s="199" t="s">
        <v>322</v>
      </c>
      <c r="W70" s="7"/>
      <c r="X70" s="7"/>
      <c r="Y70" s="7"/>
      <c r="Z70" s="55"/>
      <c r="AA70" s="55"/>
      <c r="AB70" s="55"/>
      <c r="AC70" s="122" t="s">
        <v>204</v>
      </c>
      <c r="AD70" s="55"/>
      <c r="AE70" s="55"/>
      <c r="AF70" s="55"/>
      <c r="AG70" s="55"/>
      <c r="AH70" s="122" t="s">
        <v>205</v>
      </c>
      <c r="AI70" s="55"/>
      <c r="AJ70" s="55"/>
      <c r="AK70" s="55"/>
      <c r="AL70" s="55"/>
      <c r="AM70" s="122" t="s">
        <v>205</v>
      </c>
      <c r="AN70" s="55"/>
      <c r="AO70" s="55"/>
      <c r="AP70" s="55"/>
      <c r="AQ70" s="55"/>
      <c r="AR70" s="6"/>
      <c r="AS70" s="11"/>
      <c r="AT70" s="11"/>
      <c r="AU70" s="11"/>
      <c r="AV70" s="11"/>
      <c r="AW70" s="11"/>
      <c r="AX70" s="11"/>
      <c r="AY70" s="11"/>
      <c r="AZ70" s="11"/>
      <c r="BA70" s="52"/>
      <c r="BB70" s="52"/>
      <c r="BC70" s="52"/>
      <c r="BD70" s="52"/>
      <c r="BE70" s="278"/>
      <c r="BF70" s="52"/>
      <c r="BG70" s="52"/>
      <c r="BH70" s="52"/>
      <c r="BI70" s="52"/>
      <c r="BJ70" s="52"/>
      <c r="BK70" s="52"/>
      <c r="BL70" s="52"/>
      <c r="BM70" s="52"/>
      <c r="BN70" s="52"/>
      <c r="BO70" s="52"/>
      <c r="BP70" s="52"/>
      <c r="BQ70" s="52"/>
      <c r="BR70" s="52"/>
      <c r="BS70" s="52"/>
      <c r="BT70" s="51"/>
      <c r="BU70" s="51"/>
      <c r="BV70" s="6"/>
      <c r="BZ70" s="56"/>
      <c r="CA70" s="56"/>
      <c r="CC70"/>
      <c r="CD70" s="75"/>
      <c r="CE70" s="73"/>
      <c r="CF70" s="26"/>
      <c r="CG70" s="333"/>
      <c r="CH70" s="333"/>
      <c r="CI70" s="333"/>
      <c r="CJ70" s="333"/>
      <c r="CK70" s="508"/>
      <c r="CL70" s="509"/>
      <c r="CM70" s="500"/>
      <c r="CN70" s="510"/>
      <c r="CO70" s="511"/>
      <c r="CP70" s="500"/>
      <c r="CQ70" s="340"/>
      <c r="CR70" s="340"/>
      <c r="CS70" s="340"/>
      <c r="CT70" s="333"/>
      <c r="CU70" s="333"/>
      <c r="CV70" s="333"/>
      <c r="CW70" s="333"/>
      <c r="CX70" s="333"/>
      <c r="CY70" s="333"/>
      <c r="CZ70" s="333"/>
      <c r="DA70" s="333"/>
      <c r="DB70" s="333"/>
      <c r="DC70" s="333"/>
      <c r="DD70" s="333"/>
    </row>
    <row r="71" spans="1:134" ht="17.5" x14ac:dyDescent="0.35">
      <c r="A71" s="26"/>
      <c r="B71" s="512"/>
      <c r="C71" s="513"/>
      <c r="D71" s="514"/>
      <c r="E71" s="514"/>
      <c r="F71" s="514"/>
      <c r="G71" s="514"/>
      <c r="H71" s="516"/>
      <c r="I71" s="514"/>
      <c r="J71" s="516"/>
      <c r="K71" s="516"/>
      <c r="L71" s="517"/>
      <c r="M71" s="516"/>
      <c r="N71" s="516"/>
      <c r="O71" s="517"/>
      <c r="P71" s="520"/>
      <c r="Q71" s="520"/>
      <c r="R71" s="520"/>
      <c r="S71" s="422"/>
      <c r="T71" s="7"/>
      <c r="U71" s="7"/>
      <c r="V71" s="16">
        <f>COUNTIF(V26:V65,TRUE)</f>
        <v>0</v>
      </c>
      <c r="W71" s="7"/>
      <c r="X71" s="7"/>
      <c r="Y71" s="7"/>
      <c r="Z71" s="55"/>
      <c r="AA71" s="55"/>
      <c r="AB71" s="55"/>
      <c r="AC71" s="55" t="b">
        <f>AC68&gt;0</f>
        <v>0</v>
      </c>
      <c r="AD71" s="55"/>
      <c r="AE71" s="55"/>
      <c r="AF71" s="55"/>
      <c r="AG71" s="55"/>
      <c r="AH71" s="55" t="b">
        <f>AH68&gt;0</f>
        <v>0</v>
      </c>
      <c r="AI71" s="55"/>
      <c r="AJ71" s="55"/>
      <c r="AK71" s="55"/>
      <c r="AL71" s="55"/>
      <c r="AM71" s="55" t="b">
        <f>AM68&gt;0</f>
        <v>0</v>
      </c>
      <c r="AN71" s="55"/>
      <c r="AO71" s="55"/>
      <c r="AP71" s="55"/>
      <c r="AQ71" s="55"/>
      <c r="AR71" s="6"/>
      <c r="AS71" s="11"/>
      <c r="AT71" s="11"/>
      <c r="AU71" s="11"/>
      <c r="AV71" s="11"/>
      <c r="AW71" s="11"/>
      <c r="AX71" s="11"/>
      <c r="AY71" s="11"/>
      <c r="AZ71" s="11"/>
      <c r="BA71" s="52"/>
      <c r="BB71" s="52"/>
      <c r="BC71" s="52"/>
      <c r="BD71" s="52"/>
      <c r="BE71" s="278"/>
      <c r="BF71" s="52"/>
      <c r="BG71" s="52"/>
      <c r="BH71" s="52"/>
      <c r="BI71" s="52"/>
      <c r="BJ71" s="52"/>
      <c r="BK71" s="52"/>
      <c r="BL71" s="52"/>
      <c r="BM71" s="52"/>
      <c r="BN71" s="52"/>
      <c r="BO71" s="52"/>
      <c r="BP71" s="52"/>
      <c r="BQ71" s="52"/>
      <c r="BR71" s="52"/>
      <c r="BS71" s="52"/>
      <c r="BT71" s="51"/>
      <c r="BU71" s="51"/>
      <c r="BV71" s="6"/>
      <c r="BZ71" s="56"/>
      <c r="CA71" s="56"/>
      <c r="CC71"/>
      <c r="CD71" s="75"/>
      <c r="CE71" s="73"/>
      <c r="CF71" s="26"/>
      <c r="CG71" s="333"/>
      <c r="CH71" s="333"/>
      <c r="CI71" s="333"/>
      <c r="CJ71" s="333"/>
      <c r="CK71" s="333"/>
      <c r="CL71" s="333"/>
      <c r="CM71" s="333"/>
      <c r="CN71" s="333"/>
      <c r="CO71" s="333"/>
      <c r="CP71" s="340"/>
      <c r="CQ71" s="340"/>
      <c r="CR71" s="340"/>
      <c r="CS71" s="333"/>
      <c r="CT71" s="333"/>
      <c r="CU71" s="333"/>
      <c r="CV71" s="333"/>
      <c r="CW71" s="333"/>
      <c r="CX71" s="333"/>
      <c r="CY71" s="333"/>
      <c r="CZ71" s="333"/>
      <c r="DA71" s="333"/>
      <c r="DB71" s="333"/>
      <c r="DC71" s="333"/>
      <c r="DD71" s="333"/>
    </row>
    <row r="72" spans="1:134" ht="84" customHeight="1" x14ac:dyDescent="0.25">
      <c r="A72" s="26"/>
      <c r="B72" s="870" t="str">
        <f>IF(I109,"The NCC offers pathways for a building to comply other than the Deemed-to-Satisfy provisions." &amp; " Consider using a Performance Solution or Verification Method. Verification Method JV3 allows for energy to be traded between services, so it may be possible to release additional energy for lighting from another service." &amp; " This option should be discussed with other services trades as early in the project's design cycle as plausible.","")</f>
        <v/>
      </c>
      <c r="C72" s="870"/>
      <c r="D72" s="870"/>
      <c r="E72" s="870"/>
      <c r="F72" s="870"/>
      <c r="G72" s="870"/>
      <c r="H72" s="870"/>
      <c r="I72" s="870"/>
      <c r="J72" s="870"/>
      <c r="K72" s="870"/>
      <c r="L72" s="870"/>
      <c r="M72" s="870"/>
      <c r="N72" s="870"/>
      <c r="O72" s="870"/>
      <c r="P72" s="528" t="str">
        <f>IFERROR(IF(AND(I110,COUNTA(D26:O65)&gt;0),"if inputs are valid",""),"")</f>
        <v/>
      </c>
      <c r="Q72" s="871" t="str">
        <f>IF(AND(I110,I108=TRUE),"ü",IF(AND(I110,OR(ADIPLClass1&gt;0,ADIPLbalc&gt;0,ADIPLClass10&gt;0)),"û",""))</f>
        <v/>
      </c>
      <c r="R72" s="872"/>
      <c r="S72" s="427"/>
      <c r="T72" s="57"/>
      <c r="U72" s="57"/>
      <c r="V72" s="57"/>
      <c r="W72" s="57"/>
      <c r="X72" s="57"/>
      <c r="Y72" s="57"/>
      <c r="Z72" s="57"/>
      <c r="AA72" s="55"/>
      <c r="AB72" s="55"/>
      <c r="AC72" s="55"/>
      <c r="AD72" s="55"/>
      <c r="AE72" s="55"/>
      <c r="AF72" s="55"/>
      <c r="AG72" s="55"/>
      <c r="AH72" s="55"/>
      <c r="AI72" s="55"/>
      <c r="AJ72" s="55"/>
      <c r="AK72" s="55"/>
      <c r="AL72" s="55"/>
      <c r="AM72" s="55"/>
      <c r="AN72" s="55"/>
      <c r="AO72" s="55"/>
      <c r="AP72" s="55"/>
      <c r="AQ72" s="55"/>
      <c r="AR72" s="6"/>
      <c r="AS72" s="11"/>
      <c r="AT72" s="11"/>
      <c r="AU72" s="11"/>
      <c r="AV72" s="11"/>
      <c r="AW72" s="11"/>
      <c r="AX72" s="11"/>
      <c r="AY72" s="11"/>
      <c r="AZ72" s="11"/>
      <c r="BA72" s="52"/>
      <c r="BB72" s="52"/>
      <c r="BC72" s="52"/>
      <c r="BD72" s="52"/>
      <c r="BE72" s="278"/>
      <c r="BF72" s="52"/>
      <c r="BG72" s="52"/>
      <c r="BH72" s="52"/>
      <c r="BI72" s="52"/>
      <c r="BJ72" s="52"/>
      <c r="BK72" s="52"/>
      <c r="BL72" s="52"/>
      <c r="BM72" s="52"/>
      <c r="BN72" s="52"/>
      <c r="BO72" s="52"/>
      <c r="BP72" s="52"/>
      <c r="BQ72" s="52"/>
      <c r="BR72" s="52"/>
      <c r="BS72" s="52"/>
      <c r="BT72" s="51"/>
      <c r="BU72" s="51"/>
      <c r="BV72" s="6"/>
      <c r="BZ72" s="56"/>
      <c r="CA72" s="56"/>
      <c r="CC72"/>
      <c r="CD72" s="75"/>
      <c r="CE72" s="73"/>
      <c r="CF72" s="26"/>
      <c r="CG72" s="333"/>
      <c r="CH72" s="333"/>
      <c r="CI72" s="333"/>
      <c r="CJ72" s="333"/>
      <c r="CK72" s="333"/>
      <c r="CL72" s="333"/>
      <c r="CM72" s="333"/>
      <c r="CN72" s="333"/>
      <c r="CO72" s="340"/>
      <c r="CP72" s="340"/>
      <c r="CQ72" s="340"/>
      <c r="CR72" s="340"/>
      <c r="CS72" s="333"/>
      <c r="CT72" s="333"/>
      <c r="CU72" s="333"/>
      <c r="CV72" s="333"/>
      <c r="CW72" s="333"/>
      <c r="CX72" s="333"/>
      <c r="CY72" s="333"/>
      <c r="CZ72" s="333"/>
      <c r="DA72" s="333"/>
      <c r="DB72" s="333"/>
      <c r="DC72" s="333"/>
      <c r="DD72" s="333"/>
    </row>
    <row r="73" spans="1:134" ht="17.5" x14ac:dyDescent="0.35">
      <c r="A73" s="26"/>
      <c r="B73" s="495"/>
      <c r="C73" s="496"/>
      <c r="D73" s="514"/>
      <c r="E73" s="514"/>
      <c r="F73" s="529"/>
      <c r="G73" s="530"/>
      <c r="H73" s="530"/>
      <c r="I73" s="530"/>
      <c r="J73" s="530"/>
      <c r="K73" s="530"/>
      <c r="L73" s="530"/>
      <c r="M73" s="530"/>
      <c r="N73" s="530"/>
      <c r="O73" s="530"/>
      <c r="P73" s="531"/>
      <c r="Q73" s="531"/>
      <c r="R73" s="531"/>
      <c r="S73" s="422"/>
      <c r="T73" s="7"/>
      <c r="U73" s="7"/>
      <c r="V73" s="7"/>
      <c r="W73" s="7"/>
      <c r="X73" s="7"/>
      <c r="Y73" s="7"/>
      <c r="Z73" s="22"/>
      <c r="AA73" s="22"/>
      <c r="AB73" s="7"/>
      <c r="AC73" s="7"/>
      <c r="AD73" s="7"/>
      <c r="AE73" s="7"/>
      <c r="AF73" s="7"/>
      <c r="AG73" s="7"/>
      <c r="AH73" s="7"/>
      <c r="AI73" s="7"/>
      <c r="AJ73" s="7"/>
      <c r="AK73" s="7"/>
      <c r="AL73" s="7"/>
      <c r="AM73" s="7"/>
      <c r="AN73" s="7"/>
      <c r="AO73" s="7"/>
      <c r="AP73" s="7"/>
      <c r="AQ73" s="7"/>
      <c r="AR73" s="23"/>
      <c r="BA73" s="24"/>
      <c r="BB73" s="24"/>
      <c r="BC73" s="24"/>
      <c r="BD73" s="24"/>
      <c r="BE73" s="279"/>
      <c r="BF73" s="24"/>
      <c r="BG73" s="24"/>
      <c r="BH73" s="24"/>
      <c r="BI73" s="24"/>
      <c r="BJ73" s="24"/>
      <c r="BK73" s="24"/>
      <c r="BL73" s="24"/>
      <c r="BM73" s="24"/>
      <c r="BN73" s="24"/>
      <c r="BO73" s="24"/>
      <c r="BP73" s="24"/>
      <c r="BQ73" s="24"/>
      <c r="BR73" s="24"/>
      <c r="BS73" s="24"/>
      <c r="BT73" s="25"/>
      <c r="BU73" s="25"/>
      <c r="BV73" s="10" t="str">
        <f>IF(AS73,TEXT(BT73,"0.00%")&amp;" of "&amp;TEXT(BU73,"0.00%"),"")</f>
        <v/>
      </c>
      <c r="CC73"/>
      <c r="CD73" s="75"/>
      <c r="CE73" s="73"/>
      <c r="CF73" s="26"/>
      <c r="CG73" s="333"/>
      <c r="CH73" s="333"/>
      <c r="CI73" s="333"/>
      <c r="CJ73" s="333"/>
      <c r="CK73" s="333"/>
      <c r="CL73" s="333"/>
      <c r="CM73" s="333"/>
      <c r="CN73" s="333"/>
      <c r="CO73" s="333"/>
      <c r="CP73" s="333"/>
      <c r="CQ73" s="333"/>
      <c r="CR73" s="333"/>
      <c r="CS73" s="333"/>
      <c r="CT73" s="333"/>
      <c r="CU73" s="333"/>
      <c r="CV73" s="333"/>
      <c r="CW73" s="333"/>
      <c r="CX73" s="333"/>
      <c r="CY73" s="333"/>
      <c r="CZ73" s="333"/>
      <c r="DA73" s="333"/>
      <c r="DB73" s="333"/>
      <c r="DC73" s="333"/>
      <c r="DD73" s="333"/>
    </row>
    <row r="74" spans="1:134" x14ac:dyDescent="0.25">
      <c r="A74" s="26"/>
      <c r="B74" s="550" t="s">
        <v>490</v>
      </c>
      <c r="C74" s="550"/>
      <c r="D74" s="550"/>
      <c r="E74" s="550"/>
      <c r="F74" s="550"/>
      <c r="G74" s="550"/>
      <c r="H74" s="550"/>
      <c r="I74" s="550"/>
      <c r="J74" s="550"/>
      <c r="K74" s="550"/>
      <c r="L74" s="550"/>
      <c r="M74" s="550"/>
      <c r="N74" s="550"/>
      <c r="O74" s="550"/>
      <c r="P74" s="550"/>
      <c r="Q74" s="550"/>
      <c r="R74" s="550"/>
      <c r="S74" s="422"/>
      <c r="T74" s="7"/>
      <c r="U74" s="7"/>
      <c r="V74" s="7"/>
      <c r="W74" s="7"/>
      <c r="X74" s="7"/>
      <c r="Y74" s="7"/>
      <c r="Z74" s="22"/>
      <c r="AA74" s="22"/>
      <c r="AB74" s="7"/>
      <c r="AC74" s="7"/>
      <c r="AD74" s="7"/>
      <c r="AE74" s="7"/>
      <c r="AF74" s="7"/>
      <c r="AG74" s="7"/>
      <c r="AH74" s="7"/>
      <c r="AI74" s="7"/>
      <c r="AJ74" s="7"/>
      <c r="AK74" s="7"/>
      <c r="AL74" s="7"/>
      <c r="AM74" s="7"/>
      <c r="AN74" s="7"/>
      <c r="AO74" s="7"/>
      <c r="AP74" s="7"/>
      <c r="AQ74" s="7"/>
      <c r="AR74" s="23"/>
      <c r="BA74" s="24"/>
      <c r="BB74" s="24"/>
      <c r="BC74" s="24"/>
      <c r="BD74" s="24"/>
      <c r="BE74" s="279"/>
      <c r="BF74" s="24"/>
      <c r="BG74" s="24"/>
      <c r="BH74" s="24"/>
      <c r="BI74" s="24"/>
      <c r="BJ74" s="24"/>
      <c r="BK74" s="24"/>
      <c r="BL74" s="24"/>
      <c r="BM74" s="24"/>
      <c r="BN74" s="24"/>
      <c r="BO74" s="24"/>
      <c r="BP74" s="24"/>
      <c r="BQ74" s="24"/>
      <c r="BR74" s="24"/>
      <c r="BS74" s="24"/>
      <c r="BT74" s="25"/>
      <c r="BU74" s="25"/>
      <c r="BV74" s="10"/>
      <c r="CC74" s="73"/>
      <c r="CD74" s="26"/>
      <c r="CE74" s="333"/>
      <c r="CF74" s="333"/>
      <c r="CG74" s="333"/>
      <c r="CH74" s="333"/>
      <c r="CI74" s="333"/>
      <c r="CJ74" s="333"/>
      <c r="CK74" s="333"/>
      <c r="CL74" s="333"/>
      <c r="CM74" s="333"/>
      <c r="CN74" s="333"/>
      <c r="CO74" s="333"/>
      <c r="CP74" s="333"/>
      <c r="CQ74" s="333"/>
      <c r="CR74" s="333"/>
      <c r="CS74" s="333"/>
      <c r="CT74" s="333"/>
      <c r="CU74" s="333"/>
      <c r="CV74" s="333"/>
      <c r="CW74" s="333"/>
      <c r="CX74" s="333"/>
      <c r="CY74" s="333"/>
      <c r="CZ74" s="333"/>
      <c r="DA74" s="333"/>
      <c r="DB74" s="333"/>
      <c r="DC74" s="333"/>
      <c r="DD74" s="333"/>
    </row>
    <row r="75" spans="1:134" ht="14" x14ac:dyDescent="0.3">
      <c r="A75" s="26"/>
      <c r="B75" s="324"/>
      <c r="C75" s="767"/>
      <c r="D75" s="767"/>
      <c r="E75" s="767"/>
      <c r="F75" s="325"/>
      <c r="G75" s="325"/>
      <c r="H75" s="325"/>
      <c r="I75" s="326"/>
      <c r="J75" s="326"/>
      <c r="K75" s="326"/>
      <c r="L75" s="326"/>
      <c r="M75" s="326"/>
      <c r="N75" s="326"/>
      <c r="O75" s="326"/>
      <c r="P75" s="326"/>
      <c r="Q75" s="326"/>
      <c r="R75" s="424"/>
      <c r="S75" s="422"/>
      <c r="T75" s="7"/>
      <c r="U75" s="7"/>
      <c r="V75" s="7"/>
      <c r="W75" s="7"/>
      <c r="X75" s="7"/>
      <c r="Y75" s="7"/>
      <c r="Z75" s="22"/>
      <c r="AA75" s="22"/>
      <c r="AB75" s="7"/>
      <c r="AC75" s="7"/>
      <c r="AD75" s="7"/>
      <c r="AE75" s="7"/>
      <c r="AF75" s="7"/>
      <c r="AG75" s="7"/>
      <c r="AH75" s="7"/>
      <c r="AI75" s="7"/>
      <c r="AJ75" s="7"/>
      <c r="AK75" s="7"/>
      <c r="AL75" s="7"/>
      <c r="AM75" s="7"/>
      <c r="AN75" s="7"/>
      <c r="AO75" s="7"/>
      <c r="AP75" s="7"/>
      <c r="AQ75" s="7"/>
      <c r="AR75" s="23"/>
      <c r="BA75" s="24"/>
      <c r="BB75" s="24"/>
      <c r="BC75" s="24"/>
      <c r="BD75" s="24"/>
      <c r="BE75" s="279"/>
      <c r="BF75" s="24"/>
      <c r="BG75" s="24"/>
      <c r="BH75" s="24"/>
      <c r="BI75" s="24"/>
      <c r="BJ75" s="24"/>
      <c r="BK75" s="24"/>
      <c r="BL75" s="24"/>
      <c r="BM75" s="24"/>
      <c r="BN75" s="24"/>
      <c r="BO75" s="24"/>
      <c r="BP75" s="24"/>
      <c r="BQ75" s="24"/>
      <c r="BR75" s="24"/>
      <c r="BS75" s="24"/>
      <c r="BT75" s="25"/>
      <c r="BU75" s="25"/>
      <c r="BV75" s="10"/>
      <c r="CC75" s="73"/>
      <c r="CD75" s="26"/>
      <c r="CE75" s="333"/>
      <c r="CF75" s="333"/>
      <c r="CG75" s="333"/>
      <c r="CH75" s="333"/>
      <c r="CI75" s="333"/>
      <c r="CJ75" s="333"/>
      <c r="CK75" s="333"/>
      <c r="CL75" s="333"/>
      <c r="CM75" s="333"/>
      <c r="CN75" s="333"/>
      <c r="CO75" s="333"/>
      <c r="CP75" s="333"/>
      <c r="CQ75" s="333"/>
      <c r="CR75" s="333"/>
      <c r="CS75" s="333"/>
      <c r="CT75" s="333"/>
      <c r="CU75" s="333"/>
      <c r="CV75" s="333"/>
      <c r="CW75" s="333"/>
      <c r="CX75" s="333"/>
      <c r="CY75" s="333"/>
      <c r="CZ75" s="333"/>
      <c r="DA75" s="333"/>
      <c r="DB75" s="333"/>
      <c r="DC75" s="333"/>
      <c r="DD75" s="333"/>
    </row>
    <row r="76" spans="1:134" ht="14" x14ac:dyDescent="0.3">
      <c r="A76" s="26"/>
      <c r="B76" s="324"/>
      <c r="C76" s="324"/>
      <c r="D76" s="327"/>
      <c r="E76" s="324"/>
      <c r="F76" s="324"/>
      <c r="G76" s="324"/>
      <c r="H76" s="324"/>
      <c r="I76" s="326"/>
      <c r="J76" s="326"/>
      <c r="K76" s="326"/>
      <c r="L76" s="326"/>
      <c r="M76" s="326"/>
      <c r="N76" s="326"/>
      <c r="O76" s="326"/>
      <c r="P76" s="326"/>
      <c r="Q76" s="326"/>
      <c r="R76" s="424"/>
      <c r="S76" s="422"/>
      <c r="T76" s="7"/>
      <c r="U76" s="7"/>
      <c r="V76" s="7"/>
      <c r="W76" s="7"/>
      <c r="X76" s="7"/>
      <c r="Y76" s="7"/>
      <c r="Z76" s="22"/>
      <c r="AA76" s="22"/>
      <c r="AB76" s="7"/>
      <c r="AC76" s="7"/>
      <c r="AD76" s="7"/>
      <c r="AE76" s="7"/>
      <c r="AF76" s="7"/>
      <c r="AG76" s="7"/>
      <c r="AH76" s="7"/>
      <c r="AI76" s="7"/>
      <c r="AJ76" s="7"/>
      <c r="AK76" s="7"/>
      <c r="AL76" s="7"/>
      <c r="AM76" s="7"/>
      <c r="AN76" s="7"/>
      <c r="AO76" s="7"/>
      <c r="AP76" s="7"/>
      <c r="AQ76" s="7"/>
      <c r="AR76" s="23"/>
      <c r="BA76" s="24"/>
      <c r="BB76" s="24"/>
      <c r="BC76" s="24"/>
      <c r="BD76" s="24"/>
      <c r="BE76" s="279"/>
      <c r="BF76" s="24"/>
      <c r="BG76" s="24"/>
      <c r="BH76" s="24"/>
      <c r="BI76" s="24"/>
      <c r="BJ76" s="24"/>
      <c r="BK76" s="24"/>
      <c r="BL76" s="24"/>
      <c r="BM76" s="24"/>
      <c r="BN76" s="24"/>
      <c r="BO76" s="24"/>
      <c r="BP76" s="24"/>
      <c r="BQ76" s="24"/>
      <c r="BR76" s="24"/>
      <c r="BS76" s="24"/>
      <c r="BT76" s="25"/>
      <c r="BU76" s="25"/>
      <c r="BV76" s="10"/>
      <c r="CC76" s="73"/>
      <c r="CD76" s="26"/>
      <c r="CE76" s="333"/>
      <c r="CF76" s="333"/>
      <c r="CG76" s="333"/>
      <c r="CH76" s="333"/>
      <c r="CI76" s="333"/>
      <c r="CJ76" s="333"/>
      <c r="CK76" s="333"/>
      <c r="CL76" s="333"/>
      <c r="CM76" s="333"/>
      <c r="CN76" s="333"/>
      <c r="CO76" s="333"/>
      <c r="CP76" s="333"/>
      <c r="CQ76" s="333"/>
      <c r="CR76" s="333"/>
      <c r="CS76" s="333"/>
      <c r="CT76" s="333"/>
      <c r="CU76" s="333"/>
      <c r="CV76" s="333"/>
      <c r="CW76" s="333"/>
      <c r="CX76" s="333"/>
      <c r="CY76" s="333"/>
      <c r="CZ76" s="333"/>
      <c r="DA76" s="333"/>
      <c r="DB76" s="333"/>
      <c r="DC76" s="333"/>
      <c r="DD76" s="333"/>
    </row>
    <row r="77" spans="1:134" x14ac:dyDescent="0.25">
      <c r="A77" s="26"/>
      <c r="B77" s="326"/>
      <c r="C77" s="326"/>
      <c r="D77" s="326"/>
      <c r="E77" s="326"/>
      <c r="F77" s="326"/>
      <c r="G77" s="326"/>
      <c r="H77" s="326"/>
      <c r="I77" s="326"/>
      <c r="J77" s="326"/>
      <c r="K77" s="326"/>
      <c r="L77" s="326"/>
      <c r="M77" s="326"/>
      <c r="N77" s="326"/>
      <c r="O77" s="326"/>
      <c r="P77" s="326"/>
      <c r="Q77" s="326"/>
      <c r="R77" s="424"/>
      <c r="S77" s="422"/>
      <c r="T77" s="7"/>
      <c r="U77" s="7"/>
      <c r="V77" s="7"/>
      <c r="W77" s="7"/>
      <c r="X77" s="7"/>
      <c r="Y77" s="7"/>
      <c r="Z77" s="22"/>
      <c r="AA77" s="22"/>
      <c r="AB77" s="7"/>
      <c r="AC77" s="7"/>
      <c r="AD77" s="7"/>
      <c r="AE77" s="7"/>
      <c r="AF77" s="7"/>
      <c r="AG77" s="7"/>
      <c r="AH77" s="7"/>
      <c r="AI77" s="7"/>
      <c r="AJ77" s="7"/>
      <c r="AK77" s="7"/>
      <c r="AL77" s="7"/>
      <c r="AM77" s="7"/>
      <c r="AN77" s="7"/>
      <c r="AO77" s="7"/>
      <c r="AP77" s="7"/>
      <c r="AQ77" s="7"/>
      <c r="AR77" s="23"/>
      <c r="BA77" s="24"/>
      <c r="BB77" s="24"/>
      <c r="BC77" s="24"/>
      <c r="BD77" s="24"/>
      <c r="BE77" s="279"/>
      <c r="BF77" s="24"/>
      <c r="BG77" s="24"/>
      <c r="BH77" s="24"/>
      <c r="BI77" s="24"/>
      <c r="BJ77" s="24"/>
      <c r="BK77" s="24"/>
      <c r="BL77" s="24"/>
      <c r="BM77" s="24"/>
      <c r="BN77" s="24"/>
      <c r="BO77" s="24"/>
      <c r="BP77" s="24"/>
      <c r="BQ77" s="24"/>
      <c r="BR77" s="24"/>
      <c r="BS77" s="24"/>
      <c r="BT77" s="25"/>
      <c r="BU77" s="25"/>
      <c r="BV77" s="10"/>
      <c r="CC77" s="73"/>
      <c r="CD77" s="26"/>
      <c r="CE77" s="333"/>
      <c r="CF77" s="333"/>
      <c r="CG77" s="333"/>
      <c r="CH77" s="333"/>
      <c r="CI77" s="333"/>
      <c r="CJ77" s="333"/>
      <c r="CK77" s="333"/>
      <c r="CL77" s="333"/>
      <c r="CM77" s="333"/>
      <c r="CN77" s="333"/>
      <c r="CO77" s="333"/>
      <c r="CP77" s="333"/>
      <c r="CQ77" s="333"/>
      <c r="CR77" s="333"/>
      <c r="CS77" s="333"/>
      <c r="CT77" s="333"/>
      <c r="CU77" s="333"/>
      <c r="CV77" s="333"/>
      <c r="CW77" s="333"/>
      <c r="CX77" s="333"/>
      <c r="CY77" s="333"/>
      <c r="CZ77" s="333"/>
      <c r="DA77" s="333"/>
      <c r="DB77" s="333"/>
      <c r="DC77" s="333"/>
      <c r="DD77" s="333"/>
    </row>
    <row r="78" spans="1:134" x14ac:dyDescent="0.25">
      <c r="A78" s="26"/>
      <c r="B78" s="326"/>
      <c r="C78" s="326"/>
      <c r="D78" s="326"/>
      <c r="E78" s="326"/>
      <c r="F78" s="326"/>
      <c r="G78" s="326"/>
      <c r="H78" s="326"/>
      <c r="I78" s="326"/>
      <c r="J78" s="326"/>
      <c r="K78" s="326"/>
      <c r="L78" s="326"/>
      <c r="M78" s="326"/>
      <c r="N78" s="326"/>
      <c r="O78" s="326"/>
      <c r="P78" s="326"/>
      <c r="Q78" s="326"/>
      <c r="R78" s="424"/>
      <c r="S78" s="422"/>
      <c r="T78" s="7"/>
      <c r="U78" s="7"/>
      <c r="V78" s="7"/>
      <c r="W78" s="7"/>
      <c r="X78" s="7"/>
      <c r="Y78" s="7"/>
      <c r="Z78" s="22"/>
      <c r="AA78" s="22"/>
      <c r="AB78" s="7"/>
      <c r="AC78" s="7"/>
      <c r="AD78" s="7"/>
      <c r="AE78" s="7"/>
      <c r="AF78" s="7"/>
      <c r="AG78" s="7"/>
      <c r="AH78" s="7"/>
      <c r="AI78" s="7"/>
      <c r="AJ78" s="7"/>
      <c r="AK78" s="7"/>
      <c r="AL78" s="7"/>
      <c r="AM78" s="7"/>
      <c r="AN78" s="7"/>
      <c r="AO78" s="7"/>
      <c r="AP78" s="7"/>
      <c r="AQ78" s="7"/>
      <c r="AR78" s="23"/>
      <c r="BA78" s="24"/>
      <c r="BB78" s="24"/>
      <c r="BC78" s="24"/>
      <c r="BD78" s="24"/>
      <c r="BE78" s="279"/>
      <c r="BF78" s="24"/>
      <c r="BG78" s="24"/>
      <c r="BH78" s="24"/>
      <c r="BI78" s="24"/>
      <c r="BJ78" s="24"/>
      <c r="BK78" s="24"/>
      <c r="BL78" s="24"/>
      <c r="BM78" s="24"/>
      <c r="BN78" s="24"/>
      <c r="BO78" s="24"/>
      <c r="BP78" s="24"/>
      <c r="BQ78" s="24"/>
      <c r="BR78" s="24"/>
      <c r="BS78" s="24"/>
      <c r="BT78" s="25"/>
      <c r="BU78" s="25"/>
      <c r="BV78" s="10"/>
      <c r="CC78" s="73"/>
      <c r="CD78" s="26"/>
      <c r="CE78" s="333"/>
      <c r="CF78" s="333"/>
      <c r="CG78" s="333"/>
      <c r="CH78" s="333"/>
      <c r="CI78" s="333"/>
      <c r="CJ78" s="333"/>
      <c r="CK78" s="333"/>
      <c r="CL78" s="333"/>
      <c r="CM78" s="333"/>
      <c r="CN78" s="333"/>
      <c r="CO78" s="333"/>
      <c r="CP78" s="333"/>
      <c r="CQ78" s="333"/>
      <c r="CR78" s="333"/>
      <c r="CS78" s="333"/>
      <c r="CT78" s="333"/>
      <c r="CU78" s="333"/>
      <c r="CV78" s="333"/>
      <c r="CW78" s="333"/>
      <c r="CX78" s="333"/>
      <c r="CY78" s="333"/>
      <c r="CZ78" s="333"/>
      <c r="DA78" s="333"/>
      <c r="DB78" s="333"/>
      <c r="DC78" s="333"/>
      <c r="DD78" s="333"/>
    </row>
    <row r="79" spans="1:134" x14ac:dyDescent="0.25">
      <c r="A79" s="26"/>
      <c r="B79" s="326"/>
      <c r="C79" s="326"/>
      <c r="D79" s="326"/>
      <c r="E79" s="326"/>
      <c r="F79" s="326"/>
      <c r="G79" s="326"/>
      <c r="H79" s="326"/>
      <c r="I79" s="326"/>
      <c r="J79" s="326"/>
      <c r="K79" s="326"/>
      <c r="L79" s="326"/>
      <c r="M79" s="326"/>
      <c r="N79" s="326"/>
      <c r="O79" s="326"/>
      <c r="P79" s="326"/>
      <c r="Q79" s="326"/>
      <c r="R79" s="424"/>
      <c r="S79" s="422"/>
      <c r="T79" s="7"/>
      <c r="U79" s="7"/>
      <c r="V79" s="7"/>
      <c r="W79" s="7"/>
      <c r="X79" s="7"/>
      <c r="Y79" s="7"/>
      <c r="Z79" s="22"/>
      <c r="AA79" s="22"/>
      <c r="AB79" s="7"/>
      <c r="AC79" s="7"/>
      <c r="AD79" s="7"/>
      <c r="AE79" s="7"/>
      <c r="AF79" s="7"/>
      <c r="AG79" s="7"/>
      <c r="AH79" s="7"/>
      <c r="AI79" s="7"/>
      <c r="AJ79" s="7"/>
      <c r="AK79" s="7"/>
      <c r="AL79" s="7"/>
      <c r="AM79" s="7"/>
      <c r="AN79" s="7"/>
      <c r="AO79" s="7"/>
      <c r="AP79" s="7"/>
      <c r="AQ79" s="7"/>
      <c r="AR79" s="23"/>
      <c r="BA79" s="24"/>
      <c r="BB79" s="24"/>
      <c r="BC79" s="24"/>
      <c r="BD79" s="24"/>
      <c r="BE79" s="279"/>
      <c r="BF79" s="24"/>
      <c r="BG79" s="24"/>
      <c r="BH79" s="24"/>
      <c r="BI79" s="24"/>
      <c r="BJ79" s="24"/>
      <c r="BK79" s="24"/>
      <c r="BL79" s="24"/>
      <c r="BM79" s="24"/>
      <c r="BN79" s="24"/>
      <c r="BO79" s="24"/>
      <c r="BP79" s="24"/>
      <c r="BQ79" s="24"/>
      <c r="BR79" s="24"/>
      <c r="BS79" s="24"/>
      <c r="BT79" s="25"/>
      <c r="BU79" s="25"/>
      <c r="BV79" s="10"/>
      <c r="CC79" s="73"/>
      <c r="CD79" s="26"/>
      <c r="CE79" s="333"/>
      <c r="CF79" s="333"/>
      <c r="CG79" s="333"/>
      <c r="CH79" s="333"/>
      <c r="CI79" s="333"/>
      <c r="CJ79" s="333"/>
      <c r="CK79" s="333"/>
      <c r="CL79" s="333"/>
      <c r="CM79" s="333"/>
      <c r="CN79" s="333"/>
      <c r="CO79" s="333"/>
      <c r="CP79" s="333"/>
      <c r="CQ79" s="333"/>
      <c r="CR79" s="333"/>
      <c r="CS79" s="333"/>
      <c r="CT79" s="333"/>
      <c r="CU79" s="333"/>
      <c r="CV79" s="333"/>
      <c r="CW79" s="333"/>
      <c r="CX79" s="333"/>
      <c r="CY79" s="333"/>
      <c r="CZ79" s="333"/>
      <c r="DA79" s="333"/>
      <c r="DB79" s="333"/>
      <c r="DC79" s="333"/>
      <c r="DD79" s="333"/>
    </row>
    <row r="80" spans="1:134" x14ac:dyDescent="0.25">
      <c r="A80" s="26"/>
      <c r="B80" s="326"/>
      <c r="C80" s="326"/>
      <c r="D80" s="326"/>
      <c r="E80" s="326"/>
      <c r="F80" s="326"/>
      <c r="G80" s="326"/>
      <c r="H80" s="326"/>
      <c r="I80" s="326"/>
      <c r="J80" s="326"/>
      <c r="K80" s="326"/>
      <c r="L80" s="326"/>
      <c r="M80" s="326"/>
      <c r="N80" s="326"/>
      <c r="O80" s="326"/>
      <c r="P80" s="326"/>
      <c r="Q80" s="326"/>
      <c r="R80" s="123"/>
      <c r="S80" s="422"/>
      <c r="T80" s="7"/>
      <c r="U80" s="7"/>
      <c r="V80" s="7"/>
      <c r="W80" s="7"/>
      <c r="X80" s="7"/>
      <c r="Y80" s="7"/>
      <c r="Z80" s="22"/>
      <c r="AA80" s="22"/>
      <c r="AB80" s="7"/>
      <c r="AC80" s="7"/>
      <c r="AD80" s="7"/>
      <c r="AE80" s="7"/>
      <c r="AF80" s="7"/>
      <c r="AG80" s="7"/>
      <c r="AH80" s="7"/>
      <c r="AI80" s="7"/>
      <c r="AJ80" s="7"/>
      <c r="AK80" s="7"/>
      <c r="AL80" s="7"/>
      <c r="AM80" s="7"/>
      <c r="AN80" s="7"/>
      <c r="AO80" s="7"/>
      <c r="AP80" s="7"/>
      <c r="AQ80" s="7"/>
      <c r="AR80" s="23"/>
      <c r="BA80" s="24"/>
      <c r="BB80" s="24"/>
      <c r="BC80" s="24"/>
      <c r="BD80" s="24"/>
      <c r="BE80" s="279"/>
      <c r="BF80" s="24"/>
      <c r="BG80" s="24"/>
      <c r="BH80" s="24"/>
      <c r="BI80" s="24"/>
      <c r="BJ80" s="24"/>
      <c r="BK80" s="24"/>
      <c r="BL80" s="24"/>
      <c r="BM80" s="24"/>
      <c r="BN80" s="24"/>
      <c r="BO80" s="24"/>
      <c r="BP80" s="24"/>
      <c r="BQ80" s="24"/>
      <c r="BR80" s="24"/>
      <c r="BS80" s="24"/>
      <c r="BT80" s="25"/>
      <c r="BU80" s="25"/>
      <c r="BV80" s="10"/>
      <c r="CC80" s="73"/>
      <c r="CD80" s="26"/>
      <c r="CE80" s="333"/>
      <c r="CF80" s="333"/>
      <c r="CG80" s="333"/>
      <c r="CH80" s="333"/>
      <c r="CI80" s="333"/>
      <c r="CJ80" s="333"/>
      <c r="CK80" s="333"/>
      <c r="CL80" s="333"/>
      <c r="CM80" s="333"/>
      <c r="CN80" s="333"/>
      <c r="CO80" s="333"/>
      <c r="CP80" s="333"/>
      <c r="CQ80" s="333"/>
      <c r="CR80" s="333"/>
      <c r="CS80" s="333"/>
      <c r="CT80" s="333"/>
      <c r="CU80" s="333"/>
      <c r="CV80" s="333"/>
      <c r="CW80" s="333"/>
      <c r="CX80" s="333"/>
      <c r="CY80" s="333"/>
      <c r="CZ80" s="333"/>
      <c r="DA80" s="333"/>
      <c r="DB80" s="333"/>
      <c r="DC80" s="333"/>
      <c r="DD80" s="333"/>
    </row>
    <row r="81" spans="1:108" ht="15.5" hidden="1" x14ac:dyDescent="0.25">
      <c r="A81" s="26"/>
      <c r="B81" s="26"/>
      <c r="C81" s="72"/>
      <c r="D81" s="14"/>
      <c r="E81" s="14"/>
      <c r="F81" s="76"/>
      <c r="G81" s="77"/>
      <c r="H81" s="77"/>
      <c r="I81" s="77"/>
      <c r="J81" s="77"/>
      <c r="K81" s="77"/>
      <c r="L81" s="77"/>
      <c r="M81" s="77"/>
      <c r="N81" s="77"/>
      <c r="O81" s="77"/>
      <c r="P81" s="77"/>
      <c r="Q81" s="77"/>
      <c r="R81" s="78"/>
      <c r="S81" s="78"/>
      <c r="T81" s="78"/>
      <c r="U81" s="78"/>
      <c r="V81" s="14"/>
      <c r="W81" s="14"/>
      <c r="X81" s="14"/>
      <c r="Y81" s="14"/>
      <c r="Z81" s="14"/>
      <c r="AA81" s="14"/>
      <c r="AB81" s="78"/>
      <c r="AC81" s="78"/>
      <c r="AD81" s="14"/>
      <c r="AE81" s="14"/>
      <c r="AF81" s="14"/>
      <c r="AG81" s="14"/>
      <c r="AH81" s="14"/>
      <c r="AI81" s="14"/>
      <c r="AJ81" s="14"/>
      <c r="AK81" s="14"/>
      <c r="AL81" s="14"/>
      <c r="AM81" s="14"/>
      <c r="AN81" s="14"/>
      <c r="AO81" s="14"/>
      <c r="AP81" s="14"/>
      <c r="AQ81" s="14"/>
      <c r="AR81" s="14"/>
      <c r="AS81" s="14"/>
      <c r="AT81" s="15"/>
      <c r="AU81" s="73"/>
      <c r="AV81" s="73"/>
      <c r="AW81" s="73"/>
      <c r="AX81" s="73"/>
      <c r="AY81" s="73"/>
      <c r="AZ81" s="73"/>
      <c r="BA81" s="73"/>
      <c r="BB81" s="73"/>
      <c r="BC81" s="83"/>
      <c r="BD81" s="83"/>
      <c r="BE81" s="83"/>
      <c r="BF81" s="83"/>
      <c r="BG81" s="280"/>
      <c r="BH81" s="83"/>
      <c r="BI81" s="83"/>
      <c r="BJ81" s="83"/>
      <c r="BK81" s="83"/>
      <c r="BL81" s="83"/>
      <c r="BM81" s="83"/>
      <c r="BN81" s="83"/>
      <c r="BO81" s="83"/>
      <c r="BP81" s="83"/>
      <c r="BQ81" s="83"/>
      <c r="BR81" s="83"/>
      <c r="BS81" s="83"/>
      <c r="BT81" s="83"/>
      <c r="BU81" s="83"/>
      <c r="BV81" s="84"/>
      <c r="BW81" s="84"/>
      <c r="BX81" s="73"/>
      <c r="BY81" s="73"/>
      <c r="BZ81" s="73"/>
      <c r="CA81" s="73"/>
      <c r="CB81" s="73"/>
      <c r="CC81" s="73"/>
      <c r="CD81" s="73"/>
      <c r="CE81" s="73"/>
      <c r="CF81" s="26"/>
      <c r="CG81" s="26"/>
      <c r="CH81" s="26"/>
      <c r="CI81" s="73"/>
      <c r="CJ81" s="73"/>
      <c r="CK81" s="73"/>
      <c r="CL81" s="73"/>
      <c r="CM81" s="73"/>
      <c r="CN81" s="73"/>
      <c r="CO81" s="73"/>
      <c r="CP81" s="73"/>
      <c r="CQ81" s="73"/>
      <c r="CR81" s="26"/>
      <c r="CS81" s="26"/>
      <c r="CT81" s="26"/>
      <c r="CU81" s="26"/>
      <c r="CV81" s="26"/>
      <c r="CW81" s="26"/>
      <c r="CX81" s="26"/>
      <c r="CY81" s="26"/>
      <c r="CZ81" s="26"/>
      <c r="DA81" s="26"/>
      <c r="DB81" s="26"/>
      <c r="DC81" s="26"/>
      <c r="DD81" s="26"/>
    </row>
    <row r="82" spans="1:108" hidden="1" x14ac:dyDescent="0.25">
      <c r="A82" s="245"/>
      <c r="B82" s="245"/>
      <c r="C82" s="246"/>
      <c r="D82" s="26"/>
      <c r="E82" s="26"/>
      <c r="F82" s="26"/>
      <c r="G82" s="26"/>
      <c r="H82" s="26"/>
      <c r="I82" s="26"/>
      <c r="J82" s="27"/>
      <c r="K82" s="27"/>
      <c r="L82" s="128"/>
      <c r="M82" s="128"/>
      <c r="N82" s="27"/>
      <c r="O82" s="27"/>
      <c r="P82" s="128"/>
      <c r="Q82" s="128"/>
      <c r="R82" s="26"/>
      <c r="S82" s="26"/>
      <c r="T82" s="26"/>
      <c r="U82" s="244"/>
      <c r="V82" s="26"/>
      <c r="W82" s="26"/>
      <c r="X82" s="26"/>
      <c r="Y82" s="26"/>
      <c r="Z82" s="26"/>
      <c r="AA82" s="26"/>
      <c r="AB82" s="28"/>
      <c r="AC82" s="28"/>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60"/>
      <c r="BE82" s="60"/>
      <c r="BF82" s="60"/>
      <c r="BG82" s="128"/>
      <c r="BH82" s="26"/>
      <c r="BI82" s="26"/>
      <c r="BJ82" s="26"/>
      <c r="BK82" s="26"/>
      <c r="BL82" s="26"/>
      <c r="BM82" s="26"/>
      <c r="BN82" s="26"/>
      <c r="BO82" s="26"/>
      <c r="BP82" s="26"/>
      <c r="BQ82" s="26"/>
      <c r="BR82" s="26"/>
      <c r="BS82" s="26"/>
      <c r="BT82" s="26"/>
      <c r="BU82" s="26"/>
      <c r="BV82" s="90"/>
    </row>
    <row r="83" spans="1:108" ht="13.5" hidden="1" thickBot="1" x14ac:dyDescent="0.35">
      <c r="A83" s="245"/>
      <c r="B83" s="247" t="s">
        <v>345</v>
      </c>
      <c r="C83" s="246"/>
      <c r="D83" s="26"/>
      <c r="E83" s="95" t="s">
        <v>144</v>
      </c>
      <c r="F83" s="96"/>
      <c r="G83" s="26"/>
      <c r="H83" s="68" t="s">
        <v>0</v>
      </c>
      <c r="I83" s="165" t="s">
        <v>287</v>
      </c>
      <c r="J83" s="29"/>
      <c r="K83" s="130" t="s">
        <v>344</v>
      </c>
      <c r="L83" s="130"/>
      <c r="M83" s="130"/>
      <c r="N83" s="27"/>
      <c r="O83" s="27"/>
      <c r="P83" s="128"/>
      <c r="Q83" s="128"/>
      <c r="R83" s="128"/>
      <c r="S83" s="128"/>
      <c r="T83" s="128"/>
      <c r="U83" s="244"/>
      <c r="V83" s="128"/>
      <c r="W83" s="128"/>
      <c r="X83" s="128"/>
      <c r="Y83" s="128"/>
      <c r="Z83" s="128"/>
      <c r="AA83" s="128"/>
      <c r="AB83" s="28"/>
      <c r="AC83" s="28"/>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60"/>
      <c r="BE83" s="60"/>
      <c r="BF83" s="60"/>
      <c r="BG83" s="128"/>
      <c r="BH83" s="26"/>
      <c r="BI83" s="26"/>
      <c r="BJ83" s="26"/>
      <c r="BK83" s="26"/>
      <c r="BL83" s="26"/>
      <c r="BM83" s="26"/>
      <c r="BN83" s="26"/>
      <c r="BO83" s="26"/>
      <c r="BP83" s="26"/>
      <c r="BQ83" s="26"/>
      <c r="BR83" s="26"/>
      <c r="BS83" s="26"/>
      <c r="BT83" s="26"/>
      <c r="BU83" s="26"/>
      <c r="BV83" s="90"/>
    </row>
    <row r="84" spans="1:108" ht="13" hidden="1" x14ac:dyDescent="0.3">
      <c r="A84" s="245"/>
      <c r="B84" s="230" t="str">
        <f>IF(RowsPreferredTwo&lt;&gt;RowsShownTwo,"click arrow below","")</f>
        <v/>
      </c>
      <c r="C84" s="230"/>
      <c r="D84" s="230"/>
      <c r="E84" s="125" t="s">
        <v>300</v>
      </c>
      <c r="F84" s="26"/>
      <c r="G84" s="26" t="b">
        <v>0</v>
      </c>
      <c r="H84" s="29">
        <f>0</f>
        <v>0</v>
      </c>
      <c r="I84" s="166">
        <v>5</v>
      </c>
      <c r="J84" s="160" t="str">
        <f>IF(H84&lt;&gt;0,1,"")</f>
        <v/>
      </c>
      <c r="K84" s="159" t="str">
        <f>IF(ISNA(INDEX(H$84:H$88,MATCH(N84,J$84:J$88,0))),"",INDEX(H$84:H$88,MATCH(N84,J$84:J$88,0)))</f>
        <v/>
      </c>
      <c r="L84" s="159"/>
      <c r="M84" s="159"/>
      <c r="N84" s="27">
        <v>1</v>
      </c>
      <c r="O84" s="64" t="s">
        <v>109</v>
      </c>
      <c r="P84" s="128"/>
      <c r="Q84" s="128"/>
      <c r="R84" s="30"/>
      <c r="S84" s="30"/>
      <c r="T84" s="30"/>
      <c r="U84" s="244"/>
      <c r="V84" s="128"/>
      <c r="W84" s="30"/>
      <c r="X84" s="177" t="s">
        <v>75</v>
      </c>
      <c r="Y84" s="178">
        <v>0.7</v>
      </c>
      <c r="Z84" s="179" t="b">
        <v>1</v>
      </c>
      <c r="AA84" s="30"/>
      <c r="AB84" s="28"/>
      <c r="AC84" s="28"/>
      <c r="AD84" s="26"/>
      <c r="AE84" s="26"/>
      <c r="AF84" s="26"/>
      <c r="AG84" s="26"/>
      <c r="AH84" s="26"/>
      <c r="AI84" s="26"/>
      <c r="AJ84" s="26"/>
      <c r="AK84" s="26"/>
      <c r="AL84" s="26"/>
      <c r="AM84" s="26"/>
      <c r="AN84" s="26"/>
      <c r="AO84" s="26"/>
      <c r="AP84" s="26"/>
      <c r="AQ84" s="26"/>
      <c r="AR84" s="26"/>
      <c r="AS84" s="26"/>
      <c r="AT84" s="26"/>
      <c r="AU84" s="26"/>
      <c r="AV84" s="26"/>
      <c r="AW84" s="26"/>
      <c r="AX84" s="197" t="s">
        <v>158</v>
      </c>
      <c r="AY84" s="60"/>
      <c r="AZ84" s="60"/>
      <c r="BA84" s="60"/>
      <c r="BB84" s="197" t="s">
        <v>111</v>
      </c>
      <c r="BC84" s="26"/>
      <c r="BD84" s="60"/>
      <c r="BE84" s="60"/>
      <c r="BF84" s="60"/>
      <c r="BG84" s="128"/>
      <c r="BH84" s="26"/>
      <c r="BI84" s="26"/>
      <c r="BJ84" s="26"/>
      <c r="BK84" s="26"/>
      <c r="BL84" s="26"/>
      <c r="BM84" s="26"/>
      <c r="BN84" s="26"/>
      <c r="BO84" s="101" t="s">
        <v>166</v>
      </c>
      <c r="BP84" s="101" t="s">
        <v>167</v>
      </c>
      <c r="BQ84" s="26"/>
      <c r="BR84" s="26"/>
      <c r="BS84" s="26"/>
      <c r="BT84" s="26"/>
      <c r="BU84" s="26"/>
      <c r="BV84" s="90"/>
    </row>
    <row r="85" spans="1:108" ht="13" hidden="1" x14ac:dyDescent="0.3">
      <c r="A85" s="245"/>
      <c r="B85" s="245"/>
      <c r="C85" s="246"/>
      <c r="D85" s="26"/>
      <c r="E85" s="125" t="s">
        <v>301</v>
      </c>
      <c r="F85" s="26"/>
      <c r="G85" s="26" t="b">
        <v>0</v>
      </c>
      <c r="H85" s="29">
        <f>IF(ClassificationTwo=Class2,"Class 2 SOU",0)</f>
        <v>0</v>
      </c>
      <c r="I85" s="166">
        <v>5</v>
      </c>
      <c r="J85" s="160" t="str">
        <f>IF(H85&lt;&gt;0,MAX(J$84:J84)+1,"")</f>
        <v/>
      </c>
      <c r="K85" s="159" t="str">
        <f t="shared" ref="K85:K88" si="83">IF(ISNA(INDEX(H$84:H$88,MATCH(N85,J$84:J$88,0))),"",INDEX(H$84:H$88,MATCH(N85,J$84:J$88,0)))</f>
        <v/>
      </c>
      <c r="L85" s="159"/>
      <c r="M85" s="159"/>
      <c r="N85" s="27">
        <v>2</v>
      </c>
      <c r="O85" s="63" t="b">
        <f>AND(MIPDLClass1&gt;0,$R$148=TRUE,$BB$85)</f>
        <v>0</v>
      </c>
      <c r="P85" s="128"/>
      <c r="Q85" s="128"/>
      <c r="R85" s="31"/>
      <c r="S85" s="31"/>
      <c r="T85" s="31"/>
      <c r="U85" s="244"/>
      <c r="V85" s="128"/>
      <c r="W85" s="32"/>
      <c r="X85" s="180" t="s">
        <v>294</v>
      </c>
      <c r="Y85" s="178">
        <v>0.9</v>
      </c>
      <c r="Z85" s="179" t="b">
        <v>1</v>
      </c>
      <c r="AA85" s="32"/>
      <c r="AB85" s="28"/>
      <c r="AC85" s="33"/>
      <c r="AD85" s="26"/>
      <c r="AE85" s="26"/>
      <c r="AF85" s="26"/>
      <c r="AG85" s="26"/>
      <c r="AH85" s="26"/>
      <c r="AI85" s="26"/>
      <c r="AJ85" s="26"/>
      <c r="AK85" s="26"/>
      <c r="AL85" s="26"/>
      <c r="AM85" s="26"/>
      <c r="AN85" s="26"/>
      <c r="AO85" s="26"/>
      <c r="AP85" s="26"/>
      <c r="AQ85" s="26"/>
      <c r="AR85" s="26"/>
      <c r="AS85" s="26"/>
      <c r="AT85" s="26"/>
      <c r="AU85" s="26"/>
      <c r="AV85" s="26"/>
      <c r="AW85" s="26"/>
      <c r="AX85" s="196" t="e">
        <f>OR(AV26:AV65)</f>
        <v>#VALUE!</v>
      </c>
      <c r="AY85" s="60"/>
      <c r="AZ85" s="60"/>
      <c r="BA85" s="60"/>
      <c r="BB85" s="196" t="b">
        <f>AND(AZ26:AZ65,COUNTA(D26:I65)&gt;0)</f>
        <v>0</v>
      </c>
      <c r="BC85" s="26"/>
      <c r="BD85" s="60"/>
      <c r="BE85" s="60"/>
      <c r="BF85" s="60"/>
      <c r="BG85" s="128"/>
      <c r="BH85" s="26"/>
      <c r="BI85" s="26"/>
      <c r="BJ85" s="26"/>
      <c r="BK85" s="26"/>
      <c r="BL85" s="26"/>
      <c r="BM85" s="26"/>
      <c r="BN85" s="26"/>
      <c r="BO85" s="100" t="b">
        <f>AND(BM26:BM65)</f>
        <v>0</v>
      </c>
      <c r="BP85" s="65" t="b">
        <f>AND(BN26:BN65)</f>
        <v>0</v>
      </c>
      <c r="BQ85" s="26"/>
      <c r="BR85" s="26"/>
      <c r="BS85" s="26"/>
      <c r="BT85" s="26"/>
      <c r="BU85" s="26"/>
      <c r="BV85" s="90"/>
    </row>
    <row r="86" spans="1:108" ht="13" hidden="1" x14ac:dyDescent="0.3">
      <c r="A86" s="245"/>
      <c r="B86" s="245"/>
      <c r="C86" s="246"/>
      <c r="D86" s="26"/>
      <c r="E86" s="125" t="s">
        <v>145</v>
      </c>
      <c r="F86" s="26"/>
      <c r="G86" s="26" t="b">
        <v>0</v>
      </c>
      <c r="H86" s="29">
        <f>IF(ClassificationTwo=Class4,"Class 4 part",0)</f>
        <v>0</v>
      </c>
      <c r="I86" s="166">
        <v>5</v>
      </c>
      <c r="J86" s="160" t="str">
        <f>IF(H86&lt;&gt;0,MAX(J$84:J85)+1,"")</f>
        <v/>
      </c>
      <c r="K86" s="159" t="str">
        <f t="shared" si="83"/>
        <v/>
      </c>
      <c r="L86" s="159"/>
      <c r="M86" s="159"/>
      <c r="N86" s="27">
        <v>3</v>
      </c>
      <c r="O86" s="213" t="b">
        <f>AND(MIPDLClass1&gt;0,$R$136=TRUE,$BB$85)</f>
        <v>0</v>
      </c>
      <c r="P86" s="128"/>
      <c r="Q86" s="128"/>
      <c r="R86" s="31"/>
      <c r="S86" s="31"/>
      <c r="T86" s="31"/>
      <c r="U86" s="244"/>
      <c r="V86" s="128"/>
      <c r="W86" s="32"/>
      <c r="X86" s="180" t="s">
        <v>41</v>
      </c>
      <c r="Y86" s="178">
        <v>0.7</v>
      </c>
      <c r="Z86" s="179" t="b">
        <v>1</v>
      </c>
      <c r="AA86" s="32"/>
      <c r="AB86" s="28"/>
      <c r="AC86" s="33"/>
      <c r="AD86" s="26"/>
      <c r="AE86" s="26"/>
      <c r="AF86" s="26"/>
      <c r="AG86" s="26"/>
      <c r="AH86" s="26"/>
      <c r="AI86" s="26"/>
      <c r="AJ86" s="26"/>
      <c r="AK86" s="26"/>
      <c r="AL86" s="26"/>
      <c r="AM86" s="26"/>
      <c r="AN86" s="26"/>
      <c r="AO86" s="26"/>
      <c r="AP86" s="26"/>
      <c r="AQ86" s="26"/>
      <c r="AR86" s="26"/>
      <c r="AS86" s="26"/>
      <c r="AT86" s="26"/>
      <c r="AU86" s="26"/>
      <c r="AV86" s="26"/>
      <c r="AW86" s="26"/>
      <c r="AX86" s="222" t="s">
        <v>343</v>
      </c>
      <c r="AY86" s="26"/>
      <c r="AZ86" s="26"/>
      <c r="BA86" s="26"/>
      <c r="BB86" s="26"/>
      <c r="BC86" s="26"/>
      <c r="BD86" s="26"/>
      <c r="BE86" s="26"/>
      <c r="BF86" s="26"/>
      <c r="BG86" s="128"/>
      <c r="BH86" s="26"/>
      <c r="BI86" s="26"/>
      <c r="BJ86" s="26"/>
      <c r="BK86" s="26"/>
      <c r="BL86" s="26"/>
      <c r="BM86" s="26"/>
      <c r="BN86" s="26"/>
      <c r="BO86" s="26"/>
      <c r="BP86" s="26"/>
      <c r="BQ86" s="26"/>
      <c r="BR86" s="26"/>
      <c r="BS86" s="26"/>
      <c r="BT86" s="26"/>
      <c r="BU86" s="26"/>
      <c r="BV86" s="90"/>
    </row>
    <row r="87" spans="1:108" ht="13" hidden="1" x14ac:dyDescent="0.3">
      <c r="A87" s="245"/>
      <c r="B87" s="245"/>
      <c r="C87" s="246"/>
      <c r="D87" s="26"/>
      <c r="E87" s="125" t="s">
        <v>147</v>
      </c>
      <c r="F87" s="26"/>
      <c r="G87" s="26" t="b">
        <v>0</v>
      </c>
      <c r="H87" s="29">
        <f>IF(COUNTA(E26:E65)=0,0,IF(AND(OR(ClassificationTwo=Class2,ClassificationTwo=Class4),Balconytrue),"Verandah or balcony",0))</f>
        <v>0</v>
      </c>
      <c r="I87" s="166">
        <v>4</v>
      </c>
      <c r="J87" s="160" t="str">
        <f>IF(H87&lt;&gt;0,MAX(J$84:J86)+1,"")</f>
        <v/>
      </c>
      <c r="K87" s="159" t="str">
        <f t="shared" si="83"/>
        <v/>
      </c>
      <c r="L87" s="159"/>
      <c r="M87" s="159"/>
      <c r="N87" s="27">
        <v>4</v>
      </c>
      <c r="O87" s="63" t="b">
        <f>AND($R$148,$AH$68&gt;0)</f>
        <v>0</v>
      </c>
      <c r="P87" s="128"/>
      <c r="Q87" s="128"/>
      <c r="R87" s="31"/>
      <c r="S87" s="31"/>
      <c r="T87" s="31"/>
      <c r="U87" s="244"/>
      <c r="V87" s="128"/>
      <c r="W87" s="32"/>
      <c r="X87" s="180" t="s">
        <v>43</v>
      </c>
      <c r="Y87" s="178">
        <v>0.55000000000000004</v>
      </c>
      <c r="Z87" s="179" t="b">
        <v>1</v>
      </c>
      <c r="AA87" s="32"/>
      <c r="AB87" s="28"/>
      <c r="AC87" s="33"/>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128"/>
      <c r="BH87" s="26"/>
      <c r="BI87" s="26"/>
      <c r="BJ87" s="26"/>
      <c r="BK87" s="26"/>
      <c r="BL87" s="26"/>
      <c r="BM87" s="26"/>
      <c r="BN87" s="26"/>
      <c r="BO87" s="26"/>
      <c r="BP87" s="26"/>
      <c r="BQ87" s="26"/>
      <c r="BR87" s="26"/>
      <c r="BS87" s="26"/>
      <c r="BT87" s="26"/>
      <c r="BU87" s="26"/>
      <c r="BV87" s="90"/>
    </row>
    <row r="88" spans="1:108" ht="13" hidden="1" x14ac:dyDescent="0.3">
      <c r="A88" s="245"/>
      <c r="B88" s="245"/>
      <c r="C88" s="246"/>
      <c r="D88" s="26"/>
      <c r="E88" s="125" t="s">
        <v>299</v>
      </c>
      <c r="F88" s="26"/>
      <c r="G88" s="26" t="b">
        <v>0</v>
      </c>
      <c r="H88" s="29">
        <f>0</f>
        <v>0</v>
      </c>
      <c r="I88" s="166">
        <v>3</v>
      </c>
      <c r="J88" s="160" t="str">
        <f>IF(H88&lt;&gt;0,MAX(J$84:J87)+1,"")</f>
        <v/>
      </c>
      <c r="K88" s="159" t="str">
        <f t="shared" si="83"/>
        <v/>
      </c>
      <c r="L88" s="159"/>
      <c r="M88" s="159"/>
      <c r="N88" s="27">
        <v>5</v>
      </c>
      <c r="O88" s="63" t="b">
        <f>AND(AR27,Allinputsokres,AS27,AZ27,IF(H27="Class 1 building",FailClass1,IF(H27="Class 2 building",FailClass1,IF(H27="Class 4 building",FailClass1,IF(H27="Verandah or balcony",FailBalcony,IF(H27="Class 10 building",FailClass10,"FALSE"))))),NOT(AY27))</f>
        <v>0</v>
      </c>
      <c r="P88" s="128"/>
      <c r="Q88" s="128"/>
      <c r="R88" s="31"/>
      <c r="S88" s="31"/>
      <c r="T88" s="31"/>
      <c r="U88" s="244"/>
      <c r="V88" s="128"/>
      <c r="W88" s="34"/>
      <c r="X88" s="181" t="s">
        <v>174</v>
      </c>
      <c r="Y88" s="178">
        <v>0.85</v>
      </c>
      <c r="Z88" s="179" t="b">
        <v>1</v>
      </c>
      <c r="AA88" s="34"/>
      <c r="AB88" s="28"/>
      <c r="AC88" s="35"/>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128"/>
      <c r="BH88" s="26"/>
      <c r="BI88" s="26"/>
      <c r="BJ88" s="26"/>
      <c r="BK88" s="26"/>
      <c r="BL88" s="26"/>
      <c r="BM88" s="26"/>
      <c r="BN88" s="26"/>
      <c r="BO88" s="26"/>
      <c r="BP88" s="101" t="s">
        <v>168</v>
      </c>
      <c r="BQ88" s="26"/>
      <c r="BR88" s="26"/>
      <c r="BS88" s="26"/>
      <c r="BT88" s="26"/>
      <c r="BU88" s="26"/>
      <c r="BV88" s="90"/>
    </row>
    <row r="89" spans="1:108" ht="13.5" hidden="1" thickBot="1" x14ac:dyDescent="0.35">
      <c r="A89" s="245"/>
      <c r="B89" s="245"/>
      <c r="C89" s="246"/>
      <c r="D89" s="26"/>
      <c r="E89" s="125" t="s">
        <v>260</v>
      </c>
      <c r="F89" s="26"/>
      <c r="G89" s="26" t="b">
        <v>0</v>
      </c>
      <c r="H89" s="29"/>
      <c r="I89" s="29"/>
      <c r="J89" s="161">
        <f>COUNT(J84:J88)</f>
        <v>0</v>
      </c>
      <c r="K89" s="27"/>
      <c r="L89" s="128"/>
      <c r="M89" s="128"/>
      <c r="N89" s="27"/>
      <c r="O89" s="214">
        <f>AVERAGE(AE26:AE65)</f>
        <v>0</v>
      </c>
      <c r="P89" s="128"/>
      <c r="Q89" s="128"/>
      <c r="R89" s="31"/>
      <c r="S89" s="31"/>
      <c r="T89" s="31"/>
      <c r="U89" s="244"/>
      <c r="V89" s="128"/>
      <c r="W89" s="34"/>
      <c r="X89" s="182" t="s">
        <v>295</v>
      </c>
      <c r="Y89" s="178">
        <v>0.85</v>
      </c>
      <c r="Z89" s="179" t="b">
        <v>1</v>
      </c>
      <c r="AA89" s="34"/>
      <c r="AB89" s="28"/>
      <c r="AC89" s="35"/>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128"/>
      <c r="BH89" s="26"/>
      <c r="BI89" s="26"/>
      <c r="BJ89" s="26"/>
      <c r="BK89" s="26"/>
      <c r="BL89" s="26"/>
      <c r="BM89" s="26"/>
      <c r="BN89" s="26"/>
      <c r="BO89" s="26"/>
      <c r="BP89" s="65" t="b">
        <f>OR(BN26:BN65)</f>
        <v>0</v>
      </c>
      <c r="BQ89" s="26"/>
      <c r="BR89" s="26"/>
      <c r="BS89" s="26"/>
      <c r="BT89" s="26"/>
      <c r="BU89" s="26"/>
      <c r="BV89" s="90"/>
    </row>
    <row r="90" spans="1:108" hidden="1" x14ac:dyDescent="0.25">
      <c r="A90" s="245"/>
      <c r="B90" s="245"/>
      <c r="C90" s="246"/>
      <c r="D90" s="26"/>
      <c r="E90" s="125" t="s">
        <v>146</v>
      </c>
      <c r="F90" s="26"/>
      <c r="G90" s="26" t="b">
        <v>0</v>
      </c>
      <c r="H90" s="29"/>
      <c r="I90" s="29"/>
      <c r="J90" s="27"/>
      <c r="K90" s="27"/>
      <c r="L90" s="128"/>
      <c r="M90" s="128"/>
      <c r="N90" s="27"/>
      <c r="O90" s="27"/>
      <c r="P90" s="128"/>
      <c r="Q90" s="128"/>
      <c r="R90" s="31"/>
      <c r="S90" s="31"/>
      <c r="T90" s="31"/>
      <c r="U90" s="244"/>
      <c r="V90" s="128"/>
      <c r="W90" s="34"/>
      <c r="X90" s="181" t="s">
        <v>201</v>
      </c>
      <c r="Y90" s="178">
        <v>0.9</v>
      </c>
      <c r="Z90" s="179" t="b">
        <v>1</v>
      </c>
      <c r="AA90" s="34"/>
      <c r="AB90" s="28"/>
      <c r="AC90" s="35"/>
      <c r="AD90" s="26"/>
      <c r="AE90" s="26"/>
      <c r="AF90" s="26"/>
      <c r="AG90" s="26"/>
      <c r="AH90" s="26"/>
      <c r="AI90" s="26"/>
      <c r="AJ90" s="26"/>
      <c r="AK90" s="26"/>
      <c r="AL90" s="26"/>
      <c r="AM90" s="26"/>
      <c r="AN90" s="26"/>
      <c r="AO90" s="26"/>
      <c r="AP90" s="26"/>
      <c r="AQ90" s="26"/>
      <c r="AR90" s="26"/>
      <c r="AS90" s="26"/>
      <c r="AT90" s="26"/>
      <c r="AU90" s="26"/>
      <c r="AV90" s="26"/>
      <c r="AW90" s="26"/>
      <c r="AX90" s="60"/>
      <c r="AY90" s="60"/>
      <c r="AZ90" s="60"/>
      <c r="BA90" s="60"/>
      <c r="BB90" s="26"/>
      <c r="BC90" s="26"/>
      <c r="BD90" s="26"/>
      <c r="BE90" s="26"/>
      <c r="BF90" s="26"/>
      <c r="BG90" s="128"/>
      <c r="BH90" s="26"/>
      <c r="BI90" s="26"/>
      <c r="BJ90" s="26"/>
      <c r="BK90" s="26"/>
      <c r="BL90" s="26"/>
      <c r="BM90" s="26"/>
      <c r="BN90" s="26"/>
      <c r="BO90" s="26"/>
      <c r="BP90" s="26"/>
      <c r="BQ90" s="26"/>
      <c r="BR90" s="26"/>
      <c r="BS90" s="26"/>
      <c r="BT90" s="26"/>
      <c r="BU90" s="26"/>
      <c r="BV90" s="90"/>
    </row>
    <row r="91" spans="1:108" hidden="1" x14ac:dyDescent="0.25">
      <c r="A91" s="245"/>
      <c r="B91" s="245"/>
      <c r="C91" s="246"/>
      <c r="D91" s="26"/>
      <c r="E91" s="125" t="s">
        <v>259</v>
      </c>
      <c r="F91" s="26"/>
      <c r="G91" s="26" t="b">
        <v>0</v>
      </c>
      <c r="H91" s="29"/>
      <c r="I91" s="29"/>
      <c r="J91" s="27"/>
      <c r="K91" s="27"/>
      <c r="L91" s="128"/>
      <c r="M91" s="128"/>
      <c r="N91" s="27"/>
      <c r="O91" s="27"/>
      <c r="P91" s="128"/>
      <c r="Q91" s="128"/>
      <c r="R91" s="31"/>
      <c r="S91" s="31"/>
      <c r="T91" s="31"/>
      <c r="U91" s="244"/>
      <c r="V91" s="128"/>
      <c r="W91" s="34"/>
      <c r="X91" s="181" t="s">
        <v>78</v>
      </c>
      <c r="Y91" s="178">
        <v>0.8</v>
      </c>
      <c r="Z91" s="179" t="b">
        <v>1</v>
      </c>
      <c r="AA91" s="34"/>
      <c r="AB91" s="28"/>
      <c r="AC91" s="35"/>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128"/>
      <c r="BH91" s="26"/>
      <c r="BI91" s="26"/>
      <c r="BJ91" s="26"/>
      <c r="BK91" s="26"/>
      <c r="BL91" s="26"/>
      <c r="BM91" s="26"/>
      <c r="BN91" s="26"/>
      <c r="BO91" s="26"/>
      <c r="BP91" s="26"/>
      <c r="BQ91" s="26"/>
      <c r="BR91" s="26"/>
      <c r="BS91" s="26"/>
      <c r="BT91" s="26"/>
      <c r="BU91" s="26"/>
      <c r="BV91" s="90"/>
    </row>
    <row r="92" spans="1:108" hidden="1" x14ac:dyDescent="0.25">
      <c r="A92" s="245"/>
      <c r="B92" s="245"/>
      <c r="C92" s="246"/>
      <c r="D92" s="26"/>
      <c r="E92" s="125" t="s">
        <v>156</v>
      </c>
      <c r="F92" s="26"/>
      <c r="G92" s="26" t="b">
        <v>1</v>
      </c>
      <c r="H92" s="29"/>
      <c r="I92" s="29"/>
      <c r="J92" s="27"/>
      <c r="K92" s="27"/>
      <c r="L92" s="128"/>
      <c r="M92" s="128"/>
      <c r="N92" s="27"/>
      <c r="O92" s="27"/>
      <c r="P92" s="128"/>
      <c r="Q92" s="128"/>
      <c r="R92" s="31"/>
      <c r="S92" s="31"/>
      <c r="T92" s="31"/>
      <c r="U92" s="244"/>
      <c r="V92" s="128"/>
      <c r="W92" s="34"/>
      <c r="X92" s="181" t="s">
        <v>202</v>
      </c>
      <c r="Y92" s="178"/>
      <c r="Z92" s="183" t="b">
        <v>0</v>
      </c>
      <c r="AA92" s="34"/>
      <c r="AB92" s="28"/>
      <c r="AC92" s="35"/>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128"/>
      <c r="BH92" s="26"/>
      <c r="BI92" s="26"/>
      <c r="BJ92" s="26"/>
      <c r="BK92" s="26"/>
      <c r="BL92" s="26"/>
      <c r="BM92" s="26"/>
      <c r="BN92" s="26"/>
      <c r="BO92" s="26"/>
      <c r="BP92" s="26"/>
      <c r="BQ92" s="26"/>
      <c r="BR92" s="26"/>
      <c r="BS92" s="26"/>
      <c r="BT92" s="26"/>
      <c r="BU92" s="26"/>
      <c r="BV92" s="90"/>
    </row>
    <row r="93" spans="1:108" hidden="1" x14ac:dyDescent="0.25">
      <c r="A93" s="245"/>
      <c r="B93" s="245"/>
      <c r="C93" s="246"/>
      <c r="D93" s="26"/>
      <c r="E93" s="125" t="s">
        <v>148</v>
      </c>
      <c r="F93" s="26"/>
      <c r="G93" s="26" t="b">
        <v>0</v>
      </c>
      <c r="H93" s="29"/>
      <c r="I93" s="29"/>
      <c r="J93" s="27"/>
      <c r="K93" s="27"/>
      <c r="L93" s="128"/>
      <c r="M93" s="128"/>
      <c r="N93" s="27"/>
      <c r="O93" s="27"/>
      <c r="P93" s="128"/>
      <c r="Q93" s="128"/>
      <c r="R93" s="31"/>
      <c r="S93" s="31"/>
      <c r="T93" s="31"/>
      <c r="U93" s="244"/>
      <c r="V93" s="128"/>
      <c r="W93" s="34"/>
      <c r="X93" s="181" t="s">
        <v>203</v>
      </c>
      <c r="Y93" s="178"/>
      <c r="Z93" s="183" t="b">
        <v>0</v>
      </c>
      <c r="AA93" s="34"/>
      <c r="AB93" s="28"/>
      <c r="AC93" s="35"/>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128"/>
      <c r="BH93" s="26"/>
      <c r="BI93" s="26"/>
      <c r="BJ93" s="26"/>
      <c r="BK93" s="26"/>
      <c r="BL93" s="26"/>
      <c r="BM93" s="26"/>
      <c r="BN93" s="26"/>
      <c r="BO93" s="26"/>
      <c r="BP93" s="26"/>
      <c r="BQ93" s="26"/>
      <c r="BR93" s="26"/>
      <c r="BS93" s="26"/>
      <c r="BT93" s="26"/>
      <c r="BU93" s="26"/>
      <c r="BV93" s="90"/>
    </row>
    <row r="94" spans="1:108" ht="13" hidden="1" x14ac:dyDescent="0.3">
      <c r="A94" s="245"/>
      <c r="B94" s="245"/>
      <c r="C94" s="246"/>
      <c r="D94" s="26"/>
      <c r="E94" s="26"/>
      <c r="F94" s="26"/>
      <c r="G94" s="26"/>
      <c r="H94" s="26"/>
      <c r="I94" s="26"/>
      <c r="J94" s="26"/>
      <c r="K94" s="26"/>
      <c r="L94" s="26"/>
      <c r="M94" s="26"/>
      <c r="N94" s="26"/>
      <c r="O94" s="26"/>
      <c r="P94" s="26"/>
      <c r="Q94" s="26"/>
      <c r="R94" s="26"/>
      <c r="S94" s="222" t="s">
        <v>341</v>
      </c>
      <c r="T94" s="31"/>
      <c r="U94" s="244"/>
      <c r="V94" s="128"/>
      <c r="W94" s="34"/>
      <c r="X94" s="181" t="s">
        <v>207</v>
      </c>
      <c r="Y94" s="178">
        <v>0.5</v>
      </c>
      <c r="Z94" s="183" t="b">
        <v>1</v>
      </c>
      <c r="AA94" s="34"/>
      <c r="AB94" s="28"/>
      <c r="AC94" s="35"/>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128"/>
      <c r="BH94" s="26"/>
      <c r="BI94" s="26"/>
      <c r="BJ94" s="26"/>
      <c r="BK94" s="26"/>
      <c r="BL94" s="26"/>
      <c r="BM94" s="26"/>
      <c r="BN94" s="26"/>
      <c r="BO94" s="26"/>
      <c r="BP94" s="26"/>
      <c r="BQ94" s="26"/>
      <c r="BR94" s="26"/>
      <c r="BS94" s="26"/>
      <c r="BT94" s="26"/>
      <c r="BU94" s="26"/>
      <c r="BV94" s="90"/>
    </row>
    <row r="95" spans="1:108" ht="13" hidden="1" x14ac:dyDescent="0.3">
      <c r="A95" s="245"/>
      <c r="B95" s="245"/>
      <c r="C95" s="246"/>
      <c r="D95" s="26"/>
      <c r="E95" s="26"/>
      <c r="F95" s="26"/>
      <c r="G95" s="132" t="s">
        <v>113</v>
      </c>
      <c r="H95" s="68"/>
      <c r="I95" s="29"/>
      <c r="J95" s="27"/>
      <c r="K95" s="164" t="s">
        <v>114</v>
      </c>
      <c r="L95" s="317"/>
      <c r="M95" s="317"/>
      <c r="N95" s="27"/>
      <c r="O95" s="27"/>
      <c r="P95" s="128"/>
      <c r="Q95" s="203"/>
      <c r="R95" s="31"/>
      <c r="S95" s="133" t="s">
        <v>237</v>
      </c>
      <c r="T95" s="31"/>
      <c r="U95" s="244"/>
      <c r="V95" s="128"/>
      <c r="W95" s="34"/>
      <c r="X95" s="181" t="s">
        <v>208</v>
      </c>
      <c r="Y95" s="178">
        <v>0.6</v>
      </c>
      <c r="Z95" s="183" t="b">
        <v>1</v>
      </c>
      <c r="AA95" s="34"/>
      <c r="AB95" s="28"/>
      <c r="AC95" s="35"/>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60"/>
      <c r="BC95" s="26"/>
      <c r="BD95" s="26"/>
      <c r="BE95" s="26"/>
      <c r="BF95" s="26"/>
      <c r="BG95" s="128"/>
      <c r="BH95" s="26"/>
      <c r="BI95" s="26"/>
      <c r="BJ95" s="26"/>
      <c r="BK95" s="26"/>
      <c r="BL95" s="26"/>
      <c r="BM95" s="26"/>
      <c r="BN95" s="26"/>
      <c r="BO95" s="26"/>
      <c r="BP95" s="26"/>
      <c r="BQ95" s="26"/>
      <c r="BR95" s="26"/>
      <c r="BS95" s="26"/>
      <c r="BT95" s="26"/>
      <c r="BU95" s="26"/>
      <c r="BV95" s="90"/>
    </row>
    <row r="96" spans="1:108" hidden="1" x14ac:dyDescent="0.25">
      <c r="A96" s="245"/>
      <c r="B96" s="245"/>
      <c r="C96" s="246"/>
      <c r="D96" s="26"/>
      <c r="E96" s="26"/>
      <c r="F96" s="26"/>
      <c r="G96" s="29" t="s">
        <v>236</v>
      </c>
      <c r="H96" s="29"/>
      <c r="I96" s="29"/>
      <c r="J96" s="27" t="b">
        <f>ISBLANK((DescriptionTwo))</f>
        <v>1</v>
      </c>
      <c r="K96" s="70" t="str">
        <f>IF(J96,"1.  ENTER BUILDING NAME AND DESCRIPTION BELOW - identifying the particular part(s) covered by this assessment.","")</f>
        <v>1.  ENTER BUILDING NAME AND DESCRIPTION BELOW - identifying the particular part(s) covered by this assessment.</v>
      </c>
      <c r="L96" s="70"/>
      <c r="M96" s="70"/>
      <c r="N96" s="27"/>
      <c r="O96" s="27"/>
      <c r="P96" s="128"/>
      <c r="Q96" s="29" t="s">
        <v>503</v>
      </c>
      <c r="R96" s="31"/>
      <c r="S96" s="61" t="str">
        <f>IF(AND(ClassificationTwo=Class2,AC68&gt;0),"Class 2 SOU",IF(AND(ClassificationTwo=Class4,AC68&gt;0),"Class 4 part",""))</f>
        <v/>
      </c>
      <c r="T96" s="31"/>
      <c r="U96" s="244"/>
      <c r="V96" s="128"/>
      <c r="W96" s="34"/>
      <c r="X96" s="184">
        <v>0</v>
      </c>
      <c r="Y96" s="178"/>
      <c r="Z96" s="185" t="b">
        <v>1</v>
      </c>
      <c r="AA96" s="28"/>
      <c r="AB96" s="28"/>
      <c r="AC96" s="35"/>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128"/>
      <c r="BH96" s="26"/>
      <c r="BI96" s="26"/>
      <c r="BJ96" s="26"/>
      <c r="BK96" s="26"/>
      <c r="BL96" s="26"/>
      <c r="BM96" s="26"/>
      <c r="BN96" s="26"/>
      <c r="BO96" s="26"/>
      <c r="BP96" s="26"/>
      <c r="BQ96" s="26"/>
      <c r="BR96" s="26"/>
      <c r="BS96" s="26"/>
      <c r="BT96" s="26"/>
      <c r="BU96" s="26"/>
      <c r="BV96" s="90"/>
    </row>
    <row r="97" spans="1:74" ht="13" hidden="1" x14ac:dyDescent="0.3">
      <c r="A97" s="245"/>
      <c r="B97" s="245"/>
      <c r="C97" s="246"/>
      <c r="D97" s="26"/>
      <c r="E97" s="26"/>
      <c r="F97" s="26"/>
      <c r="G97" s="126" t="s">
        <v>219</v>
      </c>
      <c r="H97" s="126"/>
      <c r="I97" s="29"/>
      <c r="J97" s="27"/>
      <c r="K97" s="70"/>
      <c r="L97" s="70"/>
      <c r="M97" s="70"/>
      <c r="N97" s="27"/>
      <c r="O97" s="27"/>
      <c r="P97" s="128"/>
      <c r="Q97" s="29" t="s">
        <v>342</v>
      </c>
      <c r="R97" s="31"/>
      <c r="S97" s="61" t="str">
        <f>IF(AND(ClassificationTwo=Class2,AH68&gt;0),"Verandah or balcony",IF(AND(ClassificationTwo=Class4,AH68&gt;0),"Verandah or balcony",""))</f>
        <v/>
      </c>
      <c r="T97" s="31"/>
      <c r="U97" s="244"/>
      <c r="V97" s="128"/>
      <c r="W97" s="34"/>
      <c r="X97" s="187" t="s">
        <v>304</v>
      </c>
      <c r="Y97" s="119"/>
      <c r="Z97" s="119"/>
      <c r="AA97" s="28"/>
      <c r="AB97" s="28"/>
      <c r="AC97" s="35"/>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128"/>
      <c r="BH97" s="26"/>
      <c r="BI97" s="26"/>
      <c r="BJ97" s="26"/>
      <c r="BK97" s="26"/>
      <c r="BL97" s="26"/>
      <c r="BM97" s="26"/>
      <c r="BN97" s="26"/>
      <c r="BO97" s="26"/>
      <c r="BP97" s="26"/>
      <c r="BQ97" s="26"/>
      <c r="BR97" s="26"/>
      <c r="BS97" s="26"/>
      <c r="BT97" s="26"/>
      <c r="BU97" s="26"/>
      <c r="BV97" s="90"/>
    </row>
    <row r="98" spans="1:74" hidden="1" x14ac:dyDescent="0.25">
      <c r="A98" s="245"/>
      <c r="B98" s="245"/>
      <c r="C98" s="246"/>
      <c r="D98" s="26"/>
      <c r="E98" s="26"/>
      <c r="F98" s="26"/>
      <c r="G98" s="127" t="s">
        <v>221</v>
      </c>
      <c r="H98" s="127"/>
      <c r="I98" s="29"/>
      <c r="J98" s="27" t="b">
        <f>AND(NOT(J96),ISBLANK(ClassificationTwo))</f>
        <v>0</v>
      </c>
      <c r="K98" s="70" t="str">
        <f>IF(J98,"2.  ENTER CLASSIFICATION","")</f>
        <v/>
      </c>
      <c r="L98" s="70"/>
      <c r="M98" s="70"/>
      <c r="N98" s="27"/>
      <c r="O98" s="27"/>
      <c r="P98" s="128"/>
      <c r="Q98" s="29" t="s">
        <v>504</v>
      </c>
      <c r="R98" s="36"/>
      <c r="S98" s="61" t="str">
        <f>""</f>
        <v/>
      </c>
      <c r="T98" s="36"/>
      <c r="U98" s="244"/>
      <c r="V98" s="34"/>
      <c r="W98" s="186" t="s">
        <v>306</v>
      </c>
      <c r="X98" s="119"/>
      <c r="Y98" s="119"/>
      <c r="Z98" s="34"/>
      <c r="AA98" s="34"/>
      <c r="AB98" s="28"/>
      <c r="AC98" s="35"/>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128"/>
      <c r="BH98" s="26"/>
      <c r="BI98" s="26"/>
      <c r="BJ98" s="26"/>
      <c r="BK98" s="26"/>
      <c r="BL98" s="26"/>
      <c r="BM98" s="26"/>
      <c r="BN98" s="26"/>
      <c r="BO98" s="26"/>
      <c r="BP98" s="26"/>
      <c r="BQ98" s="26"/>
      <c r="BR98" s="26"/>
      <c r="BS98" s="26"/>
      <c r="BT98" s="26"/>
      <c r="BU98" s="26"/>
      <c r="BV98" s="90"/>
    </row>
    <row r="99" spans="1:74" ht="13" hidden="1" x14ac:dyDescent="0.3">
      <c r="A99" s="245"/>
      <c r="B99" s="245"/>
      <c r="C99" s="246"/>
      <c r="D99" s="26"/>
      <c r="E99" s="26"/>
      <c r="F99" s="26"/>
      <c r="G99" s="127" t="s">
        <v>222</v>
      </c>
      <c r="H99" s="127"/>
      <c r="I99" s="29"/>
      <c r="J99" s="27" t="b">
        <f>AND(NOT(J96),NOT(J98),COUNTA(D26:O65)=0)</f>
        <v>0</v>
      </c>
      <c r="K99" s="70" t="str">
        <f>IF(J99,"3.  Enter lighting system details.","")</f>
        <v/>
      </c>
      <c r="L99" s="70"/>
      <c r="M99" s="70"/>
      <c r="N99" s="27"/>
      <c r="O99" s="27"/>
      <c r="P99" s="128"/>
      <c r="Q99" s="128"/>
      <c r="R99" s="36"/>
      <c r="S99" s="768" t="s">
        <v>195</v>
      </c>
      <c r="T99" s="768"/>
      <c r="U99" s="244"/>
      <c r="V99" s="34"/>
      <c r="W99" s="119"/>
      <c r="X99" s="119"/>
      <c r="Y99" s="120"/>
      <c r="Z99" s="34"/>
      <c r="AA99" s="34"/>
      <c r="AB99" s="28"/>
      <c r="AC99" s="35"/>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128"/>
      <c r="BH99" s="26"/>
      <c r="BI99" s="26"/>
      <c r="BJ99" s="26"/>
      <c r="BK99" s="26"/>
      <c r="BL99" s="26"/>
      <c r="BM99" s="26"/>
      <c r="BN99" s="26"/>
      <c r="BO99" s="26"/>
      <c r="BP99" s="26"/>
      <c r="BQ99" s="26"/>
      <c r="BR99" s="26"/>
      <c r="BS99" s="26"/>
      <c r="BT99" s="26"/>
      <c r="BU99" s="26"/>
      <c r="BV99" s="90"/>
    </row>
    <row r="100" spans="1:74" ht="13" hidden="1" x14ac:dyDescent="0.3">
      <c r="A100" s="245"/>
      <c r="B100" s="245"/>
      <c r="C100" s="246"/>
      <c r="D100" s="26"/>
      <c r="E100" s="26"/>
      <c r="F100" s="26"/>
      <c r="G100" s="29"/>
      <c r="H100" s="29"/>
      <c r="I100" s="29"/>
      <c r="J100" s="27"/>
      <c r="K100" s="27"/>
      <c r="L100" s="128"/>
      <c r="M100" s="128"/>
      <c r="N100" s="27"/>
      <c r="O100" s="27"/>
      <c r="P100" s="128"/>
      <c r="Q100" s="128"/>
      <c r="R100" s="31"/>
      <c r="S100" s="116" t="s">
        <v>95</v>
      </c>
      <c r="T100" s="117" t="s">
        <v>96</v>
      </c>
      <c r="U100" s="244"/>
      <c r="V100" s="34"/>
      <c r="W100" s="121"/>
      <c r="X100" s="120"/>
      <c r="Y100" s="120"/>
      <c r="Z100" s="34"/>
      <c r="AA100" s="34"/>
      <c r="AB100" s="28"/>
      <c r="AC100" s="35"/>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128"/>
      <c r="BH100" s="26"/>
      <c r="BI100" s="26"/>
      <c r="BJ100" s="26"/>
      <c r="BK100" s="26"/>
      <c r="BL100" s="26"/>
      <c r="BM100" s="26"/>
      <c r="BN100" s="26"/>
      <c r="BO100" s="26"/>
      <c r="BP100" s="26"/>
      <c r="BQ100" s="26"/>
      <c r="BR100" s="26"/>
      <c r="BS100" s="26"/>
      <c r="BT100" s="26"/>
      <c r="BU100" s="26"/>
      <c r="BV100" s="90"/>
    </row>
    <row r="101" spans="1:74" ht="13" hidden="1" x14ac:dyDescent="0.3">
      <c r="A101" s="245"/>
      <c r="B101" s="245"/>
      <c r="C101" s="246"/>
      <c r="D101" s="26"/>
      <c r="E101" s="26"/>
      <c r="F101" s="26"/>
      <c r="G101" s="127" t="s">
        <v>238</v>
      </c>
      <c r="H101" s="127"/>
      <c r="I101" s="29"/>
      <c r="J101" s="27" t="b">
        <f>AND(NOT(ISBLANK(DescriptionTwo)),NOT(ISBLANK(ClassificationTwo)))</f>
        <v>0</v>
      </c>
      <c r="K101" s="130" t="s">
        <v>293</v>
      </c>
      <c r="L101" s="130"/>
      <c r="M101" s="130"/>
      <c r="N101" s="27"/>
      <c r="O101" s="27"/>
      <c r="P101" s="128"/>
      <c r="Q101" s="29" t="s">
        <v>504</v>
      </c>
      <c r="R101" s="31"/>
      <c r="S101" s="135" t="str">
        <f>IF(AND(InputIssuesTwo=0,AC68&gt;0),ROUND(AE68,PrecisionTwo),"")</f>
        <v/>
      </c>
      <c r="T101" s="136" t="str">
        <f>IF(AND(InputIssuesTwo=0,AC68&gt;0),ROUND(AD68/AC68,PrecisionTwo),"")</f>
        <v/>
      </c>
      <c r="U101" s="220" t="e">
        <f>T101/S101</f>
        <v>#VALUE!</v>
      </c>
      <c r="V101" s="130" t="s">
        <v>337</v>
      </c>
      <c r="W101" s="31"/>
      <c r="X101" s="34"/>
      <c r="Y101" s="34"/>
      <c r="Z101" s="34"/>
      <c r="AA101" s="34"/>
      <c r="AB101" s="28"/>
      <c r="AC101" s="35"/>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128"/>
      <c r="BH101" s="26"/>
      <c r="BI101" s="26"/>
      <c r="BJ101" s="26"/>
      <c r="BK101" s="26"/>
      <c r="BL101" s="26"/>
      <c r="BM101" s="26"/>
      <c r="BN101" s="26"/>
      <c r="BO101" s="26"/>
      <c r="BP101" s="26"/>
      <c r="BQ101" s="26"/>
      <c r="BR101" s="26"/>
      <c r="BS101" s="26"/>
      <c r="BT101" s="26"/>
      <c r="BU101" s="26"/>
      <c r="BV101" s="90"/>
    </row>
    <row r="102" spans="1:74" ht="13" hidden="1" x14ac:dyDescent="0.3">
      <c r="A102" s="245"/>
      <c r="B102" s="245"/>
      <c r="C102" s="246"/>
      <c r="D102" s="26"/>
      <c r="E102" s="26"/>
      <c r="F102" s="26"/>
      <c r="G102" s="29"/>
      <c r="H102" s="29"/>
      <c r="I102" s="29"/>
      <c r="J102" s="27"/>
      <c r="K102" s="27"/>
      <c r="L102" s="128"/>
      <c r="M102" s="128"/>
      <c r="N102" s="27"/>
      <c r="O102" s="27"/>
      <c r="P102" s="128"/>
      <c r="Q102" s="29" t="s">
        <v>194</v>
      </c>
      <c r="R102" s="31"/>
      <c r="S102" s="135" t="str">
        <f>S101</f>
        <v/>
      </c>
      <c r="T102" s="136" t="str">
        <f>T101</f>
        <v/>
      </c>
      <c r="U102" s="220" t="e">
        <f>T102/S102</f>
        <v>#VALUE!</v>
      </c>
      <c r="V102" s="130"/>
      <c r="W102" s="31"/>
      <c r="X102" s="34"/>
      <c r="Y102" s="34"/>
      <c r="Z102" s="34"/>
      <c r="AA102" s="34"/>
      <c r="AB102" s="28"/>
      <c r="AC102" s="35"/>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128"/>
      <c r="BH102" s="26"/>
      <c r="BI102" s="26"/>
      <c r="BJ102" s="26"/>
      <c r="BK102" s="26"/>
      <c r="BL102" s="26"/>
      <c r="BM102" s="26"/>
      <c r="BN102" s="26"/>
      <c r="BO102" s="26"/>
      <c r="BP102" s="26"/>
      <c r="BQ102" s="26"/>
      <c r="BR102" s="26"/>
      <c r="BS102" s="26"/>
      <c r="BT102" s="26"/>
      <c r="BU102" s="26"/>
      <c r="BV102" s="90"/>
    </row>
    <row r="103" spans="1:74" ht="13" hidden="1" x14ac:dyDescent="0.3">
      <c r="A103" s="245"/>
      <c r="B103" s="245"/>
      <c r="C103" s="246"/>
      <c r="D103" s="26"/>
      <c r="E103" s="26"/>
      <c r="F103" s="26"/>
      <c r="G103" s="29"/>
      <c r="H103" s="29"/>
      <c r="I103" s="29"/>
      <c r="J103" s="27"/>
      <c r="K103" s="27"/>
      <c r="L103" s="128"/>
      <c r="M103" s="128"/>
      <c r="N103" s="27"/>
      <c r="O103" s="27"/>
      <c r="P103" s="128"/>
      <c r="Q103" s="29" t="s">
        <v>156</v>
      </c>
      <c r="R103" s="31"/>
      <c r="S103" s="135" t="str">
        <f>IF(AND(InputIssuesTwo=0,AH68&gt;0),ROUND(AJ68,PrecisionTwo),"")</f>
        <v/>
      </c>
      <c r="T103" s="136" t="str">
        <f>IF(AND(InputIssuesTwo=0,AH68&gt;0),ROUND(AI68/AH68,PrecisionTwo),"")</f>
        <v/>
      </c>
      <c r="U103" s="220" t="e">
        <f>T103/S103</f>
        <v>#VALUE!</v>
      </c>
      <c r="V103" s="130" t="s">
        <v>338</v>
      </c>
      <c r="W103" s="31"/>
      <c r="X103" s="34"/>
      <c r="Y103" s="34"/>
      <c r="Z103" s="34"/>
      <c r="AA103" s="34"/>
      <c r="AB103" s="28"/>
      <c r="AC103" s="35"/>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128"/>
      <c r="BH103" s="26"/>
      <c r="BI103" s="26"/>
      <c r="BJ103" s="26"/>
      <c r="BK103" s="26"/>
      <c r="BL103" s="26"/>
      <c r="BM103" s="26"/>
      <c r="BN103" s="26"/>
      <c r="BO103" s="26"/>
      <c r="BP103" s="26"/>
      <c r="BQ103" s="26"/>
      <c r="BR103" s="26"/>
      <c r="BS103" s="26"/>
      <c r="BT103" s="26"/>
      <c r="BU103" s="26"/>
      <c r="BV103" s="90"/>
    </row>
    <row r="104" spans="1:74" ht="13" hidden="1" x14ac:dyDescent="0.3">
      <c r="A104" s="245"/>
      <c r="B104" s="245"/>
      <c r="C104" s="246"/>
      <c r="D104" s="26"/>
      <c r="E104" s="26"/>
      <c r="F104" s="26"/>
      <c r="G104" s="29"/>
      <c r="H104" s="29"/>
      <c r="I104" s="29"/>
      <c r="J104" s="27"/>
      <c r="K104" s="27"/>
      <c r="L104" s="128"/>
      <c r="M104" s="128"/>
      <c r="N104" s="27"/>
      <c r="O104" s="27"/>
      <c r="P104" s="128"/>
      <c r="Q104" s="29" t="s">
        <v>504</v>
      </c>
      <c r="R104" s="31"/>
      <c r="S104" s="135" t="str">
        <f>IF(AND(InputIssuesTwo=0,AM68&gt;0),ROUND(AO68,PrecisionTwo),"")</f>
        <v/>
      </c>
      <c r="T104" s="136" t="str">
        <f>IF(AND(InputIssuesTwo=0,AM68&gt;0),ROUND(AN68/AM68,PrecisionTwo),"")</f>
        <v/>
      </c>
      <c r="U104" s="220" t="e">
        <f>T104/S104</f>
        <v>#VALUE!</v>
      </c>
      <c r="V104" s="130" t="s">
        <v>339</v>
      </c>
      <c r="W104" s="62" t="s">
        <v>85</v>
      </c>
      <c r="X104" s="34"/>
      <c r="Y104" s="34"/>
      <c r="Z104" s="34"/>
      <c r="AA104" s="34"/>
      <c r="AB104" s="28"/>
      <c r="AC104" s="28"/>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128"/>
      <c r="BH104" s="26"/>
      <c r="BI104" s="26"/>
      <c r="BJ104" s="26"/>
      <c r="BK104" s="26"/>
      <c r="BL104" s="26"/>
      <c r="BM104" s="26"/>
      <c r="BN104" s="26"/>
      <c r="BO104" s="26"/>
      <c r="BP104" s="26"/>
      <c r="BQ104" s="26"/>
      <c r="BR104" s="26"/>
      <c r="BS104" s="26"/>
      <c r="BT104" s="26"/>
      <c r="BU104" s="26"/>
      <c r="BV104" s="90"/>
    </row>
    <row r="105" spans="1:74" ht="13" hidden="1" x14ac:dyDescent="0.3">
      <c r="A105" s="245"/>
      <c r="B105" s="245"/>
      <c r="C105" s="246"/>
      <c r="D105" s="26"/>
      <c r="E105" s="26"/>
      <c r="F105" s="26"/>
      <c r="G105" s="29"/>
      <c r="H105" s="29"/>
      <c r="I105" s="29"/>
      <c r="J105" s="27"/>
      <c r="K105" s="27"/>
      <c r="L105" s="128"/>
      <c r="M105" s="128"/>
      <c r="N105" s="27"/>
      <c r="O105" s="27"/>
      <c r="P105" s="128"/>
      <c r="Q105" s="130" t="s">
        <v>226</v>
      </c>
      <c r="R105" s="31"/>
      <c r="S105" s="31"/>
      <c r="T105" s="31"/>
      <c r="U105" s="244"/>
      <c r="V105" s="34"/>
      <c r="W105" s="176" t="s">
        <v>340</v>
      </c>
      <c r="X105" s="31"/>
      <c r="Y105" s="31"/>
      <c r="Z105" s="31"/>
      <c r="AA105" s="31"/>
      <c r="AB105" s="34"/>
      <c r="AC105" s="28"/>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128"/>
      <c r="BH105" s="26"/>
      <c r="BI105" s="26"/>
      <c r="BJ105" s="26"/>
      <c r="BK105" s="26"/>
      <c r="BL105" s="26"/>
      <c r="BM105" s="26"/>
      <c r="BN105" s="26"/>
      <c r="BO105" s="26"/>
      <c r="BP105" s="26"/>
      <c r="BQ105" s="26"/>
      <c r="BR105" s="26"/>
      <c r="BS105" s="26"/>
      <c r="BT105" s="26"/>
      <c r="BU105" s="26"/>
      <c r="BV105" s="90"/>
    </row>
    <row r="106" spans="1:74" ht="13" hidden="1" x14ac:dyDescent="0.3">
      <c r="A106" s="245"/>
      <c r="B106" s="245"/>
      <c r="C106" s="246"/>
      <c r="D106" s="26"/>
      <c r="E106" s="26"/>
      <c r="F106" s="26"/>
      <c r="G106" s="93" t="s">
        <v>162</v>
      </c>
      <c r="H106" s="93"/>
      <c r="I106" s="94"/>
      <c r="J106" s="69"/>
      <c r="K106" s="27"/>
      <c r="L106" s="128"/>
      <c r="M106" s="128"/>
      <c r="N106" s="27"/>
      <c r="O106" s="27"/>
      <c r="P106" s="128"/>
      <c r="Q106" s="130" t="s">
        <v>227</v>
      </c>
      <c r="R106" s="26"/>
      <c r="S106" s="26"/>
      <c r="T106" s="26"/>
      <c r="U106" s="244"/>
      <c r="V106" s="26"/>
      <c r="W106" s="176" t="s">
        <v>97</v>
      </c>
      <c r="X106" s="26"/>
      <c r="Y106" s="26"/>
      <c r="Z106" s="26"/>
      <c r="AA106" s="26"/>
      <c r="AB106" s="28"/>
      <c r="AC106" s="28"/>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128"/>
      <c r="BH106" s="26"/>
      <c r="BI106" s="26"/>
      <c r="BJ106" s="26"/>
      <c r="BK106" s="26"/>
      <c r="BL106" s="26"/>
      <c r="BM106" s="26"/>
      <c r="BN106" s="26"/>
      <c r="BO106" s="26"/>
      <c r="BP106" s="26"/>
      <c r="BQ106" s="26"/>
      <c r="BR106" s="26"/>
      <c r="BS106" s="26"/>
      <c r="BT106" s="26"/>
      <c r="BU106" s="26"/>
      <c r="BV106" s="90"/>
    </row>
    <row r="107" spans="1:74" ht="13" hidden="1" x14ac:dyDescent="0.3">
      <c r="A107" s="245"/>
      <c r="B107" s="245"/>
      <c r="C107" s="246"/>
      <c r="D107" s="26"/>
      <c r="E107" s="26"/>
      <c r="F107" s="26"/>
      <c r="G107" s="29"/>
      <c r="H107" s="29"/>
      <c r="I107" s="29"/>
      <c r="J107" s="27"/>
      <c r="K107" s="27"/>
      <c r="L107" s="128"/>
      <c r="M107" s="128"/>
      <c r="N107" s="27"/>
      <c r="O107" s="27"/>
      <c r="P107" s="128"/>
      <c r="Q107" s="130" t="s">
        <v>234</v>
      </c>
      <c r="R107" s="26"/>
      <c r="S107" s="26"/>
      <c r="T107" s="26"/>
      <c r="U107" s="244"/>
      <c r="V107" s="26"/>
      <c r="W107" s="130" t="s">
        <v>305</v>
      </c>
      <c r="X107" s="26"/>
      <c r="Y107" s="26"/>
      <c r="Z107" s="26"/>
      <c r="AA107" s="26"/>
      <c r="AB107" s="28"/>
      <c r="AC107" s="28"/>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128"/>
      <c r="BH107" s="26"/>
      <c r="BI107" s="26"/>
      <c r="BJ107" s="26"/>
      <c r="BK107" s="26"/>
      <c r="BL107" s="26"/>
      <c r="BM107" s="26"/>
      <c r="BN107" s="26"/>
      <c r="BO107" s="26"/>
      <c r="BP107" s="26"/>
      <c r="BQ107" s="26"/>
      <c r="BR107" s="26"/>
      <c r="BS107" s="26"/>
      <c r="BT107" s="26"/>
      <c r="BU107" s="26"/>
      <c r="BV107" s="90"/>
    </row>
    <row r="108" spans="1:74" ht="13" hidden="1" x14ac:dyDescent="0.3">
      <c r="A108" s="245"/>
      <c r="B108" s="245"/>
      <c r="C108" s="246"/>
      <c r="D108" s="26"/>
      <c r="E108" s="26"/>
      <c r="F108" s="26"/>
      <c r="G108" s="29" t="s">
        <v>163</v>
      </c>
      <c r="H108" s="29"/>
      <c r="I108" s="99" t="b">
        <f>AND(PassClass1,PassBalcony,PassClass10,I110)</f>
        <v>0</v>
      </c>
      <c r="J108" s="241" t="str">
        <f>IF(AND(I108,I110),"Green","n/a")</f>
        <v>n/a</v>
      </c>
      <c r="K108" s="130" t="s">
        <v>360</v>
      </c>
      <c r="L108" s="130"/>
      <c r="M108" s="130"/>
      <c r="N108" s="27"/>
      <c r="O108" s="27"/>
      <c r="P108" s="128"/>
      <c r="Q108" s="130" t="s">
        <v>235</v>
      </c>
      <c r="R108" s="26"/>
      <c r="S108" s="26"/>
      <c r="T108" s="26"/>
      <c r="U108" s="244"/>
      <c r="V108" s="26"/>
      <c r="W108" s="26"/>
      <c r="X108" s="26"/>
      <c r="Y108" s="26"/>
      <c r="Z108" s="26"/>
      <c r="AA108" s="26"/>
      <c r="AB108" s="28"/>
      <c r="AC108" s="28"/>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128"/>
      <c r="BH108" s="26"/>
      <c r="BI108" s="26"/>
      <c r="BJ108" s="26"/>
      <c r="BK108" s="26"/>
      <c r="BL108" s="26"/>
      <c r="BM108" s="26"/>
      <c r="BN108" s="26"/>
      <c r="BO108" s="26"/>
      <c r="BP108" s="26"/>
      <c r="BQ108" s="26"/>
      <c r="BR108" s="26"/>
      <c r="BS108" s="26"/>
      <c r="BT108" s="26"/>
      <c r="BU108" s="26"/>
      <c r="BV108" s="90"/>
    </row>
    <row r="109" spans="1:74" ht="13" hidden="1" x14ac:dyDescent="0.3">
      <c r="A109" s="245"/>
      <c r="B109" s="245"/>
      <c r="C109" s="246"/>
      <c r="D109" s="26"/>
      <c r="E109" s="26"/>
      <c r="F109" s="26"/>
      <c r="G109" s="29" t="s">
        <v>165</v>
      </c>
      <c r="H109" s="29"/>
      <c r="I109" s="99" t="b">
        <f>OR(FailClass1,FailBalcony,FailClass10)</f>
        <v>0</v>
      </c>
      <c r="J109" s="241" t="str">
        <f>IF(AND(I109,I110),"Red","n/a")</f>
        <v>n/a</v>
      </c>
      <c r="K109" s="130" t="s">
        <v>360</v>
      </c>
      <c r="L109" s="130"/>
      <c r="M109" s="130"/>
      <c r="N109" s="27"/>
      <c r="O109" s="27"/>
      <c r="P109" s="128"/>
      <c r="Q109" s="128"/>
      <c r="R109" s="26"/>
      <c r="S109" s="26"/>
      <c r="T109" s="26"/>
      <c r="U109" s="244"/>
      <c r="V109" s="26"/>
      <c r="W109" s="26"/>
      <c r="X109" s="26"/>
      <c r="Y109" s="26"/>
      <c r="Z109" s="26"/>
      <c r="AA109" s="26"/>
      <c r="AB109" s="28"/>
      <c r="AC109" s="28"/>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128"/>
      <c r="BH109" s="26"/>
      <c r="BI109" s="26"/>
      <c r="BJ109" s="26"/>
      <c r="BK109" s="26"/>
      <c r="BL109" s="26"/>
      <c r="BM109" s="26"/>
      <c r="BN109" s="26"/>
      <c r="BO109" s="26"/>
      <c r="BP109" s="26"/>
      <c r="BQ109" s="26"/>
      <c r="BR109" s="26"/>
      <c r="BS109" s="26"/>
      <c r="BT109" s="26"/>
      <c r="BU109" s="26"/>
      <c r="BV109" s="90"/>
    </row>
    <row r="110" spans="1:74" ht="13" hidden="1" x14ac:dyDescent="0.3">
      <c r="A110" s="245"/>
      <c r="B110" s="245"/>
      <c r="C110" s="246"/>
      <c r="D110" s="26"/>
      <c r="E110" s="26"/>
      <c r="F110" s="26"/>
      <c r="G110" s="29" t="s">
        <v>164</v>
      </c>
      <c r="H110" s="29"/>
      <c r="I110" s="29" t="b">
        <f>AND(Allinputsokres,TopInputsOKTwo,InputIssuesTwo=0)</f>
        <v>0</v>
      </c>
      <c r="J110" s="27"/>
      <c r="K110" s="27"/>
      <c r="L110" s="128"/>
      <c r="M110" s="128"/>
      <c r="N110" s="27"/>
      <c r="O110" s="27"/>
      <c r="P110" s="128"/>
      <c r="Q110" s="95" t="s">
        <v>332</v>
      </c>
      <c r="R110" s="26"/>
      <c r="S110" s="26"/>
      <c r="T110" s="26"/>
      <c r="U110" s="244"/>
      <c r="V110" s="26"/>
      <c r="W110" s="26"/>
      <c r="X110" s="26"/>
      <c r="Y110" s="26"/>
      <c r="Z110" s="26"/>
      <c r="AA110" s="26"/>
      <c r="AB110" s="28"/>
      <c r="AC110" s="28"/>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128"/>
      <c r="BH110" s="26"/>
      <c r="BI110" s="26"/>
      <c r="BJ110" s="26"/>
      <c r="BK110" s="26"/>
      <c r="BL110" s="26"/>
      <c r="BM110" s="26"/>
      <c r="BN110" s="26"/>
      <c r="BO110" s="26"/>
      <c r="BP110" s="26"/>
      <c r="BQ110" s="26"/>
      <c r="BR110" s="26"/>
      <c r="BS110" s="26"/>
      <c r="BT110" s="26"/>
      <c r="BU110" s="26"/>
      <c r="BV110" s="90"/>
    </row>
    <row r="111" spans="1:74" ht="13" hidden="1" x14ac:dyDescent="0.3">
      <c r="A111" s="245"/>
      <c r="B111" s="245"/>
      <c r="C111" s="246"/>
      <c r="D111" s="26"/>
      <c r="E111" s="26"/>
      <c r="F111" s="26"/>
      <c r="G111" s="26"/>
      <c r="H111" s="29"/>
      <c r="I111" s="29"/>
      <c r="J111" s="27"/>
      <c r="K111" s="27"/>
      <c r="L111" s="128"/>
      <c r="M111" s="128"/>
      <c r="N111" s="27"/>
      <c r="O111" s="27"/>
      <c r="P111" s="128"/>
      <c r="Q111" s="206">
        <v>1</v>
      </c>
      <c r="R111" s="130" t="s">
        <v>356</v>
      </c>
      <c r="S111" s="26"/>
      <c r="T111" s="26"/>
      <c r="U111" s="244"/>
      <c r="V111" s="26"/>
      <c r="W111" s="26"/>
      <c r="X111" s="26"/>
      <c r="Y111" s="26"/>
      <c r="Z111" s="26"/>
      <c r="AA111" s="26"/>
      <c r="AB111" s="28"/>
      <c r="AC111" s="28"/>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128"/>
      <c r="BH111" s="26"/>
      <c r="BI111" s="26"/>
      <c r="BJ111" s="26"/>
      <c r="BK111" s="26"/>
      <c r="BL111" s="26"/>
      <c r="BM111" s="26"/>
      <c r="BN111" s="26"/>
      <c r="BO111" s="26"/>
      <c r="BP111" s="26"/>
      <c r="BQ111" s="26"/>
      <c r="BR111" s="26"/>
      <c r="BS111" s="26"/>
      <c r="BT111" s="26"/>
      <c r="BU111" s="26"/>
      <c r="BV111" s="90"/>
    </row>
    <row r="112" spans="1:74" hidden="1" x14ac:dyDescent="0.25">
      <c r="A112" s="245"/>
      <c r="B112" s="245"/>
      <c r="C112" s="246"/>
      <c r="D112" s="26"/>
      <c r="E112" s="26"/>
      <c r="F112" s="26"/>
      <c r="G112" s="26"/>
      <c r="H112" s="29"/>
      <c r="I112" s="29"/>
      <c r="J112" s="27"/>
      <c r="K112" s="27"/>
      <c r="L112" s="128"/>
      <c r="M112" s="128"/>
      <c r="N112" s="27"/>
      <c r="O112" s="27"/>
      <c r="P112" s="128"/>
      <c r="Q112" s="128"/>
      <c r="R112" s="26"/>
      <c r="S112" s="26"/>
      <c r="T112" s="26"/>
      <c r="U112" s="244"/>
      <c r="V112" s="26"/>
      <c r="W112" s="26"/>
      <c r="X112" s="26"/>
      <c r="Y112" s="26"/>
      <c r="Z112" s="26"/>
      <c r="AA112" s="26"/>
      <c r="AB112" s="28"/>
      <c r="AC112" s="28"/>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128"/>
      <c r="BH112" s="26"/>
      <c r="BI112" s="26"/>
      <c r="BJ112" s="26"/>
      <c r="BK112" s="26"/>
      <c r="BL112" s="26"/>
      <c r="BM112" s="26"/>
      <c r="BN112" s="26"/>
      <c r="BO112" s="26"/>
      <c r="BP112" s="26"/>
      <c r="BQ112" s="26"/>
      <c r="BR112" s="26"/>
      <c r="BS112" s="26"/>
      <c r="BT112" s="26"/>
      <c r="BU112" s="26"/>
      <c r="BV112" s="90"/>
    </row>
    <row r="113" spans="1:74" hidden="1" x14ac:dyDescent="0.25">
      <c r="A113" s="245"/>
      <c r="B113" s="245"/>
      <c r="C113" s="246"/>
      <c r="D113" s="26"/>
      <c r="E113" s="26"/>
      <c r="F113" s="26"/>
      <c r="G113" s="26"/>
      <c r="H113" s="29"/>
      <c r="I113" s="29"/>
      <c r="J113" s="27"/>
      <c r="K113" s="27"/>
      <c r="L113" s="128"/>
      <c r="M113" s="128"/>
      <c r="N113" s="27"/>
      <c r="O113" s="27"/>
      <c r="P113" s="128"/>
      <c r="Q113" s="128"/>
      <c r="R113" s="26"/>
      <c r="S113" s="26"/>
      <c r="T113" s="26"/>
      <c r="U113" s="244"/>
      <c r="V113" s="26"/>
      <c r="W113" s="26"/>
      <c r="X113" s="26"/>
      <c r="Y113" s="26"/>
      <c r="Z113" s="26"/>
      <c r="AA113" s="26"/>
      <c r="AB113" s="28"/>
      <c r="AC113" s="28"/>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128"/>
      <c r="BH113" s="26"/>
      <c r="BI113" s="26"/>
      <c r="BJ113" s="26"/>
      <c r="BK113" s="26"/>
      <c r="BL113" s="26"/>
      <c r="BM113" s="26"/>
      <c r="BN113" s="26"/>
      <c r="BO113" s="26"/>
      <c r="BP113" s="26"/>
      <c r="BQ113" s="26"/>
      <c r="BR113" s="26"/>
      <c r="BS113" s="26"/>
      <c r="BT113" s="26"/>
      <c r="BU113" s="26"/>
      <c r="BV113" s="90"/>
    </row>
    <row r="114" spans="1:74" ht="13" hidden="1" x14ac:dyDescent="0.3">
      <c r="A114" s="245"/>
      <c r="B114" s="245"/>
      <c r="C114" s="246"/>
      <c r="D114" s="26"/>
      <c r="E114" s="26"/>
      <c r="F114" s="26"/>
      <c r="G114" s="26"/>
      <c r="H114" s="115" t="s">
        <v>206</v>
      </c>
      <c r="I114" s="29"/>
      <c r="J114" s="27"/>
      <c r="K114" s="27"/>
      <c r="L114" s="128"/>
      <c r="M114" s="128"/>
      <c r="N114" s="27"/>
      <c r="O114" s="27"/>
      <c r="P114" s="128"/>
      <c r="Q114" s="128"/>
      <c r="R114" s="26"/>
      <c r="S114" s="26"/>
      <c r="T114" s="26"/>
      <c r="U114" s="244"/>
      <c r="V114" s="26"/>
      <c r="W114" s="26"/>
      <c r="X114" s="26"/>
      <c r="Y114" s="26"/>
      <c r="Z114" s="26"/>
      <c r="AA114" s="26"/>
      <c r="AB114" s="28"/>
      <c r="AC114" s="28"/>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128"/>
      <c r="BH114" s="26"/>
      <c r="BI114" s="26"/>
      <c r="BJ114" s="26"/>
      <c r="BK114" s="26"/>
      <c r="BL114" s="26"/>
      <c r="BM114" s="26"/>
      <c r="BN114" s="26"/>
      <c r="BO114" s="26"/>
      <c r="BP114" s="26"/>
      <c r="BQ114" s="26"/>
      <c r="BR114" s="26"/>
      <c r="BS114" s="26"/>
      <c r="BT114" s="26"/>
      <c r="BU114" s="26"/>
      <c r="BV114" s="90"/>
    </row>
    <row r="115" spans="1:74" hidden="1" x14ac:dyDescent="0.25">
      <c r="A115" s="245"/>
      <c r="B115" s="245"/>
      <c r="C115" s="246"/>
      <c r="D115" s="26"/>
      <c r="E115" s="26"/>
      <c r="F115" s="26"/>
      <c r="G115" s="26"/>
      <c r="H115" s="29"/>
      <c r="I115" s="29"/>
      <c r="J115" s="27"/>
      <c r="K115" s="27"/>
      <c r="L115" s="128"/>
      <c r="M115" s="128"/>
      <c r="N115" s="27"/>
      <c r="O115" s="27"/>
      <c r="P115" s="128"/>
      <c r="Q115" s="128"/>
      <c r="R115" s="26"/>
      <c r="S115" s="26"/>
      <c r="T115" s="26"/>
      <c r="U115" s="244"/>
      <c r="V115" s="26"/>
      <c r="W115" s="26"/>
      <c r="X115" s="26"/>
      <c r="Y115" s="26"/>
      <c r="Z115" s="26"/>
      <c r="AA115" s="26"/>
      <c r="AB115" s="28"/>
      <c r="AC115" s="28"/>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128"/>
      <c r="BH115" s="26"/>
      <c r="BI115" s="26"/>
      <c r="BJ115" s="26"/>
      <c r="BK115" s="26"/>
      <c r="BL115" s="26"/>
      <c r="BM115" s="26"/>
      <c r="BN115" s="26"/>
      <c r="BO115" s="26"/>
      <c r="BP115" s="26"/>
      <c r="BQ115" s="26"/>
      <c r="BR115" s="26"/>
      <c r="BS115" s="26"/>
      <c r="BT115" s="26"/>
      <c r="BU115" s="26"/>
      <c r="BV115" s="90"/>
    </row>
    <row r="116" spans="1:74" hidden="1" x14ac:dyDescent="0.25">
      <c r="A116" s="245"/>
      <c r="B116" s="245"/>
      <c r="C116" s="246"/>
      <c r="D116" s="26"/>
      <c r="E116" s="26"/>
      <c r="F116" s="26"/>
      <c r="G116" s="26"/>
      <c r="H116" s="29" t="str">
        <f>IF(OR(AND(AC71,AH71),AND(AC71,AM71),AND(AH71,AM71)),"Separate aggregate allowances are calculated for Class 1, 2 or 4 cases; for a verandah or balcony; or for a Class 10 building. The '% of Allowance Used' outcomes refer to these aggregate allowances.","")</f>
        <v/>
      </c>
      <c r="I116" s="29"/>
      <c r="J116" s="27"/>
      <c r="K116" s="27"/>
      <c r="L116" s="128"/>
      <c r="M116" s="128"/>
      <c r="N116" s="27"/>
      <c r="O116" s="27"/>
      <c r="P116" s="128"/>
      <c r="Q116" s="128"/>
      <c r="R116" s="26"/>
      <c r="S116" s="26"/>
      <c r="T116" s="26"/>
      <c r="U116" s="244"/>
      <c r="V116" s="26"/>
      <c r="W116" s="26"/>
      <c r="X116" s="26"/>
      <c r="Y116" s="26"/>
      <c r="Z116" s="26"/>
      <c r="AA116" s="26"/>
      <c r="AB116" s="28"/>
      <c r="AC116" s="28"/>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128"/>
      <c r="BH116" s="26"/>
      <c r="BI116" s="26"/>
      <c r="BJ116" s="26"/>
      <c r="BK116" s="26"/>
      <c r="BL116" s="26"/>
      <c r="BM116" s="26"/>
      <c r="BN116" s="26"/>
      <c r="BO116" s="26"/>
      <c r="BP116" s="26"/>
      <c r="BQ116" s="26"/>
      <c r="BR116" s="26"/>
      <c r="BS116" s="26"/>
      <c r="BT116" s="26"/>
      <c r="BU116" s="26"/>
      <c r="BV116" s="90"/>
    </row>
    <row r="117" spans="1:74" ht="13" hidden="1" x14ac:dyDescent="0.3">
      <c r="A117" s="245"/>
      <c r="B117" s="245"/>
      <c r="C117" s="246"/>
      <c r="D117" s="26"/>
      <c r="E117" s="26"/>
      <c r="F117" s="26"/>
      <c r="G117" s="26"/>
      <c r="H117" s="29" t="b">
        <f>OR(AND(AC71,AH71),AND(AC71,AM71),AND(AH71,AM71))</f>
        <v>0</v>
      </c>
      <c r="I117" s="130" t="s">
        <v>263</v>
      </c>
      <c r="J117" s="27"/>
      <c r="K117" s="27"/>
      <c r="L117" s="128"/>
      <c r="M117" s="128"/>
      <c r="N117" s="27"/>
      <c r="O117" s="27"/>
      <c r="P117" s="128"/>
      <c r="Q117" s="128"/>
      <c r="R117" s="26"/>
      <c r="S117" s="26"/>
      <c r="T117" s="26"/>
      <c r="U117" s="244"/>
      <c r="V117" s="26"/>
      <c r="W117" s="26"/>
      <c r="X117" s="26"/>
      <c r="Y117" s="26"/>
      <c r="Z117" s="26"/>
      <c r="AA117" s="26"/>
      <c r="AB117" s="28"/>
      <c r="AC117" s="28"/>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128"/>
      <c r="BH117" s="26"/>
      <c r="BI117" s="26"/>
      <c r="BJ117" s="26"/>
      <c r="BK117" s="26"/>
      <c r="BL117" s="26"/>
      <c r="BM117" s="26"/>
      <c r="BN117" s="26"/>
      <c r="BO117" s="26"/>
      <c r="BP117" s="26"/>
      <c r="BQ117" s="26"/>
      <c r="BR117" s="26"/>
      <c r="BS117" s="26"/>
      <c r="BT117" s="26"/>
      <c r="BU117" s="26"/>
      <c r="BV117" s="90"/>
    </row>
    <row r="118" spans="1:74" hidden="1" x14ac:dyDescent="0.25">
      <c r="A118" s="245"/>
      <c r="B118" s="245"/>
      <c r="C118" s="246"/>
      <c r="D118" s="26"/>
      <c r="E118" s="26"/>
      <c r="F118" s="26"/>
      <c r="G118" s="26"/>
      <c r="H118" s="137"/>
      <c r="I118" s="29"/>
      <c r="J118" s="27"/>
      <c r="K118" s="27"/>
      <c r="L118" s="128"/>
      <c r="M118" s="128"/>
      <c r="N118" s="27"/>
      <c r="O118" s="27"/>
      <c r="P118" s="128"/>
      <c r="Q118" s="128"/>
      <c r="R118" s="26"/>
      <c r="S118" s="26"/>
      <c r="T118" s="26"/>
      <c r="U118" s="244"/>
      <c r="V118" s="26"/>
      <c r="W118" s="26"/>
      <c r="X118" s="26"/>
      <c r="Y118" s="26"/>
      <c r="Z118" s="26"/>
      <c r="AA118" s="26"/>
      <c r="AB118" s="28"/>
      <c r="AC118" s="28"/>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128"/>
      <c r="BH118" s="26"/>
      <c r="BI118" s="26"/>
      <c r="BJ118" s="26"/>
      <c r="BK118" s="26"/>
      <c r="BL118" s="26"/>
      <c r="BM118" s="26"/>
      <c r="BN118" s="26"/>
      <c r="BO118" s="26"/>
      <c r="BP118" s="26"/>
      <c r="BQ118" s="26"/>
      <c r="BR118" s="26"/>
      <c r="BS118" s="26"/>
      <c r="BT118" s="26"/>
      <c r="BU118" s="26"/>
      <c r="BV118" s="90"/>
    </row>
    <row r="119" spans="1:74" hidden="1" x14ac:dyDescent="0.25">
      <c r="A119" s="245"/>
      <c r="B119" s="245"/>
      <c r="C119" s="246"/>
      <c r="D119" s="26"/>
      <c r="E119" s="26"/>
      <c r="F119" s="26"/>
      <c r="G119" s="26"/>
      <c r="H119" s="127"/>
      <c r="I119" s="29"/>
      <c r="J119" s="27"/>
      <c r="K119" s="27"/>
      <c r="L119" s="128"/>
      <c r="M119" s="128"/>
      <c r="N119" s="27"/>
      <c r="O119" s="27"/>
      <c r="P119" s="128"/>
      <c r="Q119" s="128"/>
      <c r="R119" s="26"/>
      <c r="S119" s="26"/>
      <c r="T119" s="26"/>
      <c r="U119" s="244"/>
      <c r="V119" s="26"/>
      <c r="W119" s="26"/>
      <c r="X119" s="26"/>
      <c r="Y119" s="26"/>
      <c r="Z119" s="26"/>
      <c r="AA119" s="26"/>
      <c r="AB119" s="28"/>
      <c r="AC119" s="28"/>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128"/>
      <c r="BH119" s="26"/>
      <c r="BI119" s="26"/>
      <c r="BJ119" s="26"/>
      <c r="BK119" s="26"/>
      <c r="BL119" s="26"/>
      <c r="BM119" s="26"/>
      <c r="BN119" s="26"/>
      <c r="BO119" s="26"/>
      <c r="BP119" s="26"/>
      <c r="BQ119" s="26"/>
      <c r="BR119" s="26"/>
      <c r="BS119" s="26"/>
      <c r="BT119" s="26"/>
      <c r="BU119" s="26"/>
      <c r="BV119" s="90"/>
    </row>
    <row r="120" spans="1:74" hidden="1" x14ac:dyDescent="0.25">
      <c r="A120" s="245"/>
      <c r="B120" s="245"/>
      <c r="C120" s="246"/>
      <c r="D120" s="26"/>
      <c r="E120" s="26"/>
      <c r="F120" s="26"/>
      <c r="G120" s="26"/>
      <c r="H120" s="29"/>
      <c r="I120" s="26"/>
      <c r="J120" s="27"/>
      <c r="K120" s="27"/>
      <c r="L120" s="128"/>
      <c r="M120" s="128"/>
      <c r="N120" s="27"/>
      <c r="O120" s="27"/>
      <c r="P120" s="128"/>
      <c r="Q120" s="128"/>
      <c r="R120" s="26"/>
      <c r="S120" s="26"/>
      <c r="T120" s="26"/>
      <c r="U120" s="244"/>
      <c r="V120" s="26"/>
      <c r="W120" s="26"/>
      <c r="X120" s="26"/>
      <c r="Y120" s="26"/>
      <c r="Z120" s="26"/>
      <c r="AA120" s="26"/>
      <c r="AB120" s="28"/>
      <c r="AC120" s="28"/>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128"/>
      <c r="BH120" s="26"/>
      <c r="BI120" s="26"/>
      <c r="BJ120" s="26"/>
      <c r="BK120" s="26"/>
      <c r="BL120" s="26"/>
      <c r="BM120" s="26"/>
      <c r="BN120" s="26"/>
      <c r="BO120" s="26"/>
      <c r="BP120" s="26"/>
      <c r="BQ120" s="26"/>
      <c r="BR120" s="26"/>
      <c r="BS120" s="26"/>
      <c r="BT120" s="26"/>
      <c r="BU120" s="26"/>
      <c r="BV120" s="90"/>
    </row>
    <row r="121" spans="1:74" hidden="1" x14ac:dyDescent="0.25">
      <c r="A121" s="245"/>
      <c r="B121" s="245"/>
      <c r="C121" s="246"/>
      <c r="D121" s="26"/>
      <c r="E121" s="26"/>
      <c r="F121" s="26"/>
      <c r="G121" s="26"/>
      <c r="H121" s="29"/>
      <c r="I121" s="26"/>
      <c r="J121" s="27"/>
      <c r="K121" s="27"/>
      <c r="L121" s="128"/>
      <c r="M121" s="128"/>
      <c r="N121" s="27"/>
      <c r="O121" s="27"/>
      <c r="P121" s="128"/>
      <c r="Q121" s="128"/>
      <c r="R121" s="26"/>
      <c r="S121" s="26"/>
      <c r="T121" s="26"/>
      <c r="U121" s="244"/>
      <c r="V121" s="26"/>
      <c r="W121" s="26"/>
      <c r="X121" s="26"/>
      <c r="Y121" s="26"/>
      <c r="Z121" s="26"/>
      <c r="AA121" s="26"/>
      <c r="AB121" s="28"/>
      <c r="AC121" s="28"/>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128"/>
      <c r="BH121" s="26"/>
      <c r="BI121" s="26"/>
      <c r="BJ121" s="26"/>
      <c r="BK121" s="26"/>
      <c r="BL121" s="26"/>
      <c r="BM121" s="26"/>
      <c r="BN121" s="26"/>
      <c r="BO121" s="26"/>
      <c r="BP121" s="26"/>
      <c r="BQ121" s="26"/>
      <c r="BR121" s="26"/>
      <c r="BS121" s="26"/>
      <c r="BT121" s="26"/>
      <c r="BU121" s="26"/>
      <c r="BV121" s="90"/>
    </row>
    <row r="122" spans="1:74" hidden="1" x14ac:dyDescent="0.25">
      <c r="A122" s="245"/>
      <c r="B122" s="245"/>
      <c r="C122" s="246"/>
      <c r="D122" s="26"/>
      <c r="E122" s="26"/>
      <c r="F122" s="26"/>
      <c r="G122" s="26"/>
      <c r="H122" s="29"/>
      <c r="I122" s="26"/>
      <c r="J122" s="27"/>
      <c r="K122" s="27"/>
      <c r="L122" s="128"/>
      <c r="M122" s="128"/>
      <c r="N122" s="27"/>
      <c r="O122" s="27"/>
      <c r="P122" s="128"/>
      <c r="Q122" s="128"/>
      <c r="R122" s="26"/>
      <c r="S122" s="26"/>
      <c r="T122" s="26"/>
      <c r="U122" s="244"/>
      <c r="V122" s="26"/>
      <c r="W122" s="26"/>
      <c r="X122" s="26"/>
      <c r="Y122" s="26"/>
      <c r="Z122" s="26"/>
      <c r="AA122" s="26"/>
      <c r="AB122" s="28"/>
      <c r="AC122" s="28"/>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128"/>
      <c r="BH122" s="26"/>
      <c r="BI122" s="26"/>
      <c r="BJ122" s="26"/>
      <c r="BK122" s="26"/>
      <c r="BL122" s="26"/>
      <c r="BM122" s="26"/>
      <c r="BN122" s="26"/>
      <c r="BO122" s="26"/>
      <c r="BP122" s="26"/>
      <c r="BQ122" s="26"/>
      <c r="BR122" s="26"/>
      <c r="BS122" s="26"/>
      <c r="BT122" s="26"/>
      <c r="BU122" s="26"/>
      <c r="BV122" s="90"/>
    </row>
    <row r="123" spans="1:74" hidden="1" x14ac:dyDescent="0.25">
      <c r="A123" s="245"/>
      <c r="B123" s="245"/>
      <c r="C123" s="246"/>
      <c r="D123" s="26"/>
      <c r="E123" s="26"/>
      <c r="F123" s="26"/>
      <c r="G123" s="26"/>
      <c r="H123" s="29"/>
      <c r="I123" s="26"/>
      <c r="J123" s="27"/>
      <c r="K123" s="27"/>
      <c r="L123" s="128"/>
      <c r="M123" s="128"/>
      <c r="N123" s="27"/>
      <c r="O123" s="27"/>
      <c r="P123" s="128"/>
      <c r="Q123" s="128"/>
      <c r="R123" s="26"/>
      <c r="S123" s="26"/>
      <c r="T123" s="26"/>
      <c r="U123" s="244"/>
      <c r="V123" s="26"/>
      <c r="W123" s="26"/>
      <c r="X123" s="26"/>
      <c r="Y123" s="26"/>
      <c r="Z123" s="26"/>
      <c r="AA123" s="26"/>
      <c r="AB123" s="28"/>
      <c r="AC123" s="28"/>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128"/>
      <c r="BH123" s="26"/>
      <c r="BI123" s="26"/>
      <c r="BJ123" s="26"/>
      <c r="BK123" s="26"/>
      <c r="BL123" s="26"/>
      <c r="BM123" s="26"/>
      <c r="BN123" s="26"/>
      <c r="BO123" s="26"/>
      <c r="BP123" s="26"/>
      <c r="BQ123" s="26"/>
      <c r="BR123" s="26"/>
      <c r="BS123" s="26"/>
      <c r="BT123" s="26"/>
      <c r="BU123" s="26"/>
      <c r="BV123" s="90"/>
    </row>
    <row r="124" spans="1:74" hidden="1" x14ac:dyDescent="0.25">
      <c r="A124" s="245"/>
      <c r="B124" s="245"/>
      <c r="C124" s="246"/>
      <c r="D124" s="26"/>
      <c r="E124" s="26"/>
      <c r="F124" s="26"/>
      <c r="G124" s="26"/>
      <c r="H124" s="29"/>
      <c r="I124" s="26"/>
      <c r="J124" s="27"/>
      <c r="K124" s="27"/>
      <c r="L124" s="128"/>
      <c r="M124" s="128"/>
      <c r="N124" s="27"/>
      <c r="O124" s="27"/>
      <c r="P124" s="128"/>
      <c r="Q124" s="128"/>
      <c r="R124" s="26"/>
      <c r="S124" s="26"/>
      <c r="T124" s="26"/>
      <c r="U124" s="244"/>
      <c r="V124" s="26"/>
      <c r="W124" s="26"/>
      <c r="X124" s="26"/>
      <c r="Y124" s="26"/>
      <c r="Z124" s="26"/>
      <c r="AA124" s="26"/>
      <c r="AB124" s="28"/>
      <c r="AC124" s="28"/>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128"/>
      <c r="BH124" s="26"/>
      <c r="BI124" s="26"/>
      <c r="BJ124" s="26"/>
      <c r="BK124" s="26"/>
      <c r="BL124" s="26"/>
      <c r="BM124" s="26"/>
      <c r="BN124" s="26"/>
      <c r="BO124" s="26"/>
      <c r="BP124" s="26"/>
      <c r="BQ124" s="26"/>
      <c r="BR124" s="26"/>
      <c r="BS124" s="26"/>
      <c r="BT124" s="26"/>
      <c r="BU124" s="26"/>
      <c r="BV124" s="90"/>
    </row>
    <row r="125" spans="1:74" hidden="1" x14ac:dyDescent="0.25">
      <c r="A125" s="245"/>
      <c r="B125" s="245"/>
      <c r="C125" s="246"/>
      <c r="D125" s="26"/>
      <c r="E125" s="26"/>
      <c r="F125" s="26"/>
      <c r="G125" s="26"/>
      <c r="H125" s="29"/>
      <c r="I125" s="26"/>
      <c r="J125" s="27"/>
      <c r="K125" s="27"/>
      <c r="L125" s="128"/>
      <c r="M125" s="128"/>
      <c r="N125" s="27"/>
      <c r="O125" s="27"/>
      <c r="P125" s="128"/>
      <c r="Q125" s="128"/>
      <c r="R125" s="26"/>
      <c r="S125" s="26"/>
      <c r="T125" s="26"/>
      <c r="U125" s="244"/>
      <c r="V125" s="26"/>
      <c r="W125" s="26"/>
      <c r="X125" s="26"/>
      <c r="Y125" s="26"/>
      <c r="Z125" s="26"/>
      <c r="AA125" s="26"/>
      <c r="AB125" s="28"/>
      <c r="AC125" s="28"/>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128"/>
      <c r="BH125" s="26"/>
      <c r="BI125" s="26"/>
      <c r="BJ125" s="26"/>
      <c r="BK125" s="26"/>
      <c r="BL125" s="26"/>
      <c r="BM125" s="26"/>
      <c r="BN125" s="26"/>
      <c r="BO125" s="26"/>
      <c r="BP125" s="26"/>
      <c r="BQ125" s="26"/>
      <c r="BR125" s="26"/>
      <c r="BS125" s="26"/>
      <c r="BT125" s="26"/>
      <c r="BU125" s="26"/>
      <c r="BV125" s="90"/>
    </row>
    <row r="126" spans="1:74" hidden="1" x14ac:dyDescent="0.25">
      <c r="A126" s="245"/>
      <c r="B126" s="245"/>
      <c r="C126" s="246"/>
      <c r="D126" s="26"/>
      <c r="E126" s="26"/>
      <c r="F126" s="26"/>
      <c r="G126" s="26"/>
      <c r="H126" s="29"/>
      <c r="I126" s="26"/>
      <c r="J126" s="27"/>
      <c r="K126" s="27"/>
      <c r="L126" s="128"/>
      <c r="M126" s="128"/>
      <c r="N126" s="27"/>
      <c r="O126" s="27"/>
      <c r="P126" s="128"/>
      <c r="Q126" s="128"/>
      <c r="R126" s="26"/>
      <c r="S126" s="26"/>
      <c r="T126" s="26"/>
      <c r="U126" s="244"/>
      <c r="V126" s="26"/>
      <c r="W126" s="26"/>
      <c r="X126" s="26"/>
      <c r="Y126" s="26"/>
      <c r="Z126" s="26"/>
      <c r="AA126" s="26"/>
      <c r="AB126" s="28"/>
      <c r="AC126" s="28"/>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128"/>
      <c r="BH126" s="26"/>
      <c r="BI126" s="26"/>
      <c r="BJ126" s="26"/>
      <c r="BK126" s="26"/>
      <c r="BL126" s="26"/>
      <c r="BM126" s="26"/>
      <c r="BN126" s="26"/>
      <c r="BO126" s="26"/>
      <c r="BP126" s="26"/>
      <c r="BQ126" s="26"/>
      <c r="BR126" s="26"/>
      <c r="BS126" s="26"/>
      <c r="BT126" s="26"/>
      <c r="BU126" s="26"/>
      <c r="BV126" s="90"/>
    </row>
    <row r="127" spans="1:74" hidden="1" x14ac:dyDescent="0.25">
      <c r="A127" s="245"/>
      <c r="B127" s="245"/>
      <c r="C127" s="246"/>
      <c r="D127" s="26"/>
      <c r="E127" s="26"/>
      <c r="F127" s="26"/>
      <c r="G127" s="26"/>
      <c r="H127" s="29"/>
      <c r="I127" s="26"/>
      <c r="J127" s="27"/>
      <c r="K127" s="27"/>
      <c r="L127" s="128"/>
      <c r="M127" s="128"/>
      <c r="N127" s="27"/>
      <c r="O127" s="27"/>
      <c r="P127" s="128"/>
      <c r="Q127" s="128"/>
      <c r="R127" s="26"/>
      <c r="S127" s="26"/>
      <c r="T127" s="26"/>
      <c r="U127" s="244"/>
      <c r="V127" s="26"/>
      <c r="W127" s="26"/>
      <c r="X127" s="26"/>
      <c r="Y127" s="26"/>
      <c r="Z127" s="26"/>
      <c r="AA127" s="26"/>
      <c r="AB127" s="28"/>
      <c r="AC127" s="28"/>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128"/>
      <c r="BH127" s="26"/>
      <c r="BI127" s="26"/>
      <c r="BJ127" s="26"/>
      <c r="BK127" s="26"/>
      <c r="BL127" s="26"/>
      <c r="BM127" s="26"/>
      <c r="BN127" s="26"/>
      <c r="BO127" s="26"/>
      <c r="BP127" s="26"/>
      <c r="BQ127" s="26"/>
      <c r="BR127" s="26"/>
      <c r="BS127" s="26"/>
      <c r="BT127" s="26"/>
      <c r="BU127" s="26"/>
      <c r="BV127" s="90"/>
    </row>
    <row r="128" spans="1:74" hidden="1" x14ac:dyDescent="0.25">
      <c r="A128" s="245"/>
      <c r="B128" s="245"/>
      <c r="C128" s="246"/>
      <c r="D128" s="26"/>
      <c r="E128" s="26"/>
      <c r="F128" s="26"/>
      <c r="G128" s="26"/>
      <c r="H128" s="29"/>
      <c r="I128" s="26"/>
      <c r="J128" s="27"/>
      <c r="K128" s="27"/>
      <c r="L128" s="128"/>
      <c r="M128" s="128"/>
      <c r="N128" s="27"/>
      <c r="O128" s="27"/>
      <c r="P128" s="128"/>
      <c r="Q128" s="128"/>
      <c r="R128" s="26"/>
      <c r="S128" s="26"/>
      <c r="T128" s="26"/>
      <c r="U128" s="244"/>
      <c r="V128" s="26"/>
      <c r="W128" s="26"/>
      <c r="X128" s="26"/>
      <c r="Y128" s="26"/>
      <c r="Z128" s="26"/>
      <c r="AA128" s="26"/>
      <c r="AB128" s="28"/>
      <c r="AC128" s="28"/>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128"/>
      <c r="BH128" s="26"/>
      <c r="BI128" s="26"/>
      <c r="BJ128" s="26"/>
      <c r="BK128" s="26"/>
      <c r="BL128" s="26"/>
      <c r="BM128" s="26"/>
      <c r="BN128" s="26"/>
      <c r="BO128" s="26"/>
      <c r="BP128" s="26"/>
      <c r="BQ128" s="26"/>
      <c r="BR128" s="26"/>
      <c r="BS128" s="26"/>
      <c r="BT128" s="26"/>
      <c r="BU128" s="26"/>
      <c r="BV128" s="90"/>
    </row>
    <row r="129" spans="1:74" ht="13" hidden="1" x14ac:dyDescent="0.3">
      <c r="A129" s="245"/>
      <c r="B129" s="245"/>
      <c r="C129" s="246"/>
      <c r="D129" s="26"/>
      <c r="E129" s="26"/>
      <c r="F129" s="26"/>
      <c r="G129" s="26"/>
      <c r="H129" s="93" t="s">
        <v>152</v>
      </c>
      <c r="I129" s="26"/>
      <c r="J129" s="27"/>
      <c r="K129" s="27"/>
      <c r="L129" s="128"/>
      <c r="M129" s="128"/>
      <c r="N129" s="27"/>
      <c r="O129" s="27"/>
      <c r="P129" s="128"/>
      <c r="Q129" s="128"/>
      <c r="R129" s="26"/>
      <c r="S129" s="26"/>
      <c r="T129" s="26"/>
      <c r="U129" s="244"/>
      <c r="V129" s="26"/>
      <c r="W129" s="26"/>
      <c r="X129" s="26"/>
      <c r="Y129" s="26"/>
      <c r="Z129" s="26"/>
      <c r="AA129" s="26"/>
      <c r="AB129" s="28"/>
      <c r="AC129" s="28"/>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128"/>
      <c r="BH129" s="26"/>
      <c r="BI129" s="26"/>
      <c r="BJ129" s="26"/>
      <c r="BK129" s="26"/>
      <c r="BL129" s="26"/>
      <c r="BM129" s="26"/>
      <c r="BN129" s="26"/>
      <c r="BO129" s="26"/>
      <c r="BP129" s="26"/>
      <c r="BQ129" s="26"/>
      <c r="BR129" s="26"/>
      <c r="BS129" s="26"/>
      <c r="BT129" s="26"/>
      <c r="BU129" s="26"/>
      <c r="BV129" s="90"/>
    </row>
    <row r="130" spans="1:74" ht="13" hidden="1" x14ac:dyDescent="0.3">
      <c r="A130" s="245"/>
      <c r="B130" s="245"/>
      <c r="C130" s="246"/>
      <c r="D130" s="26"/>
      <c r="E130" s="26"/>
      <c r="F130" s="26"/>
      <c r="G130" s="26"/>
      <c r="H130" s="29" t="s">
        <v>23</v>
      </c>
      <c r="I130" s="90" t="e">
        <f>Q68/P68</f>
        <v>#VALUE!</v>
      </c>
      <c r="J130" s="130" t="s">
        <v>264</v>
      </c>
      <c r="K130" s="27"/>
      <c r="L130" s="128"/>
      <c r="M130" s="128"/>
      <c r="N130" s="27"/>
      <c r="O130" s="27"/>
      <c r="P130" s="128"/>
      <c r="Q130" s="128"/>
      <c r="R130" s="26"/>
      <c r="S130" s="26"/>
      <c r="T130" s="26"/>
      <c r="U130" s="244"/>
      <c r="V130" s="26"/>
      <c r="W130" s="26"/>
      <c r="X130" s="26"/>
      <c r="Y130" s="26"/>
      <c r="Z130" s="26"/>
      <c r="AA130" s="26"/>
      <c r="AB130" s="28"/>
      <c r="AC130" s="28"/>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128"/>
      <c r="BH130" s="26"/>
      <c r="BI130" s="26"/>
      <c r="BJ130" s="26"/>
      <c r="BK130" s="26"/>
      <c r="BL130" s="26"/>
      <c r="BM130" s="26"/>
      <c r="BN130" s="26"/>
      <c r="BO130" s="26"/>
      <c r="BP130" s="26"/>
      <c r="BQ130" s="26"/>
      <c r="BR130" s="26"/>
      <c r="BS130" s="26"/>
      <c r="BT130" s="26"/>
      <c r="BU130" s="26"/>
      <c r="BV130" s="90"/>
    </row>
    <row r="131" spans="1:74" hidden="1" x14ac:dyDescent="0.25">
      <c r="A131" s="245"/>
      <c r="B131" s="245"/>
      <c r="C131" s="246"/>
      <c r="D131" s="26"/>
      <c r="E131" s="26"/>
      <c r="F131" s="26"/>
      <c r="G131" s="26"/>
      <c r="H131" s="29"/>
      <c r="I131" s="26"/>
      <c r="J131" s="27"/>
      <c r="K131" s="27"/>
      <c r="L131" s="128"/>
      <c r="M131" s="128"/>
      <c r="N131" s="27"/>
      <c r="O131" s="27"/>
      <c r="P131" s="128"/>
      <c r="Q131" s="128"/>
      <c r="R131" s="26"/>
      <c r="S131" s="26"/>
      <c r="T131" s="26"/>
      <c r="U131" s="244"/>
      <c r="V131" s="26"/>
      <c r="W131" s="26"/>
      <c r="X131" s="26"/>
      <c r="Y131" s="26"/>
      <c r="Z131" s="26"/>
      <c r="AA131" s="26"/>
      <c r="AB131" s="28"/>
      <c r="AC131" s="28"/>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128"/>
      <c r="BH131" s="26"/>
      <c r="BI131" s="26"/>
      <c r="BJ131" s="26"/>
      <c r="BK131" s="26"/>
      <c r="BL131" s="26"/>
      <c r="BM131" s="26"/>
      <c r="BN131" s="26"/>
      <c r="BO131" s="26"/>
      <c r="BP131" s="26"/>
      <c r="BQ131" s="26"/>
      <c r="BR131" s="26"/>
      <c r="BS131" s="26"/>
      <c r="BT131" s="26"/>
      <c r="BU131" s="26"/>
      <c r="BV131" s="90"/>
    </row>
    <row r="132" spans="1:74" ht="13" hidden="1" x14ac:dyDescent="0.3">
      <c r="A132" s="245"/>
      <c r="B132" s="245"/>
      <c r="C132" s="246"/>
      <c r="D132" s="26"/>
      <c r="E132" s="26"/>
      <c r="F132" s="26"/>
      <c r="G132" s="26"/>
      <c r="H132" s="93" t="s">
        <v>151</v>
      </c>
      <c r="I132" s="26"/>
      <c r="J132" s="27"/>
      <c r="K132" s="27"/>
      <c r="L132" s="128"/>
      <c r="M132" s="128"/>
      <c r="N132" s="27"/>
      <c r="O132" s="27"/>
      <c r="P132" s="128"/>
      <c r="Q132" s="128"/>
      <c r="R132" s="26"/>
      <c r="S132" s="26"/>
      <c r="T132" s="26"/>
      <c r="U132" s="244"/>
      <c r="V132" s="26"/>
      <c r="W132" s="26"/>
      <c r="X132" s="26"/>
      <c r="Y132" s="26"/>
      <c r="Z132" s="26"/>
      <c r="AA132" s="26"/>
      <c r="AB132" s="28"/>
      <c r="AC132" s="28"/>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128"/>
      <c r="BH132" s="26"/>
      <c r="BI132" s="26"/>
      <c r="BJ132" s="26"/>
      <c r="BK132" s="26"/>
      <c r="BL132" s="26"/>
      <c r="BM132" s="26"/>
      <c r="BN132" s="26"/>
      <c r="BO132" s="26"/>
      <c r="BP132" s="26"/>
      <c r="BQ132" s="26"/>
      <c r="BR132" s="26"/>
      <c r="BS132" s="26"/>
      <c r="BT132" s="26"/>
      <c r="BU132" s="26"/>
      <c r="BV132" s="90"/>
    </row>
    <row r="133" spans="1:74" ht="13" hidden="1" x14ac:dyDescent="0.3">
      <c r="A133" s="245"/>
      <c r="B133" s="245"/>
      <c r="C133" s="246"/>
      <c r="D133" s="26"/>
      <c r="E133" s="26"/>
      <c r="F133" s="26"/>
      <c r="G133" s="26"/>
      <c r="H133" s="26" t="s">
        <v>23</v>
      </c>
      <c r="I133" s="97" t="e">
        <f>F68/Q68</f>
        <v>#VALUE!</v>
      </c>
      <c r="J133" s="130" t="s">
        <v>228</v>
      </c>
      <c r="K133" s="27"/>
      <c r="L133" s="128"/>
      <c r="M133" s="128"/>
      <c r="N133" s="27"/>
      <c r="O133" s="27"/>
      <c r="P133" s="128"/>
      <c r="Q133" s="128"/>
      <c r="R133" s="26"/>
      <c r="S133" s="26"/>
      <c r="T133" s="26"/>
      <c r="U133" s="244"/>
      <c r="V133" s="26"/>
      <c r="W133" s="26"/>
      <c r="X133" s="26"/>
      <c r="Y133" s="26"/>
      <c r="Z133" s="26"/>
      <c r="AA133" s="26"/>
      <c r="AB133" s="28"/>
      <c r="AC133" s="28"/>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128"/>
      <c r="BH133" s="26"/>
      <c r="BI133" s="26"/>
      <c r="BJ133" s="26"/>
      <c r="BK133" s="26"/>
      <c r="BL133" s="26"/>
      <c r="BM133" s="26"/>
      <c r="BN133" s="26"/>
      <c r="BO133" s="26"/>
      <c r="BP133" s="26"/>
      <c r="BQ133" s="26"/>
      <c r="BR133" s="26"/>
      <c r="BS133" s="26"/>
      <c r="BT133" s="26"/>
      <c r="BU133" s="26"/>
      <c r="BV133" s="90"/>
    </row>
    <row r="134" spans="1:74" hidden="1" x14ac:dyDescent="0.25">
      <c r="A134" s="245"/>
      <c r="B134" s="245"/>
      <c r="C134" s="246"/>
      <c r="D134" s="26"/>
      <c r="E134" s="26"/>
      <c r="F134" s="26"/>
      <c r="G134" s="26"/>
      <c r="H134" s="26"/>
      <c r="I134" s="26"/>
      <c r="J134" s="27"/>
      <c r="K134" s="27"/>
      <c r="L134" s="128"/>
      <c r="M134" s="128"/>
      <c r="N134" s="27"/>
      <c r="O134" s="27"/>
      <c r="P134" s="128"/>
      <c r="Q134" s="128"/>
      <c r="R134" s="26"/>
      <c r="S134" s="26"/>
      <c r="T134" s="26"/>
      <c r="U134" s="244"/>
      <c r="V134" s="26"/>
      <c r="W134" s="26"/>
      <c r="X134" s="26"/>
      <c r="Y134" s="26"/>
      <c r="Z134" s="26"/>
      <c r="AA134" s="26"/>
      <c r="AB134" s="28"/>
      <c r="AC134" s="28"/>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128"/>
      <c r="BH134" s="26"/>
      <c r="BI134" s="26"/>
      <c r="BJ134" s="26"/>
      <c r="BK134" s="26"/>
      <c r="BL134" s="26"/>
      <c r="BM134" s="26"/>
      <c r="BN134" s="26"/>
      <c r="BO134" s="26"/>
      <c r="BP134" s="26"/>
      <c r="BQ134" s="26"/>
      <c r="BR134" s="26"/>
      <c r="BS134" s="26"/>
      <c r="BT134" s="26"/>
      <c r="BU134" s="26"/>
      <c r="BV134" s="90"/>
    </row>
    <row r="135" spans="1:74" ht="13" hidden="1" x14ac:dyDescent="0.3">
      <c r="A135" s="245"/>
      <c r="B135" s="245"/>
      <c r="C135" s="246"/>
      <c r="D135" s="26"/>
      <c r="E135" s="26"/>
      <c r="F135" s="26"/>
      <c r="G135" s="26"/>
      <c r="H135" s="95" t="s">
        <v>175</v>
      </c>
      <c r="I135" s="96"/>
      <c r="J135" s="69"/>
      <c r="K135" s="27"/>
      <c r="L135" s="128"/>
      <c r="M135" s="128"/>
      <c r="N135" s="27"/>
      <c r="O135" s="98" t="s">
        <v>26</v>
      </c>
      <c r="P135" s="38"/>
      <c r="Q135" s="128"/>
      <c r="R135" s="95" t="s">
        <v>188</v>
      </c>
      <c r="S135" s="95"/>
      <c r="T135" s="37"/>
      <c r="U135" s="244"/>
      <c r="V135" s="26"/>
      <c r="W135" s="26"/>
      <c r="X135" s="26"/>
      <c r="Y135" s="26"/>
      <c r="Z135" s="26"/>
      <c r="AA135" s="26"/>
      <c r="AB135" s="28"/>
      <c r="AC135" s="28"/>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128"/>
      <c r="BH135" s="26"/>
      <c r="BI135" s="26"/>
      <c r="BJ135" s="26"/>
      <c r="BK135" s="26"/>
      <c r="BL135" s="26"/>
      <c r="BM135" s="26"/>
      <c r="BN135" s="26"/>
      <c r="BO135" s="26"/>
      <c r="BP135" s="26"/>
      <c r="BQ135" s="26"/>
      <c r="BR135" s="26"/>
      <c r="BS135" s="26"/>
      <c r="BT135" s="26"/>
      <c r="BU135" s="26"/>
      <c r="BV135" s="90"/>
    </row>
    <row r="136" spans="1:74" ht="13" hidden="1" x14ac:dyDescent="0.3">
      <c r="A136" s="245"/>
      <c r="B136" s="245"/>
      <c r="C136" s="246"/>
      <c r="D136" s="26"/>
      <c r="E136" s="26"/>
      <c r="F136" s="26"/>
      <c r="G136" s="26"/>
      <c r="H136" s="125" t="s">
        <v>150</v>
      </c>
      <c r="I136" s="34">
        <f>IF(AC71,ROUND(AD68/AC68,PrecisionTwo),0)</f>
        <v>0</v>
      </c>
      <c r="J136" s="130" t="s">
        <v>229</v>
      </c>
      <c r="K136" s="27"/>
      <c r="L136" s="128"/>
      <c r="M136" s="128"/>
      <c r="N136" s="27"/>
      <c r="O136" s="29" t="s">
        <v>153</v>
      </c>
      <c r="P136" s="128"/>
      <c r="Q136" s="40" t="e">
        <f>Q68/P68</f>
        <v>#VALUE!</v>
      </c>
      <c r="R136" s="35" t="b">
        <f>AND(MIPDLClass1&gt;=I136)</f>
        <v>1</v>
      </c>
      <c r="S136" s="208" t="s">
        <v>326</v>
      </c>
      <c r="T136" s="26"/>
      <c r="U136" s="244"/>
      <c r="V136" s="26"/>
      <c r="W136" s="26"/>
      <c r="X136" s="26"/>
      <c r="Y136" s="26"/>
      <c r="Z136" s="26"/>
      <c r="AA136" s="26"/>
      <c r="AB136" s="28"/>
      <c r="AC136" s="28"/>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128"/>
      <c r="BH136" s="26"/>
      <c r="BI136" s="26"/>
      <c r="BJ136" s="26"/>
      <c r="BK136" s="26"/>
      <c r="BL136" s="26"/>
      <c r="BM136" s="26"/>
      <c r="BN136" s="26"/>
      <c r="BO136" s="26"/>
      <c r="BP136" s="26"/>
      <c r="BQ136" s="26"/>
      <c r="BR136" s="26"/>
      <c r="BS136" s="26"/>
      <c r="BT136" s="26"/>
      <c r="BU136" s="26"/>
      <c r="BV136" s="90"/>
    </row>
    <row r="137" spans="1:74" ht="13" hidden="1" x14ac:dyDescent="0.3">
      <c r="A137" s="245"/>
      <c r="B137" s="245"/>
      <c r="C137" s="246"/>
      <c r="D137" s="26"/>
      <c r="E137" s="26"/>
      <c r="F137" s="26"/>
      <c r="G137" s="26"/>
      <c r="H137" s="26"/>
      <c r="I137" s="34"/>
      <c r="J137" s="130" t="s">
        <v>230</v>
      </c>
      <c r="K137" s="27"/>
      <c r="L137" s="128"/>
      <c r="M137" s="128"/>
      <c r="N137" s="27"/>
      <c r="O137" s="27"/>
      <c r="P137" s="128"/>
      <c r="Q137" s="128"/>
      <c r="R137" s="26"/>
      <c r="S137" s="26"/>
      <c r="T137" s="26"/>
      <c r="U137" s="244"/>
      <c r="V137" s="26"/>
      <c r="W137" s="26"/>
      <c r="X137" s="26"/>
      <c r="Y137" s="26"/>
      <c r="Z137" s="26"/>
      <c r="AA137" s="26"/>
      <c r="AB137" s="28"/>
      <c r="AC137" s="28"/>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128"/>
      <c r="BH137" s="26"/>
      <c r="BI137" s="26"/>
      <c r="BJ137" s="26"/>
      <c r="BK137" s="26"/>
      <c r="BL137" s="26"/>
      <c r="BM137" s="26"/>
      <c r="BN137" s="26"/>
      <c r="BO137" s="26"/>
      <c r="BP137" s="26"/>
      <c r="BQ137" s="26"/>
      <c r="BR137" s="26"/>
      <c r="BS137" s="26"/>
      <c r="BT137" s="26"/>
      <c r="BU137" s="26"/>
      <c r="BV137" s="90"/>
    </row>
    <row r="138" spans="1:74" hidden="1" x14ac:dyDescent="0.25">
      <c r="A138" s="245"/>
      <c r="B138" s="245"/>
      <c r="C138" s="246"/>
      <c r="D138" s="26"/>
      <c r="E138" s="26"/>
      <c r="F138" s="26"/>
      <c r="G138" s="26"/>
      <c r="H138" s="26"/>
      <c r="I138" s="34"/>
      <c r="J138" s="128"/>
      <c r="K138" s="27"/>
      <c r="L138" s="128"/>
      <c r="M138" s="128"/>
      <c r="N138" s="27"/>
      <c r="O138" s="27"/>
      <c r="P138" s="128"/>
      <c r="Q138" s="128"/>
      <c r="R138" s="26"/>
      <c r="S138" s="26"/>
      <c r="T138" s="26"/>
      <c r="U138" s="244"/>
      <c r="V138" s="26"/>
      <c r="W138" s="26"/>
      <c r="X138" s="26"/>
      <c r="Y138" s="26"/>
      <c r="Z138" s="26"/>
      <c r="AA138" s="26"/>
      <c r="AB138" s="28"/>
      <c r="AC138" s="28"/>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128"/>
      <c r="BH138" s="26"/>
      <c r="BI138" s="26"/>
      <c r="BJ138" s="26"/>
      <c r="BK138" s="26"/>
      <c r="BL138" s="26"/>
      <c r="BM138" s="26"/>
      <c r="BN138" s="26"/>
      <c r="BO138" s="26"/>
      <c r="BP138" s="26"/>
      <c r="BQ138" s="26"/>
      <c r="BR138" s="26"/>
      <c r="BS138" s="26"/>
      <c r="BT138" s="26"/>
      <c r="BU138" s="26"/>
      <c r="BV138" s="90"/>
    </row>
    <row r="139" spans="1:74" ht="13" hidden="1" x14ac:dyDescent="0.3">
      <c r="A139" s="245"/>
      <c r="B139" s="245"/>
      <c r="C139" s="246"/>
      <c r="D139" s="26"/>
      <c r="E139" s="26"/>
      <c r="F139" s="26"/>
      <c r="G139" s="26"/>
      <c r="H139" s="95" t="s">
        <v>176</v>
      </c>
      <c r="I139" s="34"/>
      <c r="J139" s="128"/>
      <c r="K139" s="27"/>
      <c r="L139" s="128"/>
      <c r="M139" s="128"/>
      <c r="N139" s="27"/>
      <c r="O139" s="27"/>
      <c r="P139" s="128"/>
      <c r="Q139" s="128"/>
      <c r="R139" s="113" t="s">
        <v>189</v>
      </c>
      <c r="S139" s="26"/>
      <c r="T139" s="26"/>
      <c r="U139" s="244"/>
      <c r="V139" s="26"/>
      <c r="W139" s="26"/>
      <c r="X139" s="26"/>
      <c r="Y139" s="26"/>
      <c r="Z139" s="26"/>
      <c r="AA139" s="26"/>
      <c r="AB139" s="28"/>
      <c r="AC139" s="28"/>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128"/>
      <c r="BH139" s="26"/>
      <c r="BI139" s="26"/>
      <c r="BJ139" s="26"/>
      <c r="BK139" s="26"/>
      <c r="BL139" s="26"/>
      <c r="BM139" s="26"/>
      <c r="BN139" s="26"/>
      <c r="BO139" s="26"/>
      <c r="BP139" s="26"/>
      <c r="BQ139" s="26"/>
      <c r="BR139" s="26"/>
      <c r="BS139" s="26"/>
      <c r="BT139" s="26"/>
      <c r="BU139" s="26"/>
      <c r="BV139" s="90"/>
    </row>
    <row r="140" spans="1:74" ht="13" hidden="1" x14ac:dyDescent="0.3">
      <c r="A140" s="245"/>
      <c r="B140" s="245"/>
      <c r="C140" s="246"/>
      <c r="D140" s="26"/>
      <c r="E140" s="26"/>
      <c r="F140" s="26"/>
      <c r="G140" s="26"/>
      <c r="H140" s="125" t="s">
        <v>150</v>
      </c>
      <c r="I140" s="34">
        <f>IF(AH71,ROUND(AI68/AH68,PrecisionTwo),0)</f>
        <v>0</v>
      </c>
      <c r="J140" s="130" t="s">
        <v>231</v>
      </c>
      <c r="K140" s="27"/>
      <c r="L140" s="128"/>
      <c r="M140" s="128"/>
      <c r="N140" s="27"/>
      <c r="O140" s="27"/>
      <c r="P140" s="128"/>
      <c r="Q140" s="128"/>
      <c r="R140" s="26" t="b">
        <f>AND(I152&gt;=I140)</f>
        <v>1</v>
      </c>
      <c r="S140" s="208" t="s">
        <v>327</v>
      </c>
      <c r="T140" s="26"/>
      <c r="U140" s="244"/>
      <c r="V140" s="26"/>
      <c r="W140" s="26"/>
      <c r="X140" s="26"/>
      <c r="Y140" s="26"/>
      <c r="Z140" s="26"/>
      <c r="AA140" s="26"/>
      <c r="AB140" s="28"/>
      <c r="AC140" s="28"/>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128"/>
      <c r="BH140" s="26"/>
      <c r="BI140" s="26"/>
      <c r="BJ140" s="26"/>
      <c r="BK140" s="26"/>
      <c r="BL140" s="26"/>
      <c r="BM140" s="26"/>
      <c r="BN140" s="26"/>
      <c r="BO140" s="26"/>
      <c r="BP140" s="26"/>
      <c r="BQ140" s="26"/>
      <c r="BR140" s="26"/>
      <c r="BS140" s="26"/>
      <c r="BT140" s="26"/>
      <c r="BU140" s="26"/>
      <c r="BV140" s="90"/>
    </row>
    <row r="141" spans="1:74" hidden="1" x14ac:dyDescent="0.25">
      <c r="A141" s="245"/>
      <c r="B141" s="245"/>
      <c r="C141" s="246"/>
      <c r="D141" s="26"/>
      <c r="E141" s="26"/>
      <c r="F141" s="26"/>
      <c r="G141" s="26"/>
      <c r="H141" s="26"/>
      <c r="I141" s="34"/>
      <c r="J141" s="128"/>
      <c r="K141" s="27"/>
      <c r="L141" s="128"/>
      <c r="M141" s="128"/>
      <c r="N141" s="27"/>
      <c r="O141" s="27"/>
      <c r="P141" s="128"/>
      <c r="Q141" s="128"/>
      <c r="R141" s="26"/>
      <c r="S141" s="26"/>
      <c r="T141" s="26"/>
      <c r="U141" s="244"/>
      <c r="V141" s="26"/>
      <c r="W141" s="26"/>
      <c r="X141" s="26"/>
      <c r="Y141" s="26"/>
      <c r="Z141" s="26"/>
      <c r="AA141" s="26"/>
      <c r="AB141" s="28"/>
      <c r="AC141" s="28"/>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128"/>
      <c r="BH141" s="26"/>
      <c r="BI141" s="26"/>
      <c r="BJ141" s="26"/>
      <c r="BK141" s="26"/>
      <c r="BL141" s="26"/>
      <c r="BM141" s="26"/>
      <c r="BN141" s="26"/>
      <c r="BO141" s="26"/>
      <c r="BP141" s="26"/>
      <c r="BQ141" s="26"/>
      <c r="BR141" s="26"/>
      <c r="BS141" s="26"/>
      <c r="BT141" s="26"/>
      <c r="BU141" s="26"/>
      <c r="BV141" s="90"/>
    </row>
    <row r="142" spans="1:74" hidden="1" x14ac:dyDescent="0.25">
      <c r="A142" s="245"/>
      <c r="B142" s="245"/>
      <c r="C142" s="246"/>
      <c r="D142" s="26"/>
      <c r="E142" s="26"/>
      <c r="F142" s="26"/>
      <c r="G142" s="26"/>
      <c r="H142" s="26"/>
      <c r="I142" s="34"/>
      <c r="J142" s="128"/>
      <c r="K142" s="27"/>
      <c r="L142" s="128"/>
      <c r="M142" s="128"/>
      <c r="N142" s="27"/>
      <c r="O142" s="27"/>
      <c r="P142" s="128"/>
      <c r="Q142" s="128"/>
      <c r="R142" s="26"/>
      <c r="S142" s="26"/>
      <c r="T142" s="26"/>
      <c r="U142" s="244"/>
      <c r="V142" s="26"/>
      <c r="W142" s="26"/>
      <c r="X142" s="26"/>
      <c r="Y142" s="26"/>
      <c r="Z142" s="26"/>
      <c r="AA142" s="26"/>
      <c r="AB142" s="28"/>
      <c r="AC142" s="28"/>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128"/>
      <c r="BH142" s="26"/>
      <c r="BI142" s="26"/>
      <c r="BJ142" s="26"/>
      <c r="BK142" s="26"/>
      <c r="BL142" s="26"/>
      <c r="BM142" s="26"/>
      <c r="BN142" s="26"/>
      <c r="BO142" s="26"/>
      <c r="BP142" s="26"/>
      <c r="BQ142" s="26"/>
      <c r="BR142" s="26"/>
      <c r="BS142" s="26"/>
      <c r="BT142" s="26"/>
      <c r="BU142" s="26"/>
      <c r="BV142" s="90"/>
    </row>
    <row r="143" spans="1:74" ht="13" hidden="1" x14ac:dyDescent="0.3">
      <c r="A143" s="245"/>
      <c r="B143" s="245"/>
      <c r="C143" s="246"/>
      <c r="D143" s="26"/>
      <c r="E143" s="26"/>
      <c r="F143" s="26"/>
      <c r="G143" s="26"/>
      <c r="H143" s="95" t="s">
        <v>177</v>
      </c>
      <c r="I143" s="34"/>
      <c r="J143" s="128"/>
      <c r="K143" s="27"/>
      <c r="L143" s="128"/>
      <c r="M143" s="128"/>
      <c r="N143" s="27"/>
      <c r="O143" s="27"/>
      <c r="P143" s="128"/>
      <c r="Q143" s="128"/>
      <c r="R143" s="113" t="s">
        <v>190</v>
      </c>
      <c r="S143" s="26"/>
      <c r="T143" s="26"/>
      <c r="U143" s="244"/>
      <c r="V143" s="26"/>
      <c r="W143" s="26"/>
      <c r="X143" s="26"/>
      <c r="Y143" s="26"/>
      <c r="Z143" s="26"/>
      <c r="AA143" s="26"/>
      <c r="AB143" s="28"/>
      <c r="AC143" s="28"/>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128"/>
      <c r="BH143" s="26"/>
      <c r="BI143" s="26"/>
      <c r="BJ143" s="26"/>
      <c r="BK143" s="26"/>
      <c r="BL143" s="26"/>
      <c r="BM143" s="26"/>
      <c r="BN143" s="26"/>
      <c r="BO143" s="26"/>
      <c r="BP143" s="26"/>
      <c r="BQ143" s="26"/>
      <c r="BR143" s="26"/>
      <c r="BS143" s="26"/>
      <c r="BT143" s="26"/>
      <c r="BU143" s="26"/>
      <c r="BV143" s="90"/>
    </row>
    <row r="144" spans="1:74" ht="13" hidden="1" x14ac:dyDescent="0.3">
      <c r="A144" s="245"/>
      <c r="B144" s="245"/>
      <c r="C144" s="246"/>
      <c r="D144" s="26"/>
      <c r="E144" s="26"/>
      <c r="F144" s="26"/>
      <c r="G144" s="26"/>
      <c r="H144" s="125" t="s">
        <v>150</v>
      </c>
      <c r="I144" s="34">
        <f>IF(AM71,ROUND(AN68/AM68,PrecisionTwo),0)</f>
        <v>0</v>
      </c>
      <c r="J144" s="130" t="s">
        <v>231</v>
      </c>
      <c r="K144" s="27"/>
      <c r="L144" s="128"/>
      <c r="M144" s="128"/>
      <c r="N144" s="27"/>
      <c r="O144" s="27"/>
      <c r="P144" s="128"/>
      <c r="Q144" s="128"/>
      <c r="R144" s="26" t="b">
        <f>AND(I156&gt;=I144)</f>
        <v>1</v>
      </c>
      <c r="S144" s="208" t="s">
        <v>328</v>
      </c>
      <c r="T144" s="26"/>
      <c r="U144" s="244"/>
      <c r="V144" s="26"/>
      <c r="W144" s="26"/>
      <c r="X144" s="26"/>
      <c r="Y144" s="26"/>
      <c r="Z144" s="26"/>
      <c r="AA144" s="26"/>
      <c r="AB144" s="28"/>
      <c r="AC144" s="28"/>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128"/>
      <c r="BH144" s="26"/>
      <c r="BI144" s="26"/>
      <c r="BJ144" s="26"/>
      <c r="BK144" s="26"/>
      <c r="BL144" s="26"/>
      <c r="BM144" s="26"/>
      <c r="BN144" s="26"/>
      <c r="BO144" s="26"/>
      <c r="BP144" s="26"/>
      <c r="BQ144" s="26"/>
      <c r="BR144" s="26"/>
      <c r="BS144" s="26"/>
      <c r="BT144" s="26"/>
      <c r="BU144" s="26"/>
      <c r="BV144" s="90"/>
    </row>
    <row r="145" spans="1:74" hidden="1" x14ac:dyDescent="0.25">
      <c r="A145" s="245"/>
      <c r="B145" s="245"/>
      <c r="C145" s="246"/>
      <c r="D145" s="26"/>
      <c r="E145" s="26"/>
      <c r="F145" s="26"/>
      <c r="G145" s="26"/>
      <c r="H145" s="26"/>
      <c r="I145" s="34"/>
      <c r="J145" s="27"/>
      <c r="K145" s="27"/>
      <c r="L145" s="128"/>
      <c r="M145" s="128"/>
      <c r="N145" s="27"/>
      <c r="O145" s="27"/>
      <c r="P145" s="128"/>
      <c r="Q145" s="128"/>
      <c r="R145" s="26"/>
      <c r="S145" s="26"/>
      <c r="T145" s="26"/>
      <c r="U145" s="244"/>
      <c r="V145" s="26"/>
      <c r="W145" s="26"/>
      <c r="X145" s="26"/>
      <c r="Y145" s="26"/>
      <c r="Z145" s="26"/>
      <c r="AA145" s="26"/>
      <c r="AB145" s="28"/>
      <c r="AC145" s="28"/>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128"/>
      <c r="BH145" s="26"/>
      <c r="BI145" s="26"/>
      <c r="BJ145" s="26"/>
      <c r="BK145" s="26"/>
      <c r="BL145" s="26"/>
      <c r="BM145" s="26"/>
      <c r="BN145" s="26"/>
      <c r="BO145" s="26"/>
      <c r="BP145" s="26"/>
      <c r="BQ145" s="26"/>
      <c r="BR145" s="26"/>
      <c r="BS145" s="26"/>
      <c r="BT145" s="26"/>
      <c r="BU145" s="26"/>
      <c r="BV145" s="90"/>
    </row>
    <row r="146" spans="1:74" ht="13" hidden="1" x14ac:dyDescent="0.3">
      <c r="A146" s="245"/>
      <c r="B146" s="245"/>
      <c r="C146" s="246"/>
      <c r="D146" s="26"/>
      <c r="E146" s="26"/>
      <c r="F146" s="26"/>
      <c r="G146" s="26"/>
      <c r="H146" s="26"/>
      <c r="I146" s="26"/>
      <c r="J146" s="27"/>
      <c r="K146" s="27"/>
      <c r="L146" s="128"/>
      <c r="M146" s="128"/>
      <c r="N146" s="27"/>
      <c r="O146" s="27"/>
      <c r="P146" s="128"/>
      <c r="Q146" s="128"/>
      <c r="R146" s="114"/>
      <c r="S146" s="114"/>
      <c r="T146" s="37"/>
      <c r="U146" s="244"/>
      <c r="V146" s="26"/>
      <c r="W146" s="26"/>
      <c r="X146" s="26"/>
      <c r="Y146" s="26"/>
      <c r="Z146" s="26"/>
      <c r="AA146" s="26"/>
      <c r="AB146" s="28"/>
      <c r="AC146" s="28"/>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128"/>
      <c r="BH146" s="26"/>
      <c r="BI146" s="26"/>
      <c r="BJ146" s="26"/>
      <c r="BK146" s="26"/>
      <c r="BL146" s="26"/>
      <c r="BM146" s="26"/>
      <c r="BN146" s="26"/>
      <c r="BO146" s="26"/>
      <c r="BP146" s="26"/>
      <c r="BQ146" s="26"/>
      <c r="BR146" s="26"/>
      <c r="BS146" s="26"/>
      <c r="BT146" s="26"/>
      <c r="BU146" s="26"/>
      <c r="BV146" s="90"/>
    </row>
    <row r="147" spans="1:74" ht="13" hidden="1" x14ac:dyDescent="0.3">
      <c r="A147" s="245"/>
      <c r="B147" s="245"/>
      <c r="C147" s="246"/>
      <c r="D147" s="26"/>
      <c r="E147" s="26"/>
      <c r="F147" s="26"/>
      <c r="G147" s="26"/>
      <c r="H147" s="95" t="s">
        <v>178</v>
      </c>
      <c r="I147" s="131"/>
      <c r="J147" s="69"/>
      <c r="K147" s="69"/>
      <c r="L147" s="318"/>
      <c r="M147" s="318"/>
      <c r="N147" s="69"/>
      <c r="O147" s="27"/>
      <c r="P147" s="128"/>
      <c r="Q147" s="128"/>
      <c r="R147" s="95" t="s">
        <v>191</v>
      </c>
      <c r="S147" s="60"/>
      <c r="T147" s="26"/>
      <c r="U147" s="244"/>
      <c r="V147" s="26"/>
      <c r="W147" s="26"/>
      <c r="X147" s="26"/>
      <c r="Y147" s="26"/>
      <c r="Z147" s="26"/>
      <c r="AA147" s="26"/>
      <c r="AB147" s="28"/>
      <c r="AC147" s="28"/>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128"/>
      <c r="BH147" s="26"/>
      <c r="BI147" s="26"/>
      <c r="BJ147" s="26"/>
      <c r="BK147" s="26"/>
      <c r="BL147" s="26"/>
      <c r="BM147" s="26"/>
      <c r="BN147" s="26"/>
      <c r="BO147" s="26"/>
      <c r="BP147" s="26"/>
      <c r="BQ147" s="26"/>
      <c r="BR147" s="26"/>
      <c r="BS147" s="26"/>
      <c r="BT147" s="26"/>
      <c r="BU147" s="26"/>
      <c r="BV147" s="90"/>
    </row>
    <row r="148" spans="1:74" ht="13" hidden="1" x14ac:dyDescent="0.3">
      <c r="A148" s="245"/>
      <c r="B148" s="245"/>
      <c r="C148" s="246"/>
      <c r="D148" s="26"/>
      <c r="E148" s="26"/>
      <c r="F148" s="26"/>
      <c r="G148" s="26"/>
      <c r="H148" s="125" t="s">
        <v>150</v>
      </c>
      <c r="I148" s="34" t="str">
        <f>S101</f>
        <v/>
      </c>
      <c r="J148" s="130" t="s">
        <v>233</v>
      </c>
      <c r="K148" s="27"/>
      <c r="L148" s="128"/>
      <c r="M148" s="128"/>
      <c r="N148" s="27"/>
      <c r="O148" s="27"/>
      <c r="P148" s="128"/>
      <c r="Q148" s="128"/>
      <c r="R148" s="26" t="b">
        <f>AND(I136&gt;MIPDLClass1)</f>
        <v>0</v>
      </c>
      <c r="S148" s="208" t="s">
        <v>329</v>
      </c>
      <c r="T148" s="26"/>
      <c r="U148" s="244"/>
      <c r="V148" s="26"/>
      <c r="W148" s="26"/>
      <c r="X148" s="26"/>
      <c r="Y148" s="26"/>
      <c r="Z148" s="26"/>
      <c r="AA148" s="26"/>
      <c r="AB148" s="28"/>
      <c r="AC148" s="28"/>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128"/>
      <c r="BH148" s="26"/>
      <c r="BI148" s="26"/>
      <c r="BJ148" s="26"/>
      <c r="BK148" s="26"/>
      <c r="BL148" s="26"/>
      <c r="BM148" s="26"/>
      <c r="BN148" s="26"/>
      <c r="BO148" s="26"/>
      <c r="BP148" s="26"/>
      <c r="BQ148" s="26"/>
      <c r="BR148" s="26"/>
      <c r="BS148" s="26"/>
      <c r="BT148" s="26"/>
      <c r="BU148" s="26"/>
      <c r="BV148" s="90"/>
    </row>
    <row r="149" spans="1:74" ht="13" hidden="1" x14ac:dyDescent="0.3">
      <c r="A149" s="245"/>
      <c r="B149" s="245"/>
      <c r="C149" s="246"/>
      <c r="D149" s="26"/>
      <c r="E149" s="26"/>
      <c r="F149" s="26"/>
      <c r="G149" s="26"/>
      <c r="H149" s="125" t="s">
        <v>23</v>
      </c>
      <c r="I149" s="34">
        <f>SUM(AG26:AG65)</f>
        <v>0</v>
      </c>
      <c r="J149" s="130" t="s">
        <v>232</v>
      </c>
      <c r="K149" s="27"/>
      <c r="L149" s="128"/>
      <c r="M149" s="128"/>
      <c r="N149" s="27"/>
      <c r="O149" s="27"/>
      <c r="P149" s="128"/>
      <c r="Q149" s="128"/>
      <c r="R149" s="26"/>
      <c r="S149" s="26"/>
      <c r="T149" s="26"/>
      <c r="U149" s="244"/>
      <c r="V149" s="26"/>
      <c r="W149" s="26"/>
      <c r="X149" s="26"/>
      <c r="Y149" s="26"/>
      <c r="Z149" s="26"/>
      <c r="AA149" s="26"/>
      <c r="AB149" s="28"/>
      <c r="AC149" s="28"/>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128"/>
      <c r="BH149" s="26"/>
      <c r="BI149" s="26"/>
      <c r="BJ149" s="26"/>
      <c r="BK149" s="26"/>
      <c r="BL149" s="26"/>
      <c r="BM149" s="26"/>
      <c r="BN149" s="26"/>
      <c r="BO149" s="26"/>
      <c r="BP149" s="26"/>
      <c r="BQ149" s="26"/>
      <c r="BR149" s="26"/>
      <c r="BS149" s="26"/>
      <c r="BT149" s="26"/>
      <c r="BU149" s="26"/>
      <c r="BV149" s="90"/>
    </row>
    <row r="150" spans="1:74" hidden="1" x14ac:dyDescent="0.25">
      <c r="A150" s="245"/>
      <c r="B150" s="245"/>
      <c r="C150" s="246"/>
      <c r="D150" s="26"/>
      <c r="E150" s="26"/>
      <c r="F150" s="26"/>
      <c r="G150" s="26"/>
      <c r="H150" s="26"/>
      <c r="I150" s="34"/>
      <c r="J150" s="128"/>
      <c r="K150" s="27"/>
      <c r="L150" s="128"/>
      <c r="M150" s="128"/>
      <c r="N150" s="27"/>
      <c r="O150" s="27"/>
      <c r="P150" s="128"/>
      <c r="Q150" s="128"/>
      <c r="R150" s="26"/>
      <c r="S150" s="26"/>
      <c r="T150" s="26"/>
      <c r="U150" s="244"/>
      <c r="V150" s="26"/>
      <c r="W150" s="26"/>
      <c r="X150" s="26"/>
      <c r="Y150" s="26"/>
      <c r="Z150" s="26"/>
      <c r="AA150" s="26"/>
      <c r="AB150" s="28"/>
      <c r="AC150" s="28"/>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128"/>
      <c r="BH150" s="26"/>
      <c r="BI150" s="26"/>
      <c r="BJ150" s="26"/>
      <c r="BK150" s="26"/>
      <c r="BL150" s="26"/>
      <c r="BM150" s="26"/>
      <c r="BN150" s="26"/>
      <c r="BO150" s="26"/>
      <c r="BP150" s="26"/>
      <c r="BQ150" s="26"/>
      <c r="BR150" s="26"/>
      <c r="BS150" s="26"/>
      <c r="BT150" s="26"/>
      <c r="BU150" s="26"/>
      <c r="BV150" s="90"/>
    </row>
    <row r="151" spans="1:74" ht="13" hidden="1" x14ac:dyDescent="0.3">
      <c r="A151" s="245"/>
      <c r="B151" s="245"/>
      <c r="C151" s="246"/>
      <c r="D151" s="26"/>
      <c r="E151" s="26"/>
      <c r="F151" s="26"/>
      <c r="G151" s="26"/>
      <c r="H151" s="95" t="s">
        <v>179</v>
      </c>
      <c r="I151" s="34"/>
      <c r="J151" s="128"/>
      <c r="K151" s="27"/>
      <c r="L151" s="128"/>
      <c r="M151" s="128"/>
      <c r="N151" s="27"/>
      <c r="O151" s="27"/>
      <c r="P151" s="128"/>
      <c r="Q151" s="128"/>
      <c r="R151" s="95" t="s">
        <v>192</v>
      </c>
      <c r="S151" s="26"/>
      <c r="T151" s="26"/>
      <c r="U151" s="244"/>
      <c r="V151" s="26"/>
      <c r="W151" s="26"/>
      <c r="X151" s="26"/>
      <c r="Y151" s="26"/>
      <c r="Z151" s="26"/>
      <c r="AA151" s="26"/>
      <c r="AB151" s="28"/>
      <c r="AC151" s="28"/>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128"/>
      <c r="BH151" s="26"/>
      <c r="BI151" s="26"/>
      <c r="BJ151" s="26"/>
      <c r="BK151" s="26"/>
      <c r="BL151" s="26"/>
      <c r="BM151" s="26"/>
      <c r="BN151" s="26"/>
      <c r="BO151" s="26"/>
      <c r="BP151" s="26"/>
      <c r="BQ151" s="26"/>
      <c r="BR151" s="26"/>
      <c r="BS151" s="26"/>
      <c r="BT151" s="26"/>
      <c r="BU151" s="26"/>
      <c r="BV151" s="90"/>
    </row>
    <row r="152" spans="1:74" ht="13" hidden="1" x14ac:dyDescent="0.3">
      <c r="A152" s="245"/>
      <c r="B152" s="245"/>
      <c r="C152" s="246"/>
      <c r="D152" s="26"/>
      <c r="E152" s="26"/>
      <c r="F152" s="26"/>
      <c r="G152" s="26"/>
      <c r="H152" s="125" t="s">
        <v>150</v>
      </c>
      <c r="I152" s="34" t="str">
        <f>S103</f>
        <v/>
      </c>
      <c r="J152" s="130" t="s">
        <v>233</v>
      </c>
      <c r="K152" s="27"/>
      <c r="L152" s="128"/>
      <c r="M152" s="128"/>
      <c r="N152" s="27"/>
      <c r="O152" s="27"/>
      <c r="P152" s="128"/>
      <c r="Q152" s="128"/>
      <c r="R152" s="26" t="b">
        <f>AND(I140&gt;I152)</f>
        <v>0</v>
      </c>
      <c r="S152" s="208" t="s">
        <v>330</v>
      </c>
      <c r="T152" s="26"/>
      <c r="U152" s="244"/>
      <c r="V152" s="26"/>
      <c r="W152" s="26"/>
      <c r="X152" s="26"/>
      <c r="Y152" s="26"/>
      <c r="Z152" s="26"/>
      <c r="AA152" s="26"/>
      <c r="AB152" s="28"/>
      <c r="AC152" s="28"/>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128"/>
      <c r="BH152" s="26"/>
      <c r="BI152" s="26"/>
      <c r="BJ152" s="26"/>
      <c r="BK152" s="26"/>
      <c r="BL152" s="26"/>
      <c r="BM152" s="26"/>
      <c r="BN152" s="26"/>
      <c r="BO152" s="26"/>
      <c r="BP152" s="26"/>
      <c r="BQ152" s="26"/>
      <c r="BR152" s="26"/>
      <c r="BS152" s="26"/>
      <c r="BT152" s="26"/>
      <c r="BU152" s="26"/>
      <c r="BV152" s="90"/>
    </row>
    <row r="153" spans="1:74" ht="13" hidden="1" x14ac:dyDescent="0.3">
      <c r="A153" s="245"/>
      <c r="B153" s="245"/>
      <c r="C153" s="246"/>
      <c r="D153" s="26"/>
      <c r="E153" s="26"/>
      <c r="F153" s="26"/>
      <c r="G153" s="26"/>
      <c r="H153" s="125" t="s">
        <v>23</v>
      </c>
      <c r="I153" s="34">
        <f>SUM(AL26:AL65)</f>
        <v>0</v>
      </c>
      <c r="J153" s="130" t="s">
        <v>232</v>
      </c>
      <c r="K153" s="27"/>
      <c r="L153" s="128"/>
      <c r="M153" s="128"/>
      <c r="N153" s="27"/>
      <c r="O153" s="27"/>
      <c r="P153" s="128"/>
      <c r="Q153" s="128"/>
      <c r="R153" s="26"/>
      <c r="S153" s="26"/>
      <c r="T153" s="26"/>
      <c r="U153" s="244"/>
      <c r="V153" s="26"/>
      <c r="W153" s="26"/>
      <c r="X153" s="26"/>
      <c r="Y153" s="26"/>
      <c r="Z153" s="26"/>
      <c r="AA153" s="26"/>
      <c r="AB153" s="28"/>
      <c r="AC153" s="28"/>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128"/>
      <c r="BH153" s="26"/>
      <c r="BI153" s="26"/>
      <c r="BJ153" s="26"/>
      <c r="BK153" s="26"/>
      <c r="BL153" s="26"/>
      <c r="BM153" s="26"/>
      <c r="BN153" s="26"/>
      <c r="BO153" s="26"/>
      <c r="BP153" s="26"/>
      <c r="BQ153" s="26"/>
      <c r="BR153" s="26"/>
      <c r="BS153" s="26"/>
      <c r="BT153" s="26"/>
      <c r="BU153" s="26"/>
      <c r="BV153" s="90"/>
    </row>
    <row r="154" spans="1:74" hidden="1" x14ac:dyDescent="0.25">
      <c r="A154" s="245"/>
      <c r="B154" s="245"/>
      <c r="C154" s="246"/>
      <c r="D154" s="26"/>
      <c r="E154" s="26"/>
      <c r="F154" s="26"/>
      <c r="G154" s="26"/>
      <c r="H154" s="26"/>
      <c r="I154" s="34"/>
      <c r="J154" s="128"/>
      <c r="K154" s="27"/>
      <c r="L154" s="128"/>
      <c r="M154" s="128"/>
      <c r="N154" s="27"/>
      <c r="O154" s="27"/>
      <c r="P154" s="128"/>
      <c r="Q154" s="128"/>
      <c r="R154" s="26"/>
      <c r="S154" s="26"/>
      <c r="T154" s="26"/>
      <c r="U154" s="244"/>
      <c r="V154" s="26"/>
      <c r="W154" s="26"/>
      <c r="X154" s="26"/>
      <c r="Y154" s="26"/>
      <c r="Z154" s="26"/>
      <c r="AA154" s="26"/>
      <c r="AB154" s="28"/>
      <c r="AC154" s="28"/>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128"/>
      <c r="BH154" s="26"/>
      <c r="BI154" s="26"/>
      <c r="BJ154" s="26"/>
      <c r="BK154" s="26"/>
      <c r="BL154" s="26"/>
      <c r="BM154" s="26"/>
      <c r="BN154" s="26"/>
      <c r="BO154" s="26"/>
      <c r="BP154" s="26"/>
      <c r="BQ154" s="26"/>
      <c r="BR154" s="26"/>
      <c r="BS154" s="26"/>
      <c r="BT154" s="26"/>
      <c r="BU154" s="26"/>
      <c r="BV154" s="90"/>
    </row>
    <row r="155" spans="1:74" ht="13" hidden="1" x14ac:dyDescent="0.3">
      <c r="A155" s="245"/>
      <c r="B155" s="245"/>
      <c r="C155" s="246"/>
      <c r="D155" s="26"/>
      <c r="E155" s="26"/>
      <c r="F155" s="26"/>
      <c r="G155" s="26"/>
      <c r="H155" s="95" t="s">
        <v>180</v>
      </c>
      <c r="I155" s="34"/>
      <c r="J155" s="128"/>
      <c r="K155" s="27"/>
      <c r="L155" s="128"/>
      <c r="M155" s="128"/>
      <c r="N155" s="27"/>
      <c r="O155" s="27"/>
      <c r="P155" s="128"/>
      <c r="Q155" s="128"/>
      <c r="R155" s="95" t="s">
        <v>193</v>
      </c>
      <c r="S155" s="26"/>
      <c r="T155" s="26"/>
      <c r="U155" s="244"/>
      <c r="V155" s="26"/>
      <c r="W155" s="26"/>
      <c r="X155" s="26"/>
      <c r="Y155" s="26"/>
      <c r="Z155" s="26"/>
      <c r="AA155" s="26"/>
      <c r="AB155" s="28"/>
      <c r="AC155" s="28"/>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128"/>
      <c r="BH155" s="26"/>
      <c r="BI155" s="26"/>
      <c r="BJ155" s="26"/>
      <c r="BK155" s="26"/>
      <c r="BL155" s="26"/>
      <c r="BM155" s="26"/>
      <c r="BN155" s="26"/>
      <c r="BO155" s="26"/>
      <c r="BP155" s="26"/>
      <c r="BQ155" s="26"/>
      <c r="BR155" s="26"/>
      <c r="BS155" s="26"/>
      <c r="BT155" s="26"/>
      <c r="BU155" s="26"/>
      <c r="BV155" s="90"/>
    </row>
    <row r="156" spans="1:74" ht="13" hidden="1" x14ac:dyDescent="0.3">
      <c r="A156" s="245"/>
      <c r="B156" s="245"/>
      <c r="C156" s="246"/>
      <c r="D156" s="26"/>
      <c r="E156" s="26"/>
      <c r="F156" s="26"/>
      <c r="G156" s="26"/>
      <c r="H156" s="125" t="s">
        <v>150</v>
      </c>
      <c r="I156" s="34" t="str">
        <f>S104</f>
        <v/>
      </c>
      <c r="J156" s="130" t="s">
        <v>233</v>
      </c>
      <c r="K156" s="27"/>
      <c r="L156" s="128"/>
      <c r="M156" s="128"/>
      <c r="N156" s="27"/>
      <c r="O156" s="27"/>
      <c r="P156" s="128"/>
      <c r="Q156" s="128"/>
      <c r="R156" s="26" t="b">
        <f>AND(I144&gt;I156)</f>
        <v>0</v>
      </c>
      <c r="S156" s="208" t="s">
        <v>331</v>
      </c>
      <c r="T156" s="26"/>
      <c r="U156" s="244"/>
      <c r="V156" s="26"/>
      <c r="W156" s="26"/>
      <c r="X156" s="26"/>
      <c r="Y156" s="26"/>
      <c r="Z156" s="26"/>
      <c r="AA156" s="26"/>
      <c r="AB156" s="28"/>
      <c r="AC156" s="28"/>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128"/>
      <c r="BH156" s="26"/>
      <c r="BI156" s="26"/>
      <c r="BJ156" s="26"/>
      <c r="BK156" s="26"/>
      <c r="BL156" s="26"/>
      <c r="BM156" s="26"/>
      <c r="BN156" s="26"/>
      <c r="BO156" s="26"/>
      <c r="BP156" s="26"/>
      <c r="BQ156" s="26"/>
      <c r="BR156" s="26"/>
      <c r="BS156" s="26"/>
      <c r="BT156" s="26"/>
      <c r="BU156" s="26"/>
      <c r="BV156" s="90"/>
    </row>
    <row r="157" spans="1:74" ht="13" hidden="1" x14ac:dyDescent="0.3">
      <c r="A157" s="245"/>
      <c r="B157" s="245"/>
      <c r="C157" s="246"/>
      <c r="D157" s="26"/>
      <c r="E157" s="26"/>
      <c r="F157" s="26"/>
      <c r="G157" s="26"/>
      <c r="H157" s="125" t="s">
        <v>23</v>
      </c>
      <c r="I157" s="34">
        <f>SUM(AQ26:AQ65)</f>
        <v>0</v>
      </c>
      <c r="J157" s="130" t="s">
        <v>232</v>
      </c>
      <c r="K157" s="27"/>
      <c r="L157" s="128"/>
      <c r="M157" s="128"/>
      <c r="N157" s="27"/>
      <c r="O157" s="27"/>
      <c r="P157" s="128"/>
      <c r="Q157" s="128"/>
      <c r="R157" s="26"/>
      <c r="S157" s="26"/>
      <c r="T157" s="26"/>
      <c r="U157" s="244"/>
      <c r="V157" s="26"/>
      <c r="W157" s="26"/>
      <c r="X157" s="26"/>
      <c r="Y157" s="26"/>
      <c r="Z157" s="26"/>
      <c r="AA157" s="26"/>
      <c r="AB157" s="28"/>
      <c r="AC157" s="28"/>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128"/>
      <c r="BH157" s="26"/>
      <c r="BI157" s="26"/>
      <c r="BJ157" s="26"/>
      <c r="BK157" s="26"/>
      <c r="BL157" s="26"/>
      <c r="BM157" s="26"/>
      <c r="BN157" s="26"/>
      <c r="BO157" s="26"/>
      <c r="BP157" s="26"/>
      <c r="BQ157" s="26"/>
      <c r="BR157" s="26"/>
      <c r="BS157" s="26"/>
      <c r="BT157" s="26"/>
      <c r="BU157" s="26"/>
      <c r="BV157" s="90"/>
    </row>
    <row r="158" spans="1:74" hidden="1" x14ac:dyDescent="0.25">
      <c r="A158" s="245"/>
      <c r="B158" s="245"/>
      <c r="C158" s="246"/>
      <c r="D158" s="26"/>
      <c r="E158" s="26"/>
      <c r="F158" s="26"/>
      <c r="G158" s="26"/>
      <c r="H158" s="26"/>
      <c r="I158" s="39"/>
      <c r="J158" s="27"/>
      <c r="K158" s="27"/>
      <c r="L158" s="128"/>
      <c r="M158" s="128"/>
      <c r="N158" s="27"/>
      <c r="O158" s="27"/>
      <c r="P158" s="128"/>
      <c r="Q158" s="128"/>
      <c r="R158" s="26"/>
      <c r="S158" s="26"/>
      <c r="T158" s="26"/>
      <c r="U158" s="244"/>
      <c r="V158" s="26"/>
      <c r="W158" s="26"/>
      <c r="X158" s="26"/>
      <c r="Y158" s="26"/>
      <c r="Z158" s="26"/>
      <c r="AA158" s="26"/>
      <c r="AB158" s="28"/>
      <c r="AC158" s="28"/>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128"/>
      <c r="BH158" s="26"/>
      <c r="BI158" s="26"/>
      <c r="BJ158" s="26"/>
      <c r="BK158" s="26"/>
      <c r="BL158" s="26"/>
      <c r="BM158" s="26"/>
      <c r="BN158" s="26"/>
      <c r="BO158" s="26"/>
      <c r="BP158" s="26"/>
      <c r="BQ158" s="26"/>
      <c r="BR158" s="26"/>
      <c r="BS158" s="26"/>
      <c r="BT158" s="26"/>
      <c r="BU158" s="26"/>
      <c r="BV158" s="90"/>
    </row>
    <row r="159" spans="1:74" hidden="1" x14ac:dyDescent="0.25">
      <c r="A159" s="245"/>
      <c r="B159" s="245"/>
      <c r="C159" s="246"/>
      <c r="D159" s="26"/>
      <c r="E159" s="26"/>
      <c r="F159" s="26"/>
      <c r="G159" s="26"/>
      <c r="H159" s="26"/>
      <c r="I159" s="39"/>
      <c r="J159" s="27"/>
      <c r="K159" s="27"/>
      <c r="L159" s="128"/>
      <c r="M159" s="128"/>
      <c r="N159" s="27"/>
      <c r="O159" s="27"/>
      <c r="P159" s="128"/>
      <c r="Q159" s="128"/>
      <c r="R159" s="26"/>
      <c r="S159" s="26"/>
      <c r="T159" s="26"/>
      <c r="U159" s="244"/>
      <c r="V159" s="26"/>
      <c r="W159" s="26"/>
      <c r="X159" s="26"/>
      <c r="Y159" s="26"/>
      <c r="Z159" s="26"/>
      <c r="AA159" s="26"/>
      <c r="AB159" s="28"/>
      <c r="AC159" s="28"/>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128"/>
      <c r="BH159" s="26"/>
      <c r="BI159" s="26"/>
      <c r="BJ159" s="26"/>
      <c r="BK159" s="26"/>
      <c r="BL159" s="26"/>
      <c r="BM159" s="26"/>
      <c r="BN159" s="26"/>
      <c r="BO159" s="26"/>
      <c r="BP159" s="26"/>
      <c r="BQ159" s="26"/>
      <c r="BR159" s="26"/>
      <c r="BS159" s="26"/>
      <c r="BT159" s="26"/>
      <c r="BU159" s="26"/>
      <c r="BV159" s="90"/>
    </row>
    <row r="160" spans="1:74" hidden="1" x14ac:dyDescent="0.25">
      <c r="A160" s="245"/>
      <c r="B160" s="245"/>
      <c r="C160" s="246"/>
      <c r="D160" s="26"/>
      <c r="E160" s="26"/>
      <c r="F160" s="26"/>
      <c r="G160" s="26"/>
      <c r="H160" s="26"/>
      <c r="I160" s="58"/>
      <c r="J160" s="27"/>
      <c r="K160" s="27"/>
      <c r="L160" s="128"/>
      <c r="M160" s="128"/>
      <c r="N160" s="27"/>
      <c r="O160" s="27"/>
      <c r="P160" s="128"/>
      <c r="Q160" s="128"/>
      <c r="R160" s="26"/>
      <c r="S160" s="26"/>
      <c r="T160" s="26"/>
      <c r="U160" s="244"/>
      <c r="V160" s="26"/>
      <c r="X160" s="26"/>
      <c r="Y160" s="26"/>
      <c r="Z160" s="26"/>
      <c r="AA160" s="26"/>
      <c r="AB160" s="28"/>
      <c r="AC160" s="28"/>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128"/>
      <c r="BH160" s="26"/>
      <c r="BI160" s="26"/>
      <c r="BJ160" s="26"/>
      <c r="BK160" s="26"/>
      <c r="BL160" s="26"/>
      <c r="BM160" s="26"/>
      <c r="BN160" s="26"/>
      <c r="BO160" s="26"/>
      <c r="BP160" s="26"/>
      <c r="BQ160" s="26"/>
      <c r="BR160" s="26"/>
      <c r="BS160" s="26"/>
      <c r="BT160" s="26"/>
      <c r="BU160" s="26"/>
      <c r="BV160" s="90"/>
    </row>
    <row r="161" spans="1:110" hidden="1" x14ac:dyDescent="0.25">
      <c r="A161" s="245"/>
      <c r="B161" s="245"/>
      <c r="C161" s="246"/>
      <c r="D161" s="26"/>
      <c r="E161" s="26"/>
      <c r="F161" s="26"/>
      <c r="G161" s="26"/>
      <c r="H161" s="26"/>
      <c r="I161" s="58"/>
      <c r="J161" s="27"/>
      <c r="K161" s="27"/>
      <c r="L161" s="128"/>
      <c r="M161" s="128"/>
      <c r="N161" s="27"/>
      <c r="O161" s="27"/>
      <c r="P161" s="128"/>
      <c r="Q161" s="128"/>
      <c r="R161" s="26"/>
      <c r="S161" s="26"/>
      <c r="T161" s="26"/>
      <c r="U161" s="244"/>
      <c r="V161" s="26"/>
      <c r="W161" s="26"/>
      <c r="X161" s="26"/>
      <c r="Y161" s="26"/>
      <c r="Z161" s="26"/>
      <c r="AA161" s="26"/>
      <c r="AB161" s="28"/>
      <c r="AC161" s="28"/>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128"/>
      <c r="BH161" s="26"/>
      <c r="BI161" s="26"/>
      <c r="BJ161" s="26"/>
      <c r="BK161" s="26"/>
      <c r="BL161" s="26"/>
      <c r="BM161" s="26"/>
      <c r="BN161" s="26"/>
      <c r="BO161" s="26"/>
      <c r="BP161" s="26"/>
      <c r="BQ161" s="26"/>
      <c r="BR161" s="26"/>
      <c r="BS161" s="26"/>
      <c r="BT161" s="26"/>
      <c r="BU161" s="26"/>
      <c r="BV161" s="90"/>
    </row>
    <row r="162" spans="1:110" hidden="1" x14ac:dyDescent="0.25">
      <c r="B162" s="328"/>
      <c r="C162" s="425"/>
      <c r="D162" s="328"/>
      <c r="E162" s="328"/>
      <c r="F162" s="328"/>
      <c r="G162" s="328"/>
      <c r="H162" s="328"/>
      <c r="I162" s="328"/>
      <c r="J162" s="426"/>
      <c r="K162" s="426"/>
      <c r="L162" s="426"/>
      <c r="M162" s="426"/>
      <c r="N162" s="426"/>
      <c r="O162" s="426"/>
      <c r="P162" s="426"/>
      <c r="Q162" s="426"/>
      <c r="R162" s="328"/>
      <c r="S162" s="328"/>
      <c r="T162" s="328"/>
      <c r="U162" s="422"/>
      <c r="W162" s="26"/>
      <c r="CI162" s="333"/>
      <c r="CJ162" s="333"/>
      <c r="CK162" s="333"/>
      <c r="CL162" s="333"/>
      <c r="CM162" s="333"/>
      <c r="CN162" s="333"/>
      <c r="CO162" s="333"/>
      <c r="CP162" s="333"/>
      <c r="CQ162" s="333"/>
      <c r="CR162" s="333"/>
      <c r="CS162" s="333"/>
      <c r="CT162" s="333"/>
      <c r="CU162" s="333"/>
      <c r="CV162" s="333"/>
      <c r="CW162" s="333"/>
      <c r="CX162" s="333"/>
      <c r="CY162" s="333"/>
      <c r="CZ162" s="333"/>
      <c r="DA162" s="333"/>
      <c r="DB162" s="333"/>
      <c r="DC162" s="333"/>
      <c r="DD162" s="333"/>
      <c r="DE162" s="333"/>
      <c r="DF162" s="333"/>
    </row>
    <row r="163" spans="1:110" x14ac:dyDescent="0.25">
      <c r="A163" s="26"/>
      <c r="B163" s="333"/>
      <c r="C163" s="334"/>
      <c r="D163" s="333"/>
      <c r="E163" s="333"/>
      <c r="F163" s="333"/>
      <c r="G163" s="333"/>
      <c r="H163" s="333"/>
      <c r="I163" s="333"/>
      <c r="J163" s="335"/>
      <c r="K163" s="335"/>
      <c r="L163" s="335"/>
      <c r="M163" s="335"/>
      <c r="N163" s="335"/>
      <c r="O163" s="335"/>
      <c r="P163" s="335"/>
      <c r="Q163" s="335"/>
      <c r="R163" s="333"/>
      <c r="S163" s="333"/>
      <c r="T163" s="333"/>
      <c r="U163" s="129"/>
      <c r="V163" s="26"/>
      <c r="W163" s="26"/>
      <c r="X163" s="26"/>
      <c r="Y163" s="26"/>
      <c r="Z163" s="26"/>
      <c r="AA163" s="26"/>
      <c r="AB163" s="28"/>
      <c r="AC163" s="28"/>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128"/>
      <c r="BH163" s="26"/>
      <c r="BI163" s="26"/>
      <c r="BJ163" s="26"/>
      <c r="BK163" s="26"/>
      <c r="BL163" s="26"/>
      <c r="BM163" s="26"/>
      <c r="BN163" s="26"/>
      <c r="BO163" s="26"/>
      <c r="BP163" s="26"/>
      <c r="BQ163" s="26"/>
      <c r="BR163" s="26"/>
      <c r="BS163" s="26"/>
      <c r="BT163" s="26"/>
      <c r="BU163" s="26"/>
      <c r="BV163" s="90"/>
      <c r="BW163" s="26"/>
      <c r="BX163" s="26"/>
      <c r="BY163" s="26"/>
      <c r="BZ163" s="26"/>
      <c r="CA163" s="26"/>
      <c r="CB163" s="26"/>
      <c r="CC163" s="26"/>
      <c r="CD163" s="26"/>
      <c r="CF163" s="26"/>
      <c r="CG163" s="333"/>
      <c r="CH163" s="333"/>
      <c r="CI163" s="333"/>
      <c r="CJ163" s="333"/>
      <c r="CK163" s="333"/>
      <c r="CL163" s="333"/>
      <c r="CM163" s="333"/>
      <c r="CN163" s="333"/>
      <c r="CO163" s="333"/>
      <c r="CP163" s="333"/>
      <c r="CQ163" s="333"/>
      <c r="CR163" s="333"/>
      <c r="CS163" s="333"/>
      <c r="CT163" s="333"/>
      <c r="CU163" s="333"/>
      <c r="CV163" s="333"/>
      <c r="CW163" s="333"/>
      <c r="CX163" s="333"/>
      <c r="CY163" s="333"/>
      <c r="CZ163" s="333"/>
      <c r="DA163" s="333"/>
      <c r="DB163" s="333"/>
      <c r="DC163" s="333"/>
      <c r="DD163" s="333"/>
      <c r="DE163" s="333"/>
      <c r="DF163" s="333"/>
    </row>
    <row r="164" spans="1:110" x14ac:dyDescent="0.25">
      <c r="A164" s="26"/>
      <c r="B164" s="333"/>
      <c r="C164" s="334"/>
      <c r="D164" s="333"/>
      <c r="E164" s="333"/>
      <c r="F164" s="333"/>
      <c r="G164" s="333"/>
      <c r="H164" s="333"/>
      <c r="I164" s="333"/>
      <c r="J164" s="335"/>
      <c r="K164" s="335"/>
      <c r="L164" s="335"/>
      <c r="M164" s="335"/>
      <c r="N164" s="335"/>
      <c r="O164" s="335"/>
      <c r="P164" s="335"/>
      <c r="Q164" s="335"/>
      <c r="R164" s="333"/>
      <c r="S164" s="333"/>
      <c r="T164" s="333"/>
      <c r="U164" s="129"/>
      <c r="V164" s="26"/>
      <c r="W164" s="26"/>
      <c r="X164" s="26"/>
      <c r="Y164" s="26"/>
      <c r="Z164" s="26"/>
      <c r="AA164" s="26"/>
      <c r="AB164" s="28"/>
      <c r="AC164" s="28"/>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128"/>
      <c r="BH164" s="26"/>
      <c r="BI164" s="26"/>
      <c r="BJ164" s="26"/>
      <c r="BK164" s="26"/>
      <c r="BL164" s="26"/>
      <c r="BM164" s="26"/>
      <c r="BN164" s="26"/>
      <c r="BO164" s="26"/>
      <c r="BP164" s="26"/>
      <c r="BQ164" s="26"/>
      <c r="BR164" s="26"/>
      <c r="BS164" s="26"/>
      <c r="BT164" s="26"/>
      <c r="BU164" s="26"/>
      <c r="BV164" s="90"/>
      <c r="BW164" s="26"/>
      <c r="BX164" s="26"/>
      <c r="BY164" s="26"/>
      <c r="BZ164" s="26"/>
      <c r="CA164" s="26"/>
      <c r="CB164" s="26"/>
      <c r="CC164" s="26"/>
      <c r="CD164" s="26"/>
      <c r="CF164" s="26"/>
      <c r="CG164" s="333"/>
      <c r="CH164" s="333"/>
      <c r="CI164" s="333"/>
      <c r="CJ164" s="333"/>
      <c r="CK164" s="333"/>
      <c r="CL164" s="333"/>
      <c r="CM164" s="333"/>
      <c r="CN164" s="333"/>
      <c r="CO164" s="333"/>
      <c r="CP164" s="333"/>
      <c r="CQ164" s="333"/>
      <c r="CR164" s="333"/>
      <c r="CS164" s="333"/>
      <c r="CT164" s="333"/>
      <c r="CU164" s="333"/>
      <c r="CV164" s="333"/>
      <c r="CW164" s="333"/>
      <c r="CX164" s="333"/>
      <c r="CY164" s="333"/>
      <c r="CZ164" s="333"/>
      <c r="DA164" s="333"/>
      <c r="DB164" s="333"/>
      <c r="DC164" s="333"/>
      <c r="DD164" s="333"/>
      <c r="DE164" s="333"/>
      <c r="DF164" s="333"/>
    </row>
    <row r="165" spans="1:110" x14ac:dyDescent="0.25">
      <c r="A165" s="26"/>
      <c r="B165" s="333"/>
      <c r="C165" s="334"/>
      <c r="D165" s="333"/>
      <c r="E165" s="333"/>
      <c r="F165" s="333"/>
      <c r="G165" s="333"/>
      <c r="H165" s="333"/>
      <c r="I165" s="333"/>
      <c r="J165" s="335"/>
      <c r="K165" s="335"/>
      <c r="L165" s="335"/>
      <c r="M165" s="335"/>
      <c r="N165" s="335"/>
      <c r="O165" s="335"/>
      <c r="P165" s="335"/>
      <c r="Q165" s="335"/>
      <c r="R165" s="340"/>
      <c r="S165" s="340"/>
      <c r="T165" s="340"/>
      <c r="U165" s="129"/>
      <c r="V165" s="26"/>
      <c r="W165" s="26"/>
      <c r="X165" s="26"/>
      <c r="Y165" s="26"/>
      <c r="Z165" s="26"/>
      <c r="AA165" s="26"/>
      <c r="AB165" s="28"/>
      <c r="AC165" s="28"/>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128"/>
      <c r="BH165" s="26"/>
      <c r="BI165" s="26"/>
      <c r="BJ165" s="26"/>
      <c r="BK165" s="26"/>
      <c r="BL165" s="26"/>
      <c r="BM165" s="26"/>
      <c r="BN165" s="26"/>
      <c r="BO165" s="26"/>
      <c r="BP165" s="26"/>
      <c r="BQ165" s="26"/>
      <c r="BR165" s="26"/>
      <c r="BS165" s="26"/>
      <c r="BT165" s="26"/>
      <c r="BU165" s="26"/>
      <c r="BV165" s="90"/>
      <c r="BW165" s="26"/>
      <c r="BX165" s="26"/>
      <c r="BY165" s="26"/>
      <c r="BZ165" s="26"/>
      <c r="CA165" s="26"/>
      <c r="CB165" s="26"/>
      <c r="CC165" s="26"/>
      <c r="CD165" s="26"/>
      <c r="CF165" s="26"/>
      <c r="CG165" s="333"/>
      <c r="CH165" s="333"/>
      <c r="CI165" s="333"/>
      <c r="CJ165" s="333"/>
      <c r="CK165" s="333"/>
      <c r="CL165" s="333"/>
      <c r="CM165" s="333"/>
      <c r="CN165" s="333"/>
      <c r="CO165" s="333"/>
      <c r="CP165" s="333"/>
      <c r="CQ165" s="333"/>
      <c r="CR165" s="333"/>
      <c r="CS165" s="333"/>
      <c r="CT165" s="333"/>
      <c r="CU165" s="333"/>
      <c r="CV165" s="333"/>
      <c r="CW165" s="333"/>
      <c r="CX165" s="333"/>
      <c r="CY165" s="333"/>
      <c r="CZ165" s="333"/>
      <c r="DA165" s="333"/>
      <c r="DB165" s="333"/>
      <c r="DC165" s="333"/>
      <c r="DD165" s="333"/>
      <c r="DE165" s="333"/>
      <c r="DF165" s="333"/>
    </row>
    <row r="166" spans="1:110" x14ac:dyDescent="0.25">
      <c r="A166" s="26"/>
      <c r="B166" s="333"/>
      <c r="C166" s="334"/>
      <c r="D166" s="333"/>
      <c r="E166" s="333"/>
      <c r="F166" s="333"/>
      <c r="G166" s="333"/>
      <c r="H166" s="333"/>
      <c r="I166" s="333"/>
      <c r="J166" s="335"/>
      <c r="K166" s="335"/>
      <c r="L166" s="335"/>
      <c r="M166" s="335"/>
      <c r="N166" s="335"/>
      <c r="O166" s="335"/>
      <c r="P166" s="335"/>
      <c r="Q166" s="338"/>
      <c r="R166" s="333"/>
      <c r="S166" s="333"/>
      <c r="T166" s="333"/>
      <c r="U166" s="129"/>
      <c r="V166" s="26"/>
      <c r="W166" s="26"/>
      <c r="X166" s="26"/>
      <c r="Y166" s="26"/>
      <c r="Z166" s="26"/>
      <c r="AA166" s="26"/>
      <c r="AB166" s="28"/>
      <c r="AC166" s="28"/>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128"/>
      <c r="BH166" s="26"/>
      <c r="BI166" s="26"/>
      <c r="BJ166" s="26"/>
      <c r="BK166" s="26"/>
      <c r="BL166" s="26"/>
      <c r="BM166" s="26"/>
      <c r="BN166" s="26"/>
      <c r="BO166" s="26"/>
      <c r="BP166" s="26"/>
      <c r="BQ166" s="26"/>
      <c r="BR166" s="26"/>
      <c r="BS166" s="26"/>
      <c r="BT166" s="26"/>
      <c r="BU166" s="26"/>
      <c r="BV166" s="90"/>
      <c r="BW166" s="26"/>
      <c r="BX166" s="26"/>
      <c r="BY166" s="26"/>
      <c r="BZ166" s="26"/>
      <c r="CA166" s="26"/>
      <c r="CB166" s="26"/>
      <c r="CC166" s="26"/>
      <c r="CD166" s="26"/>
      <c r="CF166" s="26"/>
      <c r="CG166" s="333"/>
      <c r="CH166" s="333"/>
      <c r="CI166" s="333"/>
      <c r="CJ166" s="333"/>
      <c r="CK166" s="333"/>
      <c r="CL166" s="333"/>
      <c r="CM166" s="333"/>
      <c r="CN166" s="333"/>
      <c r="CO166" s="333"/>
      <c r="CP166" s="333"/>
      <c r="CQ166" s="333"/>
      <c r="CR166" s="333"/>
      <c r="CS166" s="333"/>
      <c r="CT166" s="333"/>
      <c r="CU166" s="333"/>
      <c r="CV166" s="333"/>
      <c r="CW166" s="333"/>
      <c r="CX166" s="333"/>
      <c r="CY166" s="333"/>
      <c r="CZ166" s="333"/>
      <c r="DA166" s="333"/>
      <c r="DB166" s="333"/>
      <c r="DC166" s="333"/>
      <c r="DD166" s="333"/>
      <c r="DE166" s="333"/>
      <c r="DF166" s="333"/>
    </row>
    <row r="167" spans="1:110" x14ac:dyDescent="0.25">
      <c r="A167" s="26"/>
      <c r="B167" s="333"/>
      <c r="C167" s="334"/>
      <c r="D167" s="333"/>
      <c r="E167" s="333"/>
      <c r="F167" s="333"/>
      <c r="G167" s="333"/>
      <c r="H167" s="333"/>
      <c r="I167" s="333"/>
      <c r="J167" s="335"/>
      <c r="K167" s="335"/>
      <c r="L167" s="335"/>
      <c r="M167" s="335"/>
      <c r="N167" s="335"/>
      <c r="O167" s="335"/>
      <c r="P167" s="335"/>
      <c r="Q167" s="335"/>
      <c r="R167" s="333"/>
      <c r="S167" s="333"/>
      <c r="T167" s="333"/>
      <c r="U167" s="129"/>
      <c r="V167" s="26"/>
      <c r="W167" s="26"/>
      <c r="X167" s="26"/>
      <c r="Y167" s="26"/>
      <c r="Z167" s="26"/>
      <c r="AA167" s="26"/>
      <c r="AB167" s="28"/>
      <c r="AC167" s="28"/>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128"/>
      <c r="BH167" s="26"/>
      <c r="BI167" s="26"/>
      <c r="BJ167" s="26"/>
      <c r="BK167" s="26"/>
      <c r="BL167" s="26"/>
      <c r="BM167" s="26"/>
      <c r="BN167" s="26"/>
      <c r="BO167" s="26"/>
      <c r="BP167" s="26"/>
      <c r="BQ167" s="26"/>
      <c r="BR167" s="26"/>
      <c r="BS167" s="26"/>
      <c r="BT167" s="26"/>
      <c r="BU167" s="26"/>
      <c r="BV167" s="90"/>
      <c r="BW167" s="26"/>
      <c r="BX167" s="26"/>
      <c r="BY167" s="26"/>
      <c r="BZ167" s="26"/>
      <c r="CA167" s="26"/>
      <c r="CB167" s="26"/>
      <c r="CC167" s="26"/>
      <c r="CD167" s="26"/>
      <c r="CF167" s="26"/>
      <c r="CG167" s="333"/>
      <c r="CH167" s="333"/>
      <c r="CI167" s="333"/>
      <c r="CJ167" s="333"/>
      <c r="CK167" s="333"/>
      <c r="CL167" s="333"/>
      <c r="CM167" s="333"/>
      <c r="CN167" s="333"/>
      <c r="CO167" s="333"/>
      <c r="CP167" s="333"/>
      <c r="CQ167" s="333"/>
      <c r="CR167" s="333"/>
      <c r="CS167" s="333"/>
      <c r="CT167" s="333"/>
      <c r="CU167" s="333"/>
      <c r="CV167" s="333"/>
      <c r="CW167" s="333"/>
      <c r="CX167" s="333"/>
      <c r="CY167" s="333"/>
      <c r="CZ167" s="333"/>
      <c r="DA167" s="333"/>
      <c r="DB167" s="333"/>
      <c r="DC167" s="333"/>
      <c r="DD167" s="333"/>
      <c r="DE167" s="333"/>
      <c r="DF167" s="333"/>
    </row>
    <row r="168" spans="1:110" x14ac:dyDescent="0.25">
      <c r="A168" s="26"/>
      <c r="B168" s="333"/>
      <c r="C168" s="334"/>
      <c r="D168" s="333"/>
      <c r="E168" s="333"/>
      <c r="F168" s="333"/>
      <c r="G168" s="333"/>
      <c r="H168" s="333"/>
      <c r="I168" s="333"/>
      <c r="J168" s="335"/>
      <c r="K168" s="335"/>
      <c r="L168" s="335"/>
      <c r="M168" s="335"/>
      <c r="N168" s="335"/>
      <c r="O168" s="338"/>
      <c r="P168" s="335"/>
      <c r="Q168" s="335"/>
      <c r="R168" s="333"/>
      <c r="S168" s="333"/>
      <c r="T168" s="333"/>
      <c r="U168" s="129"/>
      <c r="V168" s="26"/>
      <c r="W168" s="26"/>
      <c r="X168" s="26"/>
      <c r="Y168" s="26"/>
      <c r="Z168" s="26"/>
      <c r="AA168" s="26"/>
      <c r="AB168" s="28"/>
      <c r="AC168" s="28"/>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128"/>
      <c r="BH168" s="26"/>
      <c r="BI168" s="26"/>
      <c r="BJ168" s="26"/>
      <c r="BK168" s="26"/>
      <c r="BL168" s="26"/>
      <c r="BM168" s="26"/>
      <c r="BN168" s="26"/>
      <c r="BO168" s="26"/>
      <c r="BP168" s="26"/>
      <c r="BQ168" s="26"/>
      <c r="BR168" s="26"/>
      <c r="BS168" s="26"/>
      <c r="BT168" s="26"/>
      <c r="BU168" s="26"/>
      <c r="BV168" s="90"/>
      <c r="BW168" s="26"/>
      <c r="BX168" s="26"/>
      <c r="BY168" s="26"/>
      <c r="BZ168" s="26"/>
      <c r="CA168" s="26"/>
      <c r="CB168" s="26"/>
      <c r="CC168" s="26"/>
      <c r="CD168" s="26"/>
      <c r="CF168" s="26"/>
      <c r="CG168" s="333"/>
      <c r="CH168" s="333"/>
      <c r="CI168" s="333"/>
      <c r="CJ168" s="333"/>
      <c r="CK168" s="333"/>
      <c r="CL168" s="333"/>
      <c r="CM168" s="333"/>
      <c r="CN168" s="333"/>
      <c r="CO168" s="333"/>
      <c r="CP168" s="333"/>
      <c r="CQ168" s="333"/>
      <c r="CR168" s="333"/>
      <c r="CS168" s="333"/>
      <c r="CT168" s="333"/>
      <c r="CU168" s="333"/>
      <c r="CV168" s="333"/>
      <c r="CW168" s="333"/>
      <c r="CX168" s="333"/>
      <c r="CY168" s="333"/>
      <c r="CZ168" s="333"/>
      <c r="DA168" s="333"/>
      <c r="DB168" s="333"/>
      <c r="DC168" s="333"/>
      <c r="DD168" s="333"/>
      <c r="DE168" s="333"/>
      <c r="DF168" s="333"/>
    </row>
    <row r="169" spans="1:110" x14ac:dyDescent="0.25">
      <c r="A169" s="26"/>
      <c r="B169" s="333"/>
      <c r="C169" s="334"/>
      <c r="D169" s="333"/>
      <c r="E169" s="333"/>
      <c r="F169" s="333"/>
      <c r="G169" s="333"/>
      <c r="H169" s="333"/>
      <c r="I169" s="333"/>
      <c r="J169" s="335"/>
      <c r="K169" s="335"/>
      <c r="L169" s="335"/>
      <c r="M169" s="335"/>
      <c r="N169" s="335"/>
      <c r="O169" s="335"/>
      <c r="P169" s="335"/>
      <c r="Q169" s="335"/>
      <c r="R169" s="333"/>
      <c r="S169" s="333"/>
      <c r="T169" s="333"/>
      <c r="U169" s="129"/>
      <c r="V169" s="26"/>
      <c r="W169" s="26"/>
      <c r="X169" s="26"/>
      <c r="Y169" s="26"/>
      <c r="Z169" s="26"/>
      <c r="AA169" s="26"/>
      <c r="AB169" s="28"/>
      <c r="AC169" s="28"/>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128"/>
      <c r="BH169" s="26"/>
      <c r="BI169" s="26"/>
      <c r="BJ169" s="26"/>
      <c r="BK169" s="26"/>
      <c r="BL169" s="26"/>
      <c r="BM169" s="26"/>
      <c r="BN169" s="26"/>
      <c r="BO169" s="26"/>
      <c r="BP169" s="26"/>
      <c r="BQ169" s="26"/>
      <c r="BR169" s="26"/>
      <c r="BS169" s="26"/>
      <c r="BT169" s="26"/>
      <c r="BU169" s="26"/>
      <c r="BV169" s="90"/>
      <c r="BW169" s="26"/>
      <c r="BX169" s="26"/>
      <c r="BY169" s="26"/>
      <c r="BZ169" s="26"/>
      <c r="CA169" s="26"/>
      <c r="CB169" s="26"/>
      <c r="CC169" s="26"/>
      <c r="CD169" s="26"/>
      <c r="CF169" s="26"/>
      <c r="CG169" s="333"/>
      <c r="CH169" s="333"/>
      <c r="CI169" s="333"/>
      <c r="CJ169" s="333"/>
      <c r="CK169" s="333"/>
      <c r="CL169" s="333"/>
      <c r="CM169" s="333"/>
      <c r="CN169" s="333"/>
      <c r="CO169" s="333"/>
      <c r="CP169" s="333"/>
      <c r="CQ169" s="333"/>
      <c r="CR169" s="333"/>
      <c r="CS169" s="333"/>
      <c r="CT169" s="333"/>
      <c r="CU169" s="333"/>
      <c r="CV169" s="333"/>
      <c r="CW169" s="333"/>
      <c r="CX169" s="333"/>
      <c r="CY169" s="333"/>
      <c r="CZ169" s="333"/>
      <c r="DA169" s="333"/>
      <c r="DB169" s="333"/>
      <c r="DC169" s="333"/>
      <c r="DD169" s="333"/>
      <c r="DE169" s="333"/>
      <c r="DF169" s="333"/>
    </row>
    <row r="170" spans="1:110" x14ac:dyDescent="0.25">
      <c r="A170" s="26"/>
      <c r="B170" s="333"/>
      <c r="C170" s="334"/>
      <c r="D170" s="333"/>
      <c r="E170" s="333"/>
      <c r="F170" s="333"/>
      <c r="G170" s="333"/>
      <c r="H170" s="333"/>
      <c r="I170" s="333"/>
      <c r="J170" s="335"/>
      <c r="K170" s="335"/>
      <c r="L170" s="335"/>
      <c r="M170" s="335"/>
      <c r="N170" s="335"/>
      <c r="O170" s="335"/>
      <c r="P170" s="335"/>
      <c r="Q170" s="335"/>
      <c r="R170" s="333"/>
      <c r="S170" s="333"/>
      <c r="T170" s="333"/>
      <c r="U170" s="129"/>
      <c r="V170" s="26"/>
      <c r="W170" s="26"/>
      <c r="X170" s="26"/>
      <c r="Y170" s="26"/>
      <c r="Z170" s="26"/>
      <c r="AA170" s="26"/>
      <c r="AB170" s="28"/>
      <c r="AC170" s="28"/>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128"/>
      <c r="BH170" s="26"/>
      <c r="BI170" s="26"/>
      <c r="BJ170" s="26"/>
      <c r="BK170" s="26"/>
      <c r="BL170" s="26"/>
      <c r="BM170" s="26"/>
      <c r="BN170" s="26"/>
      <c r="BO170" s="26"/>
      <c r="BP170" s="26"/>
      <c r="BQ170" s="26"/>
      <c r="BR170" s="26"/>
      <c r="BS170" s="26"/>
      <c r="BT170" s="26"/>
      <c r="BU170" s="26"/>
      <c r="BV170" s="90"/>
      <c r="BW170" s="26"/>
      <c r="BX170" s="26"/>
      <c r="BY170" s="26"/>
      <c r="BZ170" s="26"/>
      <c r="CA170" s="26"/>
      <c r="CB170" s="26"/>
      <c r="CC170" s="26"/>
      <c r="CD170" s="26"/>
      <c r="CF170" s="26"/>
      <c r="CG170" s="333"/>
      <c r="CH170" s="333"/>
      <c r="CI170" s="333"/>
      <c r="CJ170" s="333"/>
      <c r="CK170" s="333"/>
      <c r="CL170" s="333"/>
      <c r="CM170" s="333"/>
      <c r="CN170" s="333"/>
      <c r="CO170" s="333"/>
      <c r="CP170" s="333"/>
      <c r="CQ170" s="333"/>
      <c r="CR170" s="333"/>
      <c r="CS170" s="333"/>
      <c r="CT170" s="333"/>
      <c r="CU170" s="333"/>
      <c r="CV170" s="333"/>
      <c r="CW170" s="333"/>
      <c r="CX170" s="333"/>
      <c r="CY170" s="333"/>
      <c r="CZ170" s="333"/>
      <c r="DA170" s="333"/>
      <c r="DB170" s="333"/>
      <c r="DC170" s="333"/>
      <c r="DD170" s="333"/>
      <c r="DE170" s="333"/>
      <c r="DF170" s="333"/>
    </row>
    <row r="171" spans="1:110" x14ac:dyDescent="0.25">
      <c r="A171" s="26"/>
      <c r="B171" s="333"/>
      <c r="C171" s="334"/>
      <c r="D171" s="333"/>
      <c r="E171" s="333"/>
      <c r="F171" s="333"/>
      <c r="G171" s="333"/>
      <c r="H171" s="333"/>
      <c r="I171" s="333"/>
      <c r="J171" s="335"/>
      <c r="K171" s="335"/>
      <c r="L171" s="335"/>
      <c r="M171" s="335"/>
      <c r="N171" s="335"/>
      <c r="O171" s="335"/>
      <c r="P171" s="335"/>
      <c r="Q171" s="335"/>
      <c r="R171" s="333"/>
      <c r="S171" s="333"/>
      <c r="T171" s="333"/>
      <c r="U171" s="129"/>
      <c r="V171" s="26"/>
      <c r="W171" s="26"/>
      <c r="X171" s="26"/>
      <c r="Y171" s="26"/>
      <c r="Z171" s="26"/>
      <c r="AA171" s="26"/>
      <c r="AB171" s="28"/>
      <c r="AC171" s="28"/>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128"/>
      <c r="BH171" s="26"/>
      <c r="BI171" s="26"/>
      <c r="BJ171" s="26"/>
      <c r="BK171" s="26"/>
      <c r="BL171" s="26"/>
      <c r="BM171" s="26"/>
      <c r="BN171" s="26"/>
      <c r="BO171" s="26"/>
      <c r="BP171" s="26"/>
      <c r="BQ171" s="26"/>
      <c r="BR171" s="26"/>
      <c r="BS171" s="26"/>
      <c r="BT171" s="26"/>
      <c r="BU171" s="26"/>
      <c r="BV171" s="90"/>
      <c r="BW171" s="26"/>
      <c r="BX171" s="26"/>
      <c r="BY171" s="26"/>
      <c r="BZ171" s="26"/>
      <c r="CA171" s="26"/>
      <c r="CB171" s="26"/>
      <c r="CC171" s="26"/>
      <c r="CD171" s="26"/>
      <c r="CF171" s="26"/>
      <c r="CG171" s="333"/>
      <c r="CH171" s="333"/>
      <c r="CI171" s="333"/>
      <c r="CJ171" s="333"/>
      <c r="CK171" s="333"/>
      <c r="CL171" s="333"/>
      <c r="CM171" s="333"/>
      <c r="CN171" s="333"/>
      <c r="CO171" s="333"/>
      <c r="CP171" s="333"/>
      <c r="CQ171" s="333"/>
      <c r="CR171" s="333"/>
      <c r="CS171" s="333"/>
      <c r="CT171" s="333"/>
      <c r="CU171" s="333"/>
      <c r="CV171" s="333"/>
      <c r="CW171" s="333"/>
      <c r="CX171" s="333"/>
      <c r="CY171" s="333"/>
      <c r="CZ171" s="333"/>
      <c r="DA171" s="333"/>
      <c r="DB171" s="333"/>
      <c r="DC171" s="333"/>
      <c r="DD171" s="333"/>
      <c r="DE171" s="333"/>
      <c r="DF171" s="333"/>
    </row>
    <row r="172" spans="1:110" x14ac:dyDescent="0.25">
      <c r="A172" s="26"/>
      <c r="B172" s="333"/>
      <c r="C172" s="334"/>
      <c r="D172" s="333"/>
      <c r="E172" s="333"/>
      <c r="F172" s="333"/>
      <c r="G172" s="333"/>
      <c r="H172" s="333"/>
      <c r="I172" s="333"/>
      <c r="J172" s="335"/>
      <c r="K172" s="335"/>
      <c r="L172" s="335"/>
      <c r="M172" s="335"/>
      <c r="N172" s="335"/>
      <c r="O172" s="335"/>
      <c r="P172" s="335"/>
      <c r="Q172" s="335"/>
      <c r="R172" s="333"/>
      <c r="S172" s="333"/>
      <c r="T172" s="333"/>
      <c r="U172" s="129"/>
      <c r="V172" s="26"/>
      <c r="W172" s="26"/>
      <c r="X172" s="26"/>
      <c r="Y172" s="26"/>
      <c r="Z172" s="26"/>
      <c r="AA172" s="26"/>
      <c r="AB172" s="28"/>
      <c r="AC172" s="28"/>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128"/>
      <c r="BH172" s="26"/>
      <c r="BI172" s="26"/>
      <c r="BJ172" s="26"/>
      <c r="BK172" s="26"/>
      <c r="BL172" s="26"/>
      <c r="BM172" s="26"/>
      <c r="BN172" s="26"/>
      <c r="BO172" s="26"/>
      <c r="BP172" s="26"/>
      <c r="BQ172" s="26"/>
      <c r="BR172" s="26"/>
      <c r="BS172" s="26"/>
      <c r="BT172" s="26"/>
      <c r="BU172" s="26"/>
      <c r="BV172" s="90"/>
      <c r="BW172" s="26"/>
      <c r="BX172" s="26"/>
      <c r="BY172" s="26"/>
      <c r="BZ172" s="26"/>
      <c r="CA172" s="26"/>
      <c r="CB172" s="26"/>
      <c r="CC172" s="26"/>
      <c r="CD172" s="26"/>
      <c r="CF172" s="26"/>
      <c r="CG172" s="333"/>
      <c r="CH172" s="333"/>
      <c r="CI172" s="333"/>
      <c r="CJ172" s="333"/>
      <c r="CK172" s="333"/>
      <c r="CL172" s="333"/>
      <c r="CM172" s="333"/>
      <c r="CN172" s="333"/>
      <c r="CO172" s="333"/>
      <c r="CP172" s="333"/>
      <c r="CQ172" s="333"/>
      <c r="CR172" s="333"/>
      <c r="CS172" s="333"/>
      <c r="CT172" s="333"/>
      <c r="CU172" s="333"/>
      <c r="CV172" s="333"/>
      <c r="CW172" s="333"/>
      <c r="CX172" s="333"/>
      <c r="CY172" s="333"/>
      <c r="CZ172" s="333"/>
      <c r="DA172" s="333"/>
      <c r="DB172" s="333"/>
      <c r="DC172" s="333"/>
      <c r="DD172" s="333"/>
      <c r="DE172" s="333"/>
      <c r="DF172" s="333"/>
    </row>
    <row r="173" spans="1:110" x14ac:dyDescent="0.25">
      <c r="A173" s="26"/>
      <c r="B173" s="333"/>
      <c r="C173" s="334"/>
      <c r="D173" s="333"/>
      <c r="E173" s="333"/>
      <c r="F173" s="333"/>
      <c r="G173" s="333"/>
      <c r="H173" s="333"/>
      <c r="I173" s="333"/>
      <c r="J173" s="335"/>
      <c r="K173" s="335"/>
      <c r="L173" s="335"/>
      <c r="M173" s="335"/>
      <c r="N173" s="335"/>
      <c r="O173" s="335"/>
      <c r="P173" s="335"/>
      <c r="Q173" s="335"/>
      <c r="R173" s="333"/>
      <c r="S173" s="333"/>
      <c r="T173" s="333"/>
      <c r="U173" s="129"/>
      <c r="V173" s="26"/>
      <c r="W173" s="26"/>
      <c r="X173" s="26"/>
      <c r="Y173" s="26"/>
      <c r="Z173" s="26"/>
      <c r="AA173" s="26"/>
      <c r="AB173" s="28"/>
      <c r="AC173" s="28"/>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128"/>
      <c r="BH173" s="26"/>
      <c r="BI173" s="26"/>
      <c r="BJ173" s="26"/>
      <c r="BK173" s="26"/>
      <c r="BL173" s="26"/>
      <c r="BM173" s="26"/>
      <c r="BN173" s="26"/>
      <c r="BO173" s="26"/>
      <c r="BP173" s="26"/>
      <c r="BQ173" s="26"/>
      <c r="BR173" s="26"/>
      <c r="BS173" s="26"/>
      <c r="BT173" s="26"/>
      <c r="BU173" s="26"/>
      <c r="BV173" s="90"/>
      <c r="BW173" s="26"/>
      <c r="BX173" s="26"/>
      <c r="BY173" s="26"/>
      <c r="BZ173" s="26"/>
      <c r="CA173" s="26"/>
      <c r="CB173" s="26"/>
      <c r="CC173" s="26"/>
      <c r="CD173" s="26"/>
      <c r="CF173" s="26"/>
      <c r="CG173" s="333"/>
      <c r="CH173" s="333"/>
      <c r="CI173" s="333"/>
      <c r="CJ173" s="333"/>
      <c r="CK173" s="333"/>
      <c r="CL173" s="333"/>
      <c r="CM173" s="333"/>
      <c r="CN173" s="333"/>
      <c r="CO173" s="333"/>
      <c r="CP173" s="333"/>
      <c r="CQ173" s="333"/>
      <c r="CR173" s="333"/>
      <c r="CS173" s="333"/>
      <c r="CT173" s="333"/>
      <c r="CU173" s="333"/>
      <c r="CV173" s="333"/>
      <c r="CW173" s="333"/>
      <c r="CX173" s="333"/>
      <c r="CY173" s="333"/>
      <c r="CZ173" s="333"/>
      <c r="DA173" s="333"/>
      <c r="DB173" s="333"/>
      <c r="DC173" s="333"/>
      <c r="DD173" s="333"/>
      <c r="DE173" s="333"/>
      <c r="DF173" s="333"/>
    </row>
    <row r="174" spans="1:110" x14ac:dyDescent="0.25">
      <c r="A174" s="26"/>
      <c r="B174" s="333"/>
      <c r="C174" s="334"/>
      <c r="D174" s="333"/>
      <c r="E174" s="333"/>
      <c r="F174" s="333"/>
      <c r="G174" s="333"/>
      <c r="H174" s="333"/>
      <c r="I174" s="333"/>
      <c r="J174" s="335"/>
      <c r="K174" s="335"/>
      <c r="L174" s="335"/>
      <c r="M174" s="335"/>
      <c r="N174" s="335"/>
      <c r="O174" s="335"/>
      <c r="P174" s="335"/>
      <c r="Q174" s="335"/>
      <c r="R174" s="333"/>
      <c r="S174" s="333"/>
      <c r="T174" s="333"/>
      <c r="U174" s="129"/>
      <c r="V174" s="26"/>
      <c r="W174" s="26"/>
      <c r="X174" s="26"/>
      <c r="Y174" s="26"/>
      <c r="Z174" s="26"/>
      <c r="AA174" s="26"/>
      <c r="AB174" s="28"/>
      <c r="AC174" s="28"/>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128"/>
      <c r="BH174" s="26"/>
      <c r="BI174" s="26"/>
      <c r="BJ174" s="26"/>
      <c r="BK174" s="26"/>
      <c r="BL174" s="26"/>
      <c r="BM174" s="26"/>
      <c r="BN174" s="26"/>
      <c r="BO174" s="26"/>
      <c r="BP174" s="26"/>
      <c r="BQ174" s="26"/>
      <c r="BR174" s="26"/>
      <c r="BS174" s="26"/>
      <c r="BT174" s="26"/>
      <c r="BU174" s="26"/>
      <c r="BV174" s="90"/>
      <c r="BW174" s="26"/>
      <c r="BX174" s="26"/>
      <c r="BY174" s="26"/>
      <c r="BZ174" s="26"/>
      <c r="CA174" s="26"/>
      <c r="CB174" s="26"/>
      <c r="CC174" s="26"/>
      <c r="CD174" s="26"/>
      <c r="CF174" s="26"/>
      <c r="CG174" s="333"/>
      <c r="CH174" s="333"/>
      <c r="CI174" s="333"/>
      <c r="CJ174" s="333"/>
      <c r="CK174" s="333"/>
      <c r="CL174" s="333"/>
      <c r="CM174" s="333"/>
      <c r="CN174" s="333"/>
      <c r="CO174" s="333"/>
      <c r="CP174" s="333"/>
      <c r="CQ174" s="333"/>
      <c r="CR174" s="333"/>
      <c r="CS174" s="333"/>
      <c r="CT174" s="333"/>
      <c r="CU174" s="333"/>
      <c r="CV174" s="333"/>
      <c r="CW174" s="333"/>
      <c r="CX174" s="333"/>
      <c r="CY174" s="333"/>
      <c r="CZ174" s="333"/>
      <c r="DA174" s="333"/>
      <c r="DB174" s="333"/>
      <c r="DC174" s="333"/>
      <c r="DD174" s="333"/>
      <c r="DE174" s="333"/>
      <c r="DF174" s="333"/>
    </row>
    <row r="175" spans="1:110" x14ac:dyDescent="0.25">
      <c r="A175" s="26"/>
      <c r="B175" s="333"/>
      <c r="C175" s="334"/>
      <c r="D175" s="333"/>
      <c r="E175" s="333"/>
      <c r="F175" s="333"/>
      <c r="G175" s="333"/>
      <c r="H175" s="333"/>
      <c r="I175" s="333"/>
      <c r="J175" s="335"/>
      <c r="K175" s="335"/>
      <c r="L175" s="335"/>
      <c r="M175" s="335"/>
      <c r="N175" s="335"/>
      <c r="O175" s="335"/>
      <c r="P175" s="335"/>
      <c r="Q175" s="335"/>
      <c r="R175" s="333"/>
      <c r="S175" s="333"/>
      <c r="T175" s="333"/>
      <c r="U175" s="129"/>
      <c r="V175" s="26"/>
      <c r="W175" s="26"/>
      <c r="X175" s="26"/>
      <c r="Y175" s="26"/>
      <c r="Z175" s="26"/>
      <c r="AA175" s="26"/>
      <c r="AB175" s="28"/>
      <c r="AC175" s="28"/>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128"/>
      <c r="BH175" s="26"/>
      <c r="BI175" s="26"/>
      <c r="BJ175" s="26"/>
      <c r="BK175" s="26"/>
      <c r="BL175" s="26"/>
      <c r="BM175" s="26"/>
      <c r="BN175" s="26"/>
      <c r="BO175" s="26"/>
      <c r="BP175" s="26"/>
      <c r="BQ175" s="26"/>
      <c r="BR175" s="26"/>
      <c r="BS175" s="26"/>
      <c r="BT175" s="26"/>
      <c r="BU175" s="26"/>
      <c r="BV175" s="90"/>
      <c r="BW175" s="26"/>
      <c r="BX175" s="26"/>
      <c r="BY175" s="26"/>
      <c r="BZ175" s="26"/>
      <c r="CA175" s="26"/>
      <c r="CB175" s="26"/>
      <c r="CC175" s="26"/>
      <c r="CD175" s="26"/>
      <c r="CF175" s="26"/>
      <c r="CG175" s="333"/>
      <c r="CH175" s="333"/>
      <c r="CI175" s="333"/>
      <c r="CJ175" s="333"/>
      <c r="CK175" s="333"/>
      <c r="CL175" s="333"/>
      <c r="CM175" s="333"/>
      <c r="CN175" s="333"/>
      <c r="CO175" s="333"/>
      <c r="CP175" s="333"/>
      <c r="CQ175" s="333"/>
      <c r="CR175" s="333"/>
      <c r="CS175" s="333"/>
      <c r="CT175" s="333"/>
      <c r="CU175" s="333"/>
      <c r="CV175" s="333"/>
      <c r="CW175" s="333"/>
      <c r="CX175" s="333"/>
      <c r="CY175" s="333"/>
      <c r="CZ175" s="333"/>
      <c r="DA175" s="333"/>
      <c r="DB175" s="333"/>
      <c r="DC175" s="333"/>
      <c r="DD175" s="333"/>
      <c r="DE175" s="333"/>
      <c r="DF175" s="333"/>
    </row>
    <row r="176" spans="1:110" x14ac:dyDescent="0.25">
      <c r="A176" s="26"/>
      <c r="B176" s="333"/>
      <c r="C176" s="334"/>
      <c r="D176" s="333"/>
      <c r="E176" s="333"/>
      <c r="F176" s="333"/>
      <c r="G176" s="333"/>
      <c r="H176" s="333"/>
      <c r="I176" s="333"/>
      <c r="J176" s="335"/>
      <c r="K176" s="335"/>
      <c r="L176" s="335"/>
      <c r="M176" s="335"/>
      <c r="N176" s="335"/>
      <c r="O176" s="335"/>
      <c r="P176" s="335"/>
      <c r="Q176" s="335"/>
      <c r="R176" s="333"/>
      <c r="S176" s="333"/>
      <c r="T176" s="333"/>
      <c r="U176" s="129"/>
      <c r="V176" s="26"/>
      <c r="W176" s="26"/>
      <c r="X176" s="26"/>
      <c r="Y176" s="26"/>
      <c r="Z176" s="26"/>
      <c r="AA176" s="26"/>
      <c r="AB176" s="28"/>
      <c r="AC176" s="28"/>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128"/>
      <c r="BH176" s="26"/>
      <c r="BI176" s="26"/>
      <c r="BJ176" s="26"/>
      <c r="BK176" s="26"/>
      <c r="BL176" s="26"/>
      <c r="BM176" s="26"/>
      <c r="BN176" s="26"/>
      <c r="BO176" s="26"/>
      <c r="BP176" s="26"/>
      <c r="BQ176" s="26"/>
      <c r="BR176" s="26"/>
      <c r="BS176" s="26"/>
      <c r="BT176" s="26"/>
      <c r="BU176" s="26"/>
      <c r="BV176" s="90"/>
      <c r="BW176" s="26"/>
      <c r="BX176" s="26"/>
      <c r="BY176" s="26"/>
      <c r="BZ176" s="26"/>
      <c r="CA176" s="26"/>
      <c r="CB176" s="26"/>
      <c r="CC176" s="26"/>
      <c r="CD176" s="26"/>
      <c r="CF176" s="26"/>
      <c r="CG176" s="333"/>
      <c r="CH176" s="333"/>
      <c r="CI176" s="333"/>
      <c r="CJ176" s="333"/>
      <c r="CK176" s="333"/>
      <c r="CL176" s="333"/>
      <c r="CM176" s="333"/>
      <c r="CN176" s="333"/>
      <c r="CO176" s="333"/>
      <c r="CP176" s="333"/>
      <c r="CQ176" s="333"/>
      <c r="CR176" s="333"/>
      <c r="CS176" s="333"/>
      <c r="CT176" s="333"/>
      <c r="CU176" s="333"/>
      <c r="CV176" s="333"/>
      <c r="CW176" s="333"/>
      <c r="CX176" s="333"/>
      <c r="CY176" s="333"/>
      <c r="CZ176" s="333"/>
      <c r="DA176" s="333"/>
      <c r="DB176" s="333"/>
      <c r="DC176" s="333"/>
      <c r="DD176" s="333"/>
      <c r="DE176" s="333"/>
      <c r="DF176" s="333"/>
    </row>
    <row r="177" spans="1:110" x14ac:dyDescent="0.25">
      <c r="A177" s="26"/>
      <c r="B177" s="333"/>
      <c r="C177" s="334"/>
      <c r="D177" s="333"/>
      <c r="E177" s="333"/>
      <c r="F177" s="333"/>
      <c r="G177" s="333"/>
      <c r="H177" s="333"/>
      <c r="I177" s="333"/>
      <c r="J177" s="335"/>
      <c r="K177" s="335"/>
      <c r="L177" s="335"/>
      <c r="M177" s="335"/>
      <c r="N177" s="335"/>
      <c r="O177" s="335"/>
      <c r="P177" s="335"/>
      <c r="Q177" s="335"/>
      <c r="R177" s="333"/>
      <c r="S177" s="333"/>
      <c r="T177" s="333"/>
      <c r="U177" s="129"/>
      <c r="V177" s="26"/>
      <c r="W177" s="26"/>
      <c r="X177" s="26"/>
      <c r="Y177" s="26"/>
      <c r="Z177" s="26"/>
      <c r="AA177" s="26"/>
      <c r="AB177" s="28"/>
      <c r="AC177" s="28"/>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128"/>
      <c r="BH177" s="26"/>
      <c r="BI177" s="26"/>
      <c r="BJ177" s="26"/>
      <c r="BK177" s="26"/>
      <c r="BL177" s="26"/>
      <c r="BM177" s="26"/>
      <c r="BN177" s="26"/>
      <c r="BO177" s="26"/>
      <c r="BP177" s="26"/>
      <c r="BQ177" s="26"/>
      <c r="BR177" s="26"/>
      <c r="BS177" s="26"/>
      <c r="BT177" s="26"/>
      <c r="BU177" s="26"/>
      <c r="BV177" s="90"/>
      <c r="BW177" s="26"/>
      <c r="BX177" s="26"/>
      <c r="BY177" s="26"/>
      <c r="BZ177" s="26"/>
      <c r="CA177" s="26"/>
      <c r="CB177" s="26"/>
      <c r="CC177" s="26"/>
      <c r="CD177" s="26"/>
      <c r="CF177" s="26"/>
      <c r="CG177" s="333"/>
      <c r="CH177" s="333"/>
      <c r="CI177" s="333"/>
      <c r="CJ177" s="333"/>
      <c r="CK177" s="333"/>
      <c r="CL177" s="333"/>
      <c r="CM177" s="333"/>
      <c r="CN177" s="333"/>
      <c r="CO177" s="333"/>
      <c r="CP177" s="333"/>
      <c r="CQ177" s="333"/>
      <c r="CR177" s="333"/>
      <c r="CS177" s="333"/>
      <c r="CT177" s="333"/>
      <c r="CU177" s="333"/>
      <c r="CV177" s="333"/>
      <c r="CW177" s="333"/>
      <c r="CX177" s="333"/>
      <c r="CY177" s="333"/>
      <c r="CZ177" s="333"/>
      <c r="DA177" s="333"/>
      <c r="DB177" s="333"/>
      <c r="DC177" s="333"/>
      <c r="DD177" s="333"/>
      <c r="DE177" s="333"/>
      <c r="DF177" s="333"/>
    </row>
    <row r="178" spans="1:110" x14ac:dyDescent="0.25">
      <c r="A178" s="26"/>
      <c r="B178" s="333"/>
      <c r="C178" s="334"/>
      <c r="D178" s="333"/>
      <c r="E178" s="333"/>
      <c r="F178" s="333"/>
      <c r="G178" s="333"/>
      <c r="H178" s="333"/>
      <c r="I178" s="333"/>
      <c r="J178" s="335"/>
      <c r="K178" s="335"/>
      <c r="L178" s="335"/>
      <c r="M178" s="335"/>
      <c r="N178" s="335"/>
      <c r="O178" s="335"/>
      <c r="P178" s="335"/>
      <c r="Q178" s="335"/>
      <c r="R178" s="333"/>
      <c r="S178" s="333"/>
      <c r="T178" s="333"/>
      <c r="U178" s="129"/>
      <c r="V178" s="26"/>
      <c r="W178" s="26"/>
      <c r="X178" s="26"/>
      <c r="Y178" s="26"/>
      <c r="Z178" s="26"/>
      <c r="AA178" s="26"/>
      <c r="AB178" s="28"/>
      <c r="AC178" s="28"/>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128"/>
      <c r="BH178" s="26"/>
      <c r="BI178" s="26"/>
      <c r="BJ178" s="26"/>
      <c r="BK178" s="26"/>
      <c r="BL178" s="26"/>
      <c r="BM178" s="26"/>
      <c r="BN178" s="26"/>
      <c r="BO178" s="26"/>
      <c r="BP178" s="26"/>
      <c r="BQ178" s="26"/>
      <c r="BR178" s="26"/>
      <c r="BS178" s="26"/>
      <c r="BT178" s="26"/>
      <c r="BU178" s="26"/>
      <c r="BV178" s="90"/>
      <c r="BW178" s="26"/>
      <c r="BX178" s="26"/>
      <c r="BY178" s="26"/>
      <c r="BZ178" s="26"/>
      <c r="CA178" s="26"/>
      <c r="CB178" s="26"/>
      <c r="CC178" s="26"/>
      <c r="CD178" s="26"/>
      <c r="CF178" s="26"/>
      <c r="CG178" s="333"/>
      <c r="CH178" s="333"/>
      <c r="CI178" s="333"/>
      <c r="CJ178" s="333"/>
      <c r="CK178" s="333"/>
      <c r="CL178" s="333"/>
      <c r="CM178" s="333"/>
      <c r="CN178" s="333"/>
      <c r="CO178" s="333"/>
      <c r="CP178" s="333"/>
      <c r="CQ178" s="333"/>
      <c r="CR178" s="333"/>
      <c r="CS178" s="333"/>
      <c r="CT178" s="333"/>
      <c r="CU178" s="333"/>
      <c r="CV178" s="333"/>
      <c r="CW178" s="333"/>
      <c r="CX178" s="333"/>
      <c r="CY178" s="333"/>
      <c r="CZ178" s="333"/>
      <c r="DA178" s="333"/>
      <c r="DB178" s="333"/>
      <c r="DC178" s="333"/>
      <c r="DD178" s="333"/>
      <c r="DE178" s="333"/>
      <c r="DF178" s="333"/>
    </row>
    <row r="179" spans="1:110" x14ac:dyDescent="0.25">
      <c r="A179" s="26"/>
      <c r="B179" s="333"/>
      <c r="C179" s="334"/>
      <c r="D179" s="333"/>
      <c r="E179" s="333"/>
      <c r="F179" s="333"/>
      <c r="G179" s="333"/>
      <c r="H179" s="333"/>
      <c r="I179" s="333"/>
      <c r="J179" s="335"/>
      <c r="K179" s="335"/>
      <c r="L179" s="335"/>
      <c r="M179" s="335"/>
      <c r="N179" s="335"/>
      <c r="O179" s="335"/>
      <c r="P179" s="335"/>
      <c r="Q179" s="335"/>
      <c r="R179" s="333"/>
      <c r="S179" s="333"/>
      <c r="T179" s="333"/>
      <c r="U179" s="129"/>
      <c r="V179" s="26"/>
      <c r="W179" s="26"/>
      <c r="X179" s="26"/>
      <c r="Y179" s="26"/>
      <c r="Z179" s="26"/>
      <c r="AA179" s="26"/>
      <c r="AB179" s="28"/>
      <c r="AC179" s="28"/>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128"/>
      <c r="BH179" s="26"/>
      <c r="BI179" s="26"/>
      <c r="BJ179" s="26"/>
      <c r="BK179" s="26"/>
      <c r="BL179" s="26"/>
      <c r="BM179" s="26"/>
      <c r="BN179" s="26"/>
      <c r="BO179" s="26"/>
      <c r="BP179" s="26"/>
      <c r="BQ179" s="26"/>
      <c r="BR179" s="26"/>
      <c r="BS179" s="26"/>
      <c r="BT179" s="26"/>
      <c r="BU179" s="26"/>
      <c r="BV179" s="90"/>
      <c r="BW179" s="26"/>
      <c r="BX179" s="26"/>
      <c r="BY179" s="26"/>
      <c r="BZ179" s="26"/>
      <c r="CA179" s="26"/>
      <c r="CB179" s="26"/>
      <c r="CC179" s="26"/>
      <c r="CD179" s="26"/>
      <c r="CF179" s="26"/>
      <c r="CG179" s="333"/>
      <c r="CH179" s="333"/>
      <c r="CI179" s="333"/>
      <c r="CJ179" s="333"/>
      <c r="CK179" s="333"/>
      <c r="CL179" s="333"/>
      <c r="CM179" s="333"/>
      <c r="CN179" s="333"/>
      <c r="CO179" s="333"/>
      <c r="CP179" s="333"/>
      <c r="CQ179" s="333"/>
      <c r="CR179" s="333"/>
      <c r="CS179" s="333"/>
      <c r="CT179" s="333"/>
      <c r="CU179" s="333"/>
      <c r="CV179" s="333"/>
      <c r="CW179" s="333"/>
      <c r="CX179" s="333"/>
      <c r="CY179" s="333"/>
      <c r="CZ179" s="333"/>
      <c r="DA179" s="333"/>
      <c r="DB179" s="333"/>
      <c r="DC179" s="333"/>
      <c r="DD179" s="333"/>
      <c r="DE179" s="333"/>
      <c r="DF179" s="333"/>
    </row>
    <row r="180" spans="1:110" x14ac:dyDescent="0.25">
      <c r="A180" s="26"/>
      <c r="B180" s="333"/>
      <c r="C180" s="334"/>
      <c r="D180" s="333"/>
      <c r="E180" s="333"/>
      <c r="F180" s="333"/>
      <c r="G180" s="333"/>
      <c r="H180" s="333"/>
      <c r="I180" s="333"/>
      <c r="J180" s="335"/>
      <c r="K180" s="335"/>
      <c r="L180" s="335"/>
      <c r="M180" s="335"/>
      <c r="N180" s="335"/>
      <c r="O180" s="335"/>
      <c r="P180" s="335"/>
      <c r="Q180" s="335"/>
      <c r="R180" s="333"/>
      <c r="S180" s="333"/>
      <c r="T180" s="333"/>
      <c r="U180" s="129"/>
      <c r="V180" s="26"/>
      <c r="W180" s="26"/>
      <c r="X180" s="26"/>
      <c r="Y180" s="26"/>
      <c r="Z180" s="26"/>
      <c r="AA180" s="26"/>
      <c r="AB180" s="28"/>
      <c r="AC180" s="28"/>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128"/>
      <c r="BH180" s="26"/>
      <c r="BI180" s="26"/>
      <c r="BJ180" s="26"/>
      <c r="BK180" s="26"/>
      <c r="BL180" s="26"/>
      <c r="BM180" s="26"/>
      <c r="BN180" s="26"/>
      <c r="BO180" s="26"/>
      <c r="BP180" s="26"/>
      <c r="BQ180" s="26"/>
      <c r="BR180" s="26"/>
      <c r="BS180" s="26"/>
      <c r="BT180" s="26"/>
      <c r="BU180" s="26"/>
      <c r="BV180" s="90"/>
      <c r="BW180" s="26"/>
      <c r="BX180" s="26"/>
      <c r="BY180" s="26"/>
      <c r="BZ180" s="26"/>
      <c r="CA180" s="26"/>
      <c r="CB180" s="26"/>
      <c r="CC180" s="26"/>
      <c r="CD180" s="26"/>
      <c r="CF180" s="26"/>
      <c r="CG180" s="333"/>
      <c r="CH180" s="333"/>
      <c r="CI180" s="333"/>
      <c r="CJ180" s="333"/>
      <c r="CK180" s="333"/>
      <c r="CL180" s="333"/>
      <c r="CM180" s="333"/>
      <c r="CN180" s="333"/>
      <c r="CO180" s="333"/>
      <c r="CP180" s="333"/>
      <c r="CQ180" s="333"/>
      <c r="CR180" s="333"/>
      <c r="CS180" s="333"/>
      <c r="CT180" s="333"/>
      <c r="CU180" s="333"/>
      <c r="CV180" s="333"/>
      <c r="CW180" s="333"/>
      <c r="CX180" s="333"/>
      <c r="CY180" s="333"/>
      <c r="CZ180" s="333"/>
      <c r="DA180" s="333"/>
      <c r="DB180" s="333"/>
      <c r="DC180" s="333"/>
      <c r="DD180" s="333"/>
      <c r="DE180" s="333"/>
      <c r="DF180" s="333"/>
    </row>
    <row r="181" spans="1:110" x14ac:dyDescent="0.25">
      <c r="A181" s="26"/>
      <c r="B181" s="333"/>
      <c r="C181" s="334"/>
      <c r="D181" s="333"/>
      <c r="E181" s="333"/>
      <c r="F181" s="333"/>
      <c r="G181" s="333"/>
      <c r="H181" s="333"/>
      <c r="I181" s="333"/>
      <c r="J181" s="335"/>
      <c r="K181" s="335"/>
      <c r="L181" s="335"/>
      <c r="M181" s="335"/>
      <c r="N181" s="335"/>
      <c r="O181" s="335"/>
      <c r="P181" s="335"/>
      <c r="Q181" s="335"/>
      <c r="R181" s="333"/>
      <c r="S181" s="333"/>
      <c r="T181" s="333"/>
      <c r="U181" s="129"/>
      <c r="V181" s="26"/>
      <c r="W181" s="26"/>
      <c r="X181" s="26"/>
      <c r="Y181" s="26"/>
      <c r="Z181" s="26"/>
      <c r="AA181" s="26"/>
      <c r="AB181" s="28"/>
      <c r="AC181" s="28"/>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128"/>
      <c r="BH181" s="26"/>
      <c r="BI181" s="26"/>
      <c r="BJ181" s="26"/>
      <c r="BK181" s="26"/>
      <c r="BL181" s="26"/>
      <c r="BM181" s="26"/>
      <c r="BN181" s="26"/>
      <c r="BO181" s="26"/>
      <c r="BP181" s="26"/>
      <c r="BQ181" s="26"/>
      <c r="BR181" s="26"/>
      <c r="BS181" s="26"/>
      <c r="BT181" s="26"/>
      <c r="BU181" s="26"/>
      <c r="BV181" s="90"/>
      <c r="BW181" s="26"/>
      <c r="BX181" s="26"/>
      <c r="BY181" s="26"/>
      <c r="BZ181" s="26"/>
      <c r="CA181" s="26"/>
      <c r="CB181" s="26"/>
      <c r="CC181" s="26"/>
      <c r="CD181" s="26"/>
      <c r="CF181" s="26"/>
      <c r="CG181" s="333"/>
      <c r="CH181" s="333"/>
      <c r="CI181" s="333"/>
      <c r="CJ181" s="333"/>
      <c r="CK181" s="333"/>
      <c r="CL181" s="333"/>
      <c r="CM181" s="333"/>
      <c r="CN181" s="333"/>
      <c r="CO181" s="333"/>
      <c r="CP181" s="333"/>
      <c r="CQ181" s="333"/>
      <c r="CR181" s="333"/>
      <c r="CS181" s="333"/>
      <c r="CT181" s="333"/>
      <c r="CU181" s="333"/>
      <c r="CV181" s="333"/>
      <c r="CW181" s="333"/>
      <c r="CX181" s="333"/>
      <c r="CY181" s="333"/>
      <c r="CZ181" s="333"/>
      <c r="DA181" s="333"/>
      <c r="DB181" s="333"/>
      <c r="DC181" s="333"/>
      <c r="DD181" s="333"/>
      <c r="DE181" s="333"/>
      <c r="DF181" s="333"/>
    </row>
    <row r="182" spans="1:110" x14ac:dyDescent="0.25">
      <c r="A182" s="26"/>
      <c r="B182" s="333"/>
      <c r="C182" s="334"/>
      <c r="D182" s="333"/>
      <c r="E182" s="333"/>
      <c r="F182" s="333"/>
      <c r="G182" s="333"/>
      <c r="H182" s="333"/>
      <c r="I182" s="333"/>
      <c r="J182" s="335"/>
      <c r="K182" s="335"/>
      <c r="L182" s="335"/>
      <c r="M182" s="335"/>
      <c r="N182" s="335"/>
      <c r="O182" s="335"/>
      <c r="P182" s="335"/>
      <c r="Q182" s="335"/>
      <c r="R182" s="333"/>
      <c r="S182" s="333"/>
      <c r="T182" s="333"/>
      <c r="U182" s="129"/>
      <c r="V182" s="26"/>
      <c r="W182" s="26"/>
      <c r="X182" s="26"/>
      <c r="Y182" s="26"/>
      <c r="Z182" s="26"/>
      <c r="AA182" s="26"/>
      <c r="AB182" s="28"/>
      <c r="AC182" s="28"/>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128"/>
      <c r="BH182" s="26"/>
      <c r="BI182" s="26"/>
      <c r="BJ182" s="26"/>
      <c r="BK182" s="26"/>
      <c r="BL182" s="26"/>
      <c r="BM182" s="26"/>
      <c r="BN182" s="26"/>
      <c r="BO182" s="26"/>
      <c r="BP182" s="26"/>
      <c r="BQ182" s="26"/>
      <c r="BR182" s="26"/>
      <c r="BS182" s="26"/>
      <c r="BT182" s="26"/>
      <c r="BU182" s="26"/>
      <c r="BV182" s="90"/>
      <c r="BW182" s="26"/>
      <c r="BX182" s="26"/>
      <c r="BY182" s="26"/>
      <c r="BZ182" s="26"/>
      <c r="CA182" s="26"/>
      <c r="CB182" s="26"/>
      <c r="CC182" s="26"/>
      <c r="CD182" s="26"/>
      <c r="CF182" s="26"/>
      <c r="CG182" s="333"/>
      <c r="CH182" s="333"/>
      <c r="CI182" s="333"/>
      <c r="CJ182" s="333"/>
      <c r="CK182" s="333"/>
      <c r="CL182" s="333"/>
      <c r="CM182" s="333"/>
      <c r="CN182" s="333"/>
      <c r="CO182" s="333"/>
      <c r="CP182" s="333"/>
      <c r="CQ182" s="333"/>
      <c r="CR182" s="333"/>
      <c r="CS182" s="333"/>
      <c r="CT182" s="333"/>
      <c r="CU182" s="333"/>
      <c r="CV182" s="333"/>
      <c r="CW182" s="333"/>
      <c r="CX182" s="333"/>
      <c r="CY182" s="333"/>
      <c r="CZ182" s="333"/>
      <c r="DA182" s="333"/>
      <c r="DB182" s="333"/>
      <c r="DC182" s="333"/>
      <c r="DD182" s="333"/>
      <c r="DE182" s="333"/>
      <c r="DF182" s="333"/>
    </row>
    <row r="183" spans="1:110" x14ac:dyDescent="0.25">
      <c r="A183" s="26"/>
      <c r="B183" s="333"/>
      <c r="C183" s="334"/>
      <c r="D183" s="333"/>
      <c r="E183" s="333"/>
      <c r="F183" s="333"/>
      <c r="G183" s="333"/>
      <c r="H183" s="333"/>
      <c r="I183" s="333"/>
      <c r="J183" s="335"/>
      <c r="K183" s="335"/>
      <c r="L183" s="335"/>
      <c r="M183" s="335"/>
      <c r="N183" s="335"/>
      <c r="O183" s="335"/>
      <c r="P183" s="335"/>
      <c r="Q183" s="335"/>
      <c r="R183" s="333"/>
      <c r="S183" s="333"/>
      <c r="T183" s="333"/>
      <c r="U183" s="129"/>
      <c r="V183" s="26"/>
      <c r="W183" s="26"/>
      <c r="X183" s="26"/>
      <c r="Y183" s="26"/>
      <c r="Z183" s="26"/>
      <c r="AA183" s="26"/>
      <c r="AB183" s="28"/>
      <c r="AC183" s="28"/>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128"/>
      <c r="BH183" s="26"/>
      <c r="BI183" s="26"/>
      <c r="BJ183" s="26"/>
      <c r="BK183" s="26"/>
      <c r="BL183" s="26"/>
      <c r="BM183" s="26"/>
      <c r="BN183" s="26"/>
      <c r="BO183" s="26"/>
      <c r="BP183" s="26"/>
      <c r="BQ183" s="26"/>
      <c r="BR183" s="26"/>
      <c r="BS183" s="26"/>
      <c r="BT183" s="26"/>
      <c r="BU183" s="26"/>
      <c r="BV183" s="90"/>
      <c r="BW183" s="26"/>
      <c r="BX183" s="26"/>
      <c r="BY183" s="26"/>
      <c r="BZ183" s="26"/>
      <c r="CA183" s="26"/>
      <c r="CB183" s="26"/>
      <c r="CC183" s="26"/>
      <c r="CD183" s="26"/>
      <c r="CF183" s="26"/>
      <c r="CG183" s="333"/>
      <c r="CH183" s="333"/>
      <c r="CI183" s="333"/>
      <c r="CJ183" s="333"/>
      <c r="CK183" s="333"/>
      <c r="CL183" s="333"/>
      <c r="CM183" s="333"/>
      <c r="CN183" s="333"/>
      <c r="CO183" s="333"/>
      <c r="CP183" s="333"/>
      <c r="CQ183" s="333"/>
      <c r="CR183" s="333"/>
      <c r="CS183" s="333"/>
      <c r="CT183" s="333"/>
      <c r="CU183" s="333"/>
      <c r="CV183" s="333"/>
      <c r="CW183" s="333"/>
      <c r="CX183" s="333"/>
      <c r="CY183" s="333"/>
      <c r="CZ183" s="333"/>
      <c r="DA183" s="333"/>
      <c r="DB183" s="333"/>
      <c r="DC183" s="333"/>
      <c r="DD183" s="333"/>
      <c r="DE183" s="333"/>
      <c r="DF183" s="333"/>
    </row>
    <row r="184" spans="1:110" x14ac:dyDescent="0.25">
      <c r="A184" s="26"/>
      <c r="B184" s="333"/>
      <c r="C184" s="334"/>
      <c r="D184" s="333"/>
      <c r="E184" s="333"/>
      <c r="F184" s="333"/>
      <c r="G184" s="333"/>
      <c r="H184" s="333"/>
      <c r="I184" s="333"/>
      <c r="J184" s="335"/>
      <c r="K184" s="335"/>
      <c r="L184" s="335"/>
      <c r="M184" s="335"/>
      <c r="N184" s="335"/>
      <c r="O184" s="335"/>
      <c r="P184" s="335"/>
      <c r="Q184" s="335"/>
      <c r="R184" s="333"/>
      <c r="S184" s="333"/>
      <c r="T184" s="333"/>
      <c r="U184" s="129"/>
      <c r="V184" s="26"/>
      <c r="W184" s="26"/>
      <c r="X184" s="26"/>
      <c r="Y184" s="26"/>
      <c r="Z184" s="26"/>
      <c r="AA184" s="26"/>
      <c r="AB184" s="28"/>
      <c r="AC184" s="28"/>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128"/>
      <c r="BH184" s="26"/>
      <c r="BI184" s="26"/>
      <c r="BJ184" s="26"/>
      <c r="BK184" s="26"/>
      <c r="BL184" s="26"/>
      <c r="BM184" s="26"/>
      <c r="BN184" s="26"/>
      <c r="BO184" s="26"/>
      <c r="BP184" s="26"/>
      <c r="BQ184" s="26"/>
      <c r="BR184" s="26"/>
      <c r="BS184" s="26"/>
      <c r="BT184" s="26"/>
      <c r="BU184" s="26"/>
      <c r="BV184" s="90"/>
      <c r="BW184" s="26"/>
      <c r="BX184" s="26"/>
      <c r="BY184" s="26"/>
      <c r="BZ184" s="26"/>
      <c r="CA184" s="26"/>
      <c r="CB184" s="26"/>
      <c r="CC184" s="26"/>
      <c r="CD184" s="26"/>
      <c r="CF184" s="26"/>
      <c r="CG184" s="333"/>
      <c r="CH184" s="333"/>
      <c r="CI184" s="333"/>
      <c r="CJ184" s="333"/>
      <c r="CK184" s="333"/>
      <c r="CL184" s="333"/>
      <c r="CM184" s="333"/>
      <c r="CN184" s="333"/>
      <c r="CO184" s="333"/>
      <c r="CP184" s="333"/>
      <c r="CQ184" s="333"/>
      <c r="CR184" s="333"/>
      <c r="CS184" s="333"/>
      <c r="CT184" s="333"/>
      <c r="CU184" s="333"/>
      <c r="CV184" s="333"/>
      <c r="CW184" s="333"/>
      <c r="CX184" s="333"/>
      <c r="CY184" s="333"/>
      <c r="CZ184" s="333"/>
      <c r="DA184" s="333"/>
      <c r="DB184" s="333"/>
      <c r="DC184" s="333"/>
      <c r="DD184" s="333"/>
      <c r="DE184" s="333"/>
      <c r="DF184" s="333"/>
    </row>
    <row r="185" spans="1:110" x14ac:dyDescent="0.25">
      <c r="A185" s="26"/>
      <c r="B185" s="333"/>
      <c r="C185" s="334"/>
      <c r="D185" s="333"/>
      <c r="E185" s="333"/>
      <c r="F185" s="333"/>
      <c r="G185" s="333"/>
      <c r="H185" s="333"/>
      <c r="I185" s="333"/>
      <c r="J185" s="335"/>
      <c r="K185" s="335"/>
      <c r="L185" s="335"/>
      <c r="M185" s="335"/>
      <c r="N185" s="335"/>
      <c r="O185" s="335"/>
      <c r="P185" s="335"/>
      <c r="Q185" s="335"/>
      <c r="R185" s="333"/>
      <c r="S185" s="333"/>
      <c r="T185" s="333"/>
      <c r="U185" s="129"/>
      <c r="V185" s="26"/>
      <c r="W185" s="26"/>
      <c r="X185" s="26"/>
      <c r="Y185" s="26"/>
      <c r="Z185" s="26"/>
      <c r="AA185" s="26"/>
      <c r="AB185" s="28"/>
      <c r="AC185" s="28"/>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128"/>
      <c r="BH185" s="26"/>
      <c r="BI185" s="26"/>
      <c r="BJ185" s="26"/>
      <c r="BK185" s="26"/>
      <c r="BL185" s="26"/>
      <c r="BM185" s="26"/>
      <c r="BN185" s="26"/>
      <c r="BO185" s="26"/>
      <c r="BP185" s="26"/>
      <c r="BQ185" s="26"/>
      <c r="BR185" s="26"/>
      <c r="BS185" s="26"/>
      <c r="BT185" s="26"/>
      <c r="BU185" s="26"/>
      <c r="BV185" s="90"/>
      <c r="BW185" s="26"/>
      <c r="BX185" s="26"/>
      <c r="BY185" s="26"/>
      <c r="BZ185" s="26"/>
      <c r="CA185" s="26"/>
      <c r="CB185" s="26"/>
      <c r="CC185" s="26"/>
      <c r="CD185" s="26"/>
      <c r="CF185" s="26"/>
      <c r="CG185" s="333"/>
      <c r="CH185" s="333"/>
      <c r="CI185" s="333"/>
      <c r="CJ185" s="333"/>
      <c r="CK185" s="333"/>
      <c r="CL185" s="333"/>
      <c r="CM185" s="333"/>
      <c r="CN185" s="333"/>
      <c r="CO185" s="333"/>
      <c r="CP185" s="333"/>
      <c r="CQ185" s="333"/>
      <c r="CR185" s="333"/>
      <c r="CS185" s="333"/>
      <c r="CT185" s="333"/>
      <c r="CU185" s="333"/>
      <c r="CV185" s="333"/>
      <c r="CW185" s="333"/>
      <c r="CX185" s="333"/>
      <c r="CY185" s="333"/>
      <c r="CZ185" s="333"/>
      <c r="DA185" s="333"/>
      <c r="DB185" s="333"/>
      <c r="DC185" s="333"/>
      <c r="DD185" s="333"/>
      <c r="DE185" s="333"/>
      <c r="DF185" s="333"/>
    </row>
    <row r="186" spans="1:110" x14ac:dyDescent="0.25">
      <c r="A186" s="26"/>
      <c r="B186" s="333"/>
      <c r="C186" s="334"/>
      <c r="D186" s="333"/>
      <c r="E186" s="333"/>
      <c r="F186" s="333"/>
      <c r="G186" s="333"/>
      <c r="H186" s="333"/>
      <c r="I186" s="333"/>
      <c r="J186" s="335"/>
      <c r="K186" s="335"/>
      <c r="L186" s="335"/>
      <c r="M186" s="335"/>
      <c r="N186" s="335"/>
      <c r="O186" s="335"/>
      <c r="P186" s="335"/>
      <c r="Q186" s="335"/>
      <c r="R186" s="333"/>
      <c r="S186" s="333"/>
      <c r="T186" s="333"/>
      <c r="U186" s="129"/>
      <c r="V186" s="26"/>
      <c r="W186" s="26"/>
      <c r="X186" s="26"/>
      <c r="Y186" s="26"/>
      <c r="Z186" s="26"/>
      <c r="AA186" s="26"/>
      <c r="AB186" s="28"/>
      <c r="AC186" s="28"/>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128"/>
      <c r="BH186" s="26"/>
      <c r="BI186" s="26"/>
      <c r="BJ186" s="26"/>
      <c r="BK186" s="26"/>
      <c r="BL186" s="26"/>
      <c r="BM186" s="26"/>
      <c r="BN186" s="26"/>
      <c r="BO186" s="26"/>
      <c r="BP186" s="26"/>
      <c r="BQ186" s="26"/>
      <c r="BR186" s="26"/>
      <c r="BS186" s="26"/>
      <c r="BT186" s="26"/>
      <c r="BU186" s="26"/>
      <c r="BV186" s="90"/>
      <c r="BW186" s="26"/>
      <c r="BX186" s="26"/>
      <c r="BY186" s="26"/>
      <c r="BZ186" s="26"/>
      <c r="CA186" s="26"/>
      <c r="CB186" s="26"/>
      <c r="CC186" s="26"/>
      <c r="CD186" s="26"/>
      <c r="CF186" s="26"/>
      <c r="CG186" s="333"/>
      <c r="CH186" s="333"/>
      <c r="CI186" s="333"/>
      <c r="CJ186" s="333"/>
      <c r="CK186" s="333"/>
      <c r="CL186" s="333"/>
      <c r="CM186" s="333"/>
      <c r="CN186" s="333"/>
      <c r="CO186" s="333"/>
      <c r="CP186" s="333"/>
      <c r="CQ186" s="333"/>
      <c r="CR186" s="333"/>
      <c r="CS186" s="333"/>
      <c r="CT186" s="333"/>
      <c r="CU186" s="333"/>
      <c r="CV186" s="333"/>
      <c r="CW186" s="333"/>
      <c r="CX186" s="333"/>
      <c r="CY186" s="333"/>
      <c r="CZ186" s="333"/>
      <c r="DA186" s="333"/>
      <c r="DB186" s="333"/>
      <c r="DC186" s="333"/>
      <c r="DD186" s="333"/>
      <c r="DE186" s="333"/>
      <c r="DF186" s="333"/>
    </row>
    <row r="187" spans="1:110" x14ac:dyDescent="0.25">
      <c r="A187" s="26"/>
      <c r="B187" s="333"/>
      <c r="C187" s="334"/>
      <c r="D187" s="333"/>
      <c r="E187" s="333"/>
      <c r="F187" s="333"/>
      <c r="G187" s="333"/>
      <c r="H187" s="333"/>
      <c r="I187" s="333"/>
      <c r="J187" s="335"/>
      <c r="K187" s="335"/>
      <c r="L187" s="335"/>
      <c r="M187" s="335"/>
      <c r="N187" s="335"/>
      <c r="O187" s="335"/>
      <c r="P187" s="335"/>
      <c r="Q187" s="335"/>
      <c r="R187" s="333"/>
      <c r="S187" s="333"/>
      <c r="T187" s="333"/>
      <c r="U187" s="129"/>
      <c r="V187" s="26"/>
      <c r="W187" s="26"/>
      <c r="X187" s="26"/>
      <c r="Y187" s="26"/>
      <c r="Z187" s="26"/>
      <c r="AA187" s="26"/>
      <c r="AB187" s="28"/>
      <c r="AC187" s="28"/>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128"/>
      <c r="BH187" s="26"/>
      <c r="BI187" s="26"/>
      <c r="BJ187" s="26"/>
      <c r="BK187" s="26"/>
      <c r="BL187" s="26"/>
      <c r="BM187" s="26"/>
      <c r="BN187" s="26"/>
      <c r="BO187" s="26"/>
      <c r="BP187" s="26"/>
      <c r="BQ187" s="26"/>
      <c r="BR187" s="26"/>
      <c r="BS187" s="26"/>
      <c r="BT187" s="26"/>
      <c r="BU187" s="26"/>
      <c r="BV187" s="90"/>
      <c r="BW187" s="26"/>
      <c r="BX187" s="26"/>
      <c r="BY187" s="26"/>
      <c r="BZ187" s="26"/>
      <c r="CA187" s="26"/>
      <c r="CB187" s="26"/>
      <c r="CC187" s="26"/>
      <c r="CD187" s="26"/>
      <c r="CF187" s="26"/>
      <c r="CG187" s="333"/>
      <c r="CH187" s="333"/>
      <c r="CI187" s="333"/>
      <c r="CJ187" s="333"/>
      <c r="CK187" s="333"/>
      <c r="CL187" s="333"/>
      <c r="CM187" s="333"/>
      <c r="CN187" s="333"/>
      <c r="CO187" s="333"/>
      <c r="CP187" s="333"/>
      <c r="CQ187" s="333"/>
      <c r="CR187" s="333"/>
      <c r="CS187" s="333"/>
      <c r="CT187" s="333"/>
      <c r="CU187" s="333"/>
      <c r="CV187" s="333"/>
      <c r="CW187" s="333"/>
      <c r="CX187" s="333"/>
      <c r="CY187" s="333"/>
      <c r="CZ187" s="333"/>
      <c r="DA187" s="333"/>
      <c r="DB187" s="333"/>
      <c r="DC187" s="333"/>
      <c r="DD187" s="333"/>
      <c r="DE187" s="333"/>
      <c r="DF187" s="333"/>
    </row>
    <row r="188" spans="1:110" x14ac:dyDescent="0.25">
      <c r="A188" s="26"/>
      <c r="B188" s="333"/>
      <c r="C188" s="334"/>
      <c r="D188" s="333"/>
      <c r="E188" s="333"/>
      <c r="F188" s="333"/>
      <c r="G188" s="333"/>
      <c r="H188" s="333"/>
      <c r="I188" s="333"/>
      <c r="J188" s="335"/>
      <c r="K188" s="335"/>
      <c r="L188" s="335"/>
      <c r="M188" s="335"/>
      <c r="N188" s="335"/>
      <c r="O188" s="335"/>
      <c r="P188" s="335"/>
      <c r="Q188" s="335"/>
      <c r="R188" s="333"/>
      <c r="S188" s="333"/>
      <c r="T188" s="333"/>
      <c r="U188" s="129"/>
      <c r="V188" s="26"/>
      <c r="W188" s="26"/>
      <c r="X188" s="26"/>
      <c r="Y188" s="26"/>
      <c r="Z188" s="26"/>
      <c r="AA188" s="26"/>
      <c r="AB188" s="28"/>
      <c r="AC188" s="28"/>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128"/>
      <c r="BH188" s="26"/>
      <c r="BI188" s="26"/>
      <c r="BJ188" s="26"/>
      <c r="BK188" s="26"/>
      <c r="BL188" s="26"/>
      <c r="BM188" s="26"/>
      <c r="BN188" s="26"/>
      <c r="BO188" s="26"/>
      <c r="BP188" s="26"/>
      <c r="BQ188" s="26"/>
      <c r="BR188" s="26"/>
      <c r="BS188" s="26"/>
      <c r="BT188" s="26"/>
      <c r="BU188" s="26"/>
      <c r="BV188" s="90"/>
      <c r="BW188" s="26"/>
      <c r="BX188" s="26"/>
      <c r="BY188" s="26"/>
      <c r="BZ188" s="26"/>
      <c r="CA188" s="26"/>
      <c r="CB188" s="26"/>
      <c r="CC188" s="26"/>
      <c r="CD188" s="26"/>
      <c r="CF188" s="26"/>
      <c r="CG188" s="333"/>
      <c r="CH188" s="333"/>
      <c r="CI188" s="333"/>
      <c r="CJ188" s="333"/>
      <c r="CK188" s="333"/>
      <c r="CL188" s="333"/>
      <c r="CM188" s="333"/>
      <c r="CN188" s="333"/>
      <c r="CO188" s="333"/>
      <c r="CP188" s="333"/>
      <c r="CQ188" s="333"/>
      <c r="CR188" s="333"/>
      <c r="CS188" s="333"/>
      <c r="CT188" s="333"/>
      <c r="CU188" s="333"/>
      <c r="CV188" s="333"/>
      <c r="CW188" s="333"/>
      <c r="CX188" s="333"/>
      <c r="CY188" s="333"/>
      <c r="CZ188" s="333"/>
      <c r="DA188" s="333"/>
      <c r="DB188" s="333"/>
      <c r="DC188" s="333"/>
      <c r="DD188" s="333"/>
      <c r="DE188" s="333"/>
      <c r="DF188" s="333"/>
    </row>
    <row r="189" spans="1:110" x14ac:dyDescent="0.25">
      <c r="A189" s="26"/>
      <c r="B189" s="333"/>
      <c r="C189" s="334"/>
      <c r="D189" s="333"/>
      <c r="E189" s="333"/>
      <c r="F189" s="333"/>
      <c r="G189" s="333"/>
      <c r="H189" s="333"/>
      <c r="I189" s="333"/>
      <c r="J189" s="335"/>
      <c r="K189" s="335"/>
      <c r="L189" s="335"/>
      <c r="M189" s="335"/>
      <c r="N189" s="335"/>
      <c r="O189" s="335"/>
      <c r="P189" s="335"/>
      <c r="Q189" s="335"/>
      <c r="R189" s="333"/>
      <c r="S189" s="333"/>
      <c r="T189" s="333"/>
      <c r="U189" s="129"/>
      <c r="V189" s="26"/>
      <c r="W189" s="26"/>
      <c r="X189" s="26"/>
      <c r="Y189" s="26"/>
      <c r="Z189" s="26"/>
      <c r="AA189" s="26"/>
      <c r="AB189" s="28"/>
      <c r="AC189" s="28"/>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128"/>
      <c r="BH189" s="26"/>
      <c r="BI189" s="26"/>
      <c r="BJ189" s="26"/>
      <c r="BK189" s="26"/>
      <c r="BL189" s="26"/>
      <c r="BM189" s="26"/>
      <c r="BN189" s="26"/>
      <c r="BO189" s="26"/>
      <c r="BP189" s="26"/>
      <c r="BQ189" s="26"/>
      <c r="BR189" s="26"/>
      <c r="BS189" s="26"/>
      <c r="BT189" s="26"/>
      <c r="BU189" s="26"/>
      <c r="BV189" s="90"/>
      <c r="BW189" s="26"/>
      <c r="BX189" s="26"/>
      <c r="BY189" s="26"/>
      <c r="BZ189" s="26"/>
      <c r="CA189" s="26"/>
      <c r="CB189" s="26"/>
      <c r="CC189" s="26"/>
      <c r="CD189" s="26"/>
      <c r="CF189" s="26"/>
      <c r="CG189" s="333"/>
      <c r="CH189" s="333"/>
      <c r="CI189" s="333"/>
      <c r="CJ189" s="333"/>
      <c r="CK189" s="333"/>
      <c r="CL189" s="333"/>
      <c r="CM189" s="333"/>
      <c r="CN189" s="333"/>
      <c r="CO189" s="333"/>
      <c r="CP189" s="333"/>
      <c r="CQ189" s="333"/>
      <c r="CR189" s="333"/>
      <c r="CS189" s="333"/>
      <c r="CT189" s="333"/>
      <c r="CU189" s="333"/>
      <c r="CV189" s="333"/>
      <c r="CW189" s="333"/>
      <c r="CX189" s="333"/>
      <c r="CY189" s="333"/>
      <c r="CZ189" s="333"/>
      <c r="DA189" s="333"/>
      <c r="DB189" s="333"/>
      <c r="DC189" s="333"/>
      <c r="DD189" s="333"/>
      <c r="DE189" s="333"/>
      <c r="DF189" s="333"/>
    </row>
    <row r="190" spans="1:110" x14ac:dyDescent="0.25">
      <c r="A190" s="26"/>
      <c r="B190" s="333"/>
      <c r="C190" s="334"/>
      <c r="D190" s="333"/>
      <c r="E190" s="333"/>
      <c r="F190" s="333"/>
      <c r="G190" s="333"/>
      <c r="H190" s="333"/>
      <c r="I190" s="333"/>
      <c r="J190" s="335"/>
      <c r="K190" s="335"/>
      <c r="L190" s="335"/>
      <c r="M190" s="335"/>
      <c r="N190" s="335"/>
      <c r="O190" s="335"/>
      <c r="P190" s="335"/>
      <c r="Q190" s="335"/>
      <c r="R190" s="333"/>
      <c r="S190" s="333"/>
      <c r="T190" s="333"/>
      <c r="U190" s="129"/>
      <c r="V190" s="26"/>
      <c r="W190" s="26"/>
      <c r="X190" s="26"/>
      <c r="Y190" s="26"/>
      <c r="Z190" s="26"/>
      <c r="AA190" s="26"/>
      <c r="AB190" s="28"/>
      <c r="AC190" s="28"/>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128"/>
      <c r="BH190" s="26"/>
      <c r="BI190" s="26"/>
      <c r="BJ190" s="26"/>
      <c r="BK190" s="26"/>
      <c r="BL190" s="26"/>
      <c r="BM190" s="26"/>
      <c r="BN190" s="26"/>
      <c r="BO190" s="26"/>
      <c r="BP190" s="26"/>
      <c r="BQ190" s="26"/>
      <c r="BR190" s="26"/>
      <c r="BS190" s="26"/>
      <c r="BT190" s="26"/>
      <c r="BU190" s="26"/>
      <c r="BV190" s="90"/>
      <c r="BW190" s="26"/>
      <c r="BX190" s="26"/>
      <c r="BY190" s="26"/>
      <c r="BZ190" s="26"/>
      <c r="CA190" s="26"/>
      <c r="CB190" s="26"/>
      <c r="CC190" s="26"/>
      <c r="CD190" s="26"/>
      <c r="CF190" s="26"/>
      <c r="CG190" s="333"/>
      <c r="CH190" s="333"/>
      <c r="CI190" s="333"/>
      <c r="CJ190" s="333"/>
      <c r="CK190" s="333"/>
      <c r="CL190" s="333"/>
      <c r="CM190" s="333"/>
      <c r="CN190" s="333"/>
      <c r="CO190" s="333"/>
      <c r="CP190" s="333"/>
      <c r="CQ190" s="333"/>
      <c r="CR190" s="333"/>
      <c r="CS190" s="333"/>
      <c r="CT190" s="333"/>
      <c r="CU190" s="333"/>
      <c r="CV190" s="333"/>
      <c r="CW190" s="333"/>
      <c r="CX190" s="333"/>
      <c r="CY190" s="333"/>
      <c r="CZ190" s="333"/>
      <c r="DA190" s="333"/>
      <c r="DB190" s="333"/>
      <c r="DC190" s="333"/>
      <c r="DD190" s="333"/>
      <c r="DE190" s="333"/>
      <c r="DF190" s="333"/>
    </row>
    <row r="191" spans="1:110" x14ac:dyDescent="0.25">
      <c r="A191" s="26"/>
      <c r="B191" s="333"/>
      <c r="C191" s="334"/>
      <c r="D191" s="333"/>
      <c r="E191" s="333"/>
      <c r="F191" s="333"/>
      <c r="G191" s="333"/>
      <c r="H191" s="333"/>
      <c r="I191" s="333"/>
      <c r="J191" s="335"/>
      <c r="K191" s="335"/>
      <c r="L191" s="335"/>
      <c r="M191" s="335"/>
      <c r="N191" s="335"/>
      <c r="O191" s="335"/>
      <c r="P191" s="335"/>
      <c r="Q191" s="335"/>
      <c r="R191" s="333"/>
      <c r="S191" s="333"/>
      <c r="T191" s="333"/>
      <c r="U191" s="129"/>
      <c r="V191" s="26"/>
      <c r="W191" s="26"/>
      <c r="X191" s="26"/>
      <c r="Y191" s="26"/>
      <c r="Z191" s="26"/>
      <c r="AA191" s="26"/>
      <c r="AB191" s="28"/>
      <c r="AC191" s="28"/>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128"/>
      <c r="BH191" s="26"/>
      <c r="BI191" s="26"/>
      <c r="BJ191" s="26"/>
      <c r="BK191" s="26"/>
      <c r="BL191" s="26"/>
      <c r="BM191" s="26"/>
      <c r="BN191" s="26"/>
      <c r="BO191" s="26"/>
      <c r="BP191" s="26"/>
      <c r="BQ191" s="26"/>
      <c r="BR191" s="26"/>
      <c r="BS191" s="26"/>
      <c r="BT191" s="26"/>
      <c r="BU191" s="26"/>
      <c r="BV191" s="90"/>
      <c r="BW191" s="26"/>
      <c r="BX191" s="26"/>
      <c r="BY191" s="26"/>
      <c r="BZ191" s="26"/>
      <c r="CA191" s="26"/>
      <c r="CB191" s="26"/>
      <c r="CC191" s="26"/>
      <c r="CD191" s="26"/>
      <c r="CF191" s="26"/>
      <c r="CG191" s="333"/>
      <c r="CH191" s="333"/>
      <c r="CI191" s="333"/>
      <c r="CJ191" s="333"/>
      <c r="CK191" s="333"/>
      <c r="CL191" s="333"/>
      <c r="CM191" s="333"/>
      <c r="CN191" s="333"/>
      <c r="CO191" s="333"/>
      <c r="CP191" s="333"/>
      <c r="CQ191" s="333"/>
      <c r="CR191" s="333"/>
      <c r="CS191" s="333"/>
      <c r="CT191" s="333"/>
      <c r="CU191" s="333"/>
      <c r="CV191" s="333"/>
      <c r="CW191" s="333"/>
      <c r="CX191" s="333"/>
      <c r="CY191" s="333"/>
      <c r="CZ191" s="333"/>
      <c r="DA191" s="333"/>
      <c r="DB191" s="333"/>
      <c r="DC191" s="333"/>
      <c r="DD191" s="333"/>
      <c r="DE191" s="333"/>
      <c r="DF191" s="333"/>
    </row>
    <row r="192" spans="1:110" x14ac:dyDescent="0.25">
      <c r="A192" s="26"/>
      <c r="B192" s="333"/>
      <c r="C192" s="334"/>
      <c r="D192" s="333"/>
      <c r="E192" s="333"/>
      <c r="F192" s="333"/>
      <c r="G192" s="333"/>
      <c r="H192" s="333"/>
      <c r="I192" s="333"/>
      <c r="J192" s="335"/>
      <c r="K192" s="335"/>
      <c r="L192" s="335"/>
      <c r="M192" s="335"/>
      <c r="N192" s="335"/>
      <c r="O192" s="335"/>
      <c r="P192" s="335"/>
      <c r="Q192" s="335"/>
      <c r="R192" s="333"/>
      <c r="S192" s="333"/>
      <c r="T192" s="333"/>
      <c r="U192" s="129"/>
      <c r="V192" s="26"/>
      <c r="W192" s="26"/>
      <c r="X192" s="26"/>
      <c r="Y192" s="26"/>
      <c r="Z192" s="26"/>
      <c r="AA192" s="26"/>
      <c r="AB192" s="28"/>
      <c r="AC192" s="28"/>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128"/>
      <c r="BH192" s="26"/>
      <c r="BI192" s="26"/>
      <c r="BJ192" s="26"/>
      <c r="BK192" s="26"/>
      <c r="BL192" s="26"/>
      <c r="BM192" s="26"/>
      <c r="BN192" s="26"/>
      <c r="BO192" s="26"/>
      <c r="BP192" s="26"/>
      <c r="BQ192" s="26"/>
      <c r="BR192" s="26"/>
      <c r="BS192" s="26"/>
      <c r="BT192" s="26"/>
      <c r="BU192" s="26"/>
      <c r="BV192" s="90"/>
      <c r="BW192" s="26"/>
      <c r="BX192" s="26"/>
      <c r="BY192" s="26"/>
      <c r="BZ192" s="26"/>
      <c r="CA192" s="26"/>
      <c r="CB192" s="26"/>
      <c r="CC192" s="26"/>
      <c r="CD192" s="26"/>
      <c r="CF192" s="26"/>
      <c r="CG192" s="333"/>
      <c r="CH192" s="333"/>
      <c r="CI192" s="333"/>
      <c r="CJ192" s="333"/>
      <c r="CK192" s="333"/>
      <c r="CL192" s="333"/>
      <c r="CM192" s="333"/>
      <c r="CN192" s="333"/>
      <c r="CO192" s="333"/>
      <c r="CP192" s="333"/>
      <c r="CQ192" s="333"/>
      <c r="CR192" s="333"/>
      <c r="CS192" s="333"/>
      <c r="CT192" s="333"/>
      <c r="CU192" s="333"/>
      <c r="CV192" s="333"/>
      <c r="CW192" s="333"/>
      <c r="CX192" s="333"/>
      <c r="CY192" s="333"/>
      <c r="CZ192" s="333"/>
      <c r="DA192" s="333"/>
      <c r="DB192" s="333"/>
      <c r="DC192" s="333"/>
      <c r="DD192" s="333"/>
      <c r="DE192" s="333"/>
      <c r="DF192" s="333"/>
    </row>
    <row r="193" spans="1:110" x14ac:dyDescent="0.25">
      <c r="A193" s="26"/>
      <c r="B193" s="333"/>
      <c r="C193" s="334"/>
      <c r="D193" s="333"/>
      <c r="E193" s="333"/>
      <c r="F193" s="333"/>
      <c r="G193" s="333"/>
      <c r="H193" s="333"/>
      <c r="I193" s="333"/>
      <c r="J193" s="335"/>
      <c r="K193" s="335"/>
      <c r="L193" s="335"/>
      <c r="M193" s="335"/>
      <c r="N193" s="335"/>
      <c r="O193" s="335"/>
      <c r="P193" s="335"/>
      <c r="Q193" s="335"/>
      <c r="R193" s="333"/>
      <c r="S193" s="333"/>
      <c r="T193" s="333"/>
      <c r="U193" s="129"/>
      <c r="V193" s="26"/>
      <c r="W193" s="26"/>
      <c r="X193" s="26"/>
      <c r="Y193" s="26"/>
      <c r="Z193" s="26"/>
      <c r="AA193" s="26"/>
      <c r="AB193" s="28"/>
      <c r="AC193" s="28"/>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128"/>
      <c r="BH193" s="26"/>
      <c r="BI193" s="26"/>
      <c r="BJ193" s="26"/>
      <c r="BK193" s="26"/>
      <c r="BL193" s="26"/>
      <c r="BM193" s="26"/>
      <c r="BN193" s="26"/>
      <c r="BO193" s="26"/>
      <c r="BP193" s="26"/>
      <c r="BQ193" s="26"/>
      <c r="BR193" s="26"/>
      <c r="BS193" s="26"/>
      <c r="BT193" s="26"/>
      <c r="BU193" s="26"/>
      <c r="BV193" s="90"/>
      <c r="BW193" s="26"/>
      <c r="BX193" s="26"/>
      <c r="BY193" s="26"/>
      <c r="BZ193" s="26"/>
      <c r="CA193" s="26"/>
      <c r="CB193" s="26"/>
      <c r="CC193" s="26"/>
      <c r="CD193" s="26"/>
      <c r="CF193" s="26"/>
      <c r="CG193" s="333"/>
      <c r="CH193" s="333"/>
      <c r="CI193" s="333"/>
      <c r="CJ193" s="333"/>
      <c r="CK193" s="333"/>
      <c r="CL193" s="333"/>
      <c r="CM193" s="333"/>
      <c r="CN193" s="333"/>
      <c r="CO193" s="333"/>
      <c r="CP193" s="333"/>
      <c r="CQ193" s="333"/>
      <c r="CR193" s="333"/>
      <c r="CS193" s="333"/>
      <c r="CT193" s="333"/>
      <c r="CU193" s="333"/>
      <c r="CV193" s="333"/>
      <c r="CW193" s="333"/>
      <c r="CX193" s="333"/>
      <c r="CY193" s="333"/>
      <c r="CZ193" s="333"/>
      <c r="DA193" s="333"/>
      <c r="DB193" s="333"/>
      <c r="DC193" s="333"/>
      <c r="DD193" s="333"/>
      <c r="DE193" s="333"/>
      <c r="DF193" s="333"/>
    </row>
    <row r="194" spans="1:110" x14ac:dyDescent="0.25">
      <c r="A194" s="26"/>
      <c r="B194" s="333"/>
      <c r="C194" s="334"/>
      <c r="D194" s="333"/>
      <c r="E194" s="333"/>
      <c r="F194" s="333"/>
      <c r="G194" s="333"/>
      <c r="H194" s="333"/>
      <c r="I194" s="333"/>
      <c r="J194" s="335"/>
      <c r="K194" s="335"/>
      <c r="L194" s="335"/>
      <c r="M194" s="335"/>
      <c r="N194" s="335"/>
      <c r="O194" s="335"/>
      <c r="P194" s="335"/>
      <c r="Q194" s="335"/>
      <c r="R194" s="333"/>
      <c r="S194" s="333"/>
      <c r="T194" s="333"/>
      <c r="U194" s="129"/>
      <c r="V194" s="26"/>
      <c r="W194" s="26"/>
      <c r="X194" s="26"/>
      <c r="Y194" s="26"/>
      <c r="Z194" s="26"/>
      <c r="AA194" s="26"/>
      <c r="AB194" s="28"/>
      <c r="AC194" s="28"/>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128"/>
      <c r="BH194" s="26"/>
      <c r="BI194" s="26"/>
      <c r="BJ194" s="26"/>
      <c r="BK194" s="26"/>
      <c r="BL194" s="26"/>
      <c r="BM194" s="26"/>
      <c r="BN194" s="26"/>
      <c r="BO194" s="26"/>
      <c r="BP194" s="26"/>
      <c r="BQ194" s="26"/>
      <c r="BR194" s="26"/>
      <c r="BS194" s="26"/>
      <c r="BT194" s="26"/>
      <c r="BU194" s="26"/>
      <c r="BV194" s="90"/>
      <c r="BW194" s="26"/>
      <c r="BX194" s="26"/>
      <c r="BY194" s="26"/>
      <c r="BZ194" s="26"/>
      <c r="CA194" s="26"/>
      <c r="CB194" s="26"/>
      <c r="CC194" s="26"/>
      <c r="CD194" s="26"/>
      <c r="CF194" s="26"/>
      <c r="CG194" s="333"/>
      <c r="CH194" s="333"/>
      <c r="CI194" s="333"/>
      <c r="CJ194" s="333"/>
      <c r="CK194" s="333"/>
      <c r="CL194" s="333"/>
      <c r="CM194" s="333"/>
      <c r="CN194" s="333"/>
      <c r="CO194" s="333"/>
      <c r="CP194" s="333"/>
      <c r="CQ194" s="333"/>
      <c r="CR194" s="333"/>
      <c r="CS194" s="333"/>
      <c r="CT194" s="333"/>
      <c r="CU194" s="333"/>
      <c r="CV194" s="333"/>
      <c r="CW194" s="333"/>
      <c r="CX194" s="333"/>
      <c r="CY194" s="333"/>
      <c r="CZ194" s="333"/>
      <c r="DA194" s="333"/>
      <c r="DB194" s="333"/>
      <c r="DC194" s="333"/>
      <c r="DD194" s="333"/>
      <c r="DE194" s="333"/>
      <c r="DF194" s="333"/>
    </row>
    <row r="195" spans="1:110" x14ac:dyDescent="0.25">
      <c r="A195" s="26"/>
      <c r="B195" s="333"/>
      <c r="C195" s="334"/>
      <c r="D195" s="333"/>
      <c r="E195" s="333"/>
      <c r="F195" s="333"/>
      <c r="G195" s="333"/>
      <c r="H195" s="333"/>
      <c r="I195" s="333"/>
      <c r="J195" s="335"/>
      <c r="K195" s="335"/>
      <c r="L195" s="335"/>
      <c r="M195" s="335"/>
      <c r="N195" s="335"/>
      <c r="O195" s="335"/>
      <c r="P195" s="335"/>
      <c r="Q195" s="335"/>
      <c r="R195" s="333"/>
      <c r="S195" s="333"/>
      <c r="T195" s="333"/>
      <c r="U195" s="129"/>
      <c r="V195" s="26"/>
      <c r="W195" s="26"/>
      <c r="X195" s="26"/>
      <c r="Y195" s="26"/>
      <c r="Z195" s="26"/>
      <c r="AA195" s="26"/>
      <c r="AB195" s="28"/>
      <c r="AC195" s="28"/>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128"/>
      <c r="BH195" s="26"/>
      <c r="BI195" s="26"/>
      <c r="BJ195" s="26"/>
      <c r="BK195" s="26"/>
      <c r="BL195" s="26"/>
      <c r="BM195" s="26"/>
      <c r="BN195" s="26"/>
      <c r="BO195" s="26"/>
      <c r="BP195" s="26"/>
      <c r="BQ195" s="26"/>
      <c r="BR195" s="26"/>
      <c r="BS195" s="26"/>
      <c r="BT195" s="26"/>
      <c r="BU195" s="26"/>
      <c r="BV195" s="90"/>
      <c r="BW195" s="26"/>
      <c r="BX195" s="26"/>
      <c r="BY195" s="26"/>
      <c r="BZ195" s="26"/>
      <c r="CA195" s="26"/>
      <c r="CB195" s="26"/>
      <c r="CC195" s="26"/>
      <c r="CD195" s="26"/>
      <c r="CF195" s="26"/>
      <c r="CG195" s="333"/>
      <c r="CH195" s="333"/>
      <c r="CI195" s="333"/>
      <c r="CJ195" s="333"/>
      <c r="CK195" s="333"/>
      <c r="CL195" s="333"/>
      <c r="CM195" s="333"/>
      <c r="CN195" s="333"/>
      <c r="CO195" s="333"/>
      <c r="CP195" s="333"/>
      <c r="CQ195" s="333"/>
      <c r="CR195" s="333"/>
      <c r="CS195" s="333"/>
      <c r="CT195" s="333"/>
      <c r="CU195" s="333"/>
      <c r="CV195" s="333"/>
      <c r="CW195" s="333"/>
      <c r="CX195" s="333"/>
      <c r="CY195" s="333"/>
      <c r="CZ195" s="333"/>
      <c r="DA195" s="333"/>
      <c r="DB195" s="333"/>
      <c r="DC195" s="333"/>
      <c r="DD195" s="333"/>
      <c r="DE195" s="333"/>
      <c r="DF195" s="333"/>
    </row>
    <row r="196" spans="1:110" x14ac:dyDescent="0.25">
      <c r="A196" s="26"/>
      <c r="B196" s="333"/>
      <c r="C196" s="334"/>
      <c r="D196" s="333"/>
      <c r="E196" s="333"/>
      <c r="F196" s="333"/>
      <c r="G196" s="333"/>
      <c r="H196" s="333"/>
      <c r="I196" s="333"/>
      <c r="J196" s="335"/>
      <c r="K196" s="335"/>
      <c r="L196" s="335"/>
      <c r="M196" s="335"/>
      <c r="N196" s="335"/>
      <c r="O196" s="335"/>
      <c r="P196" s="335"/>
      <c r="Q196" s="335"/>
      <c r="R196" s="333"/>
      <c r="S196" s="333"/>
      <c r="T196" s="333"/>
      <c r="U196" s="129"/>
      <c r="V196" s="26"/>
      <c r="W196" s="26"/>
      <c r="X196" s="26"/>
      <c r="Y196" s="26"/>
      <c r="Z196" s="26"/>
      <c r="AA196" s="26"/>
      <c r="AB196" s="28"/>
      <c r="AC196" s="28"/>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128"/>
      <c r="BH196" s="26"/>
      <c r="BI196" s="26"/>
      <c r="BJ196" s="26"/>
      <c r="BK196" s="26"/>
      <c r="BL196" s="26"/>
      <c r="BM196" s="26"/>
      <c r="BN196" s="26"/>
      <c r="BO196" s="26"/>
      <c r="BP196" s="26"/>
      <c r="BQ196" s="26"/>
      <c r="BR196" s="26"/>
      <c r="BS196" s="26"/>
      <c r="BT196" s="26"/>
      <c r="BU196" s="26"/>
      <c r="BV196" s="90"/>
      <c r="BW196" s="26"/>
      <c r="BX196" s="26"/>
      <c r="BY196" s="26"/>
      <c r="BZ196" s="26"/>
      <c r="CA196" s="26"/>
      <c r="CB196" s="26"/>
      <c r="CC196" s="26"/>
      <c r="CD196" s="26"/>
      <c r="CF196" s="26"/>
      <c r="CG196" s="333"/>
      <c r="CH196" s="333"/>
      <c r="CI196" s="333"/>
      <c r="CJ196" s="333"/>
      <c r="CK196" s="333"/>
      <c r="CL196" s="333"/>
      <c r="CM196" s="333"/>
      <c r="CN196" s="333"/>
      <c r="CO196" s="333"/>
      <c r="CP196" s="333"/>
      <c r="CQ196" s="333"/>
      <c r="CR196" s="333"/>
      <c r="CS196" s="333"/>
      <c r="CT196" s="333"/>
      <c r="CU196" s="333"/>
      <c r="CV196" s="333"/>
      <c r="CW196" s="333"/>
      <c r="CX196" s="333"/>
      <c r="CY196" s="333"/>
      <c r="CZ196" s="333"/>
      <c r="DA196" s="333"/>
      <c r="DB196" s="333"/>
      <c r="DC196" s="333"/>
      <c r="DD196" s="333"/>
      <c r="DE196" s="333"/>
      <c r="DF196" s="333"/>
    </row>
    <row r="197" spans="1:110" x14ac:dyDescent="0.25">
      <c r="A197" s="26"/>
      <c r="B197" s="333"/>
      <c r="C197" s="334"/>
      <c r="D197" s="333"/>
      <c r="E197" s="333"/>
      <c r="F197" s="333"/>
      <c r="G197" s="333"/>
      <c r="H197" s="333"/>
      <c r="I197" s="333"/>
      <c r="J197" s="335"/>
      <c r="K197" s="335"/>
      <c r="L197" s="335"/>
      <c r="M197" s="335"/>
      <c r="N197" s="335"/>
      <c r="O197" s="335"/>
      <c r="P197" s="335"/>
      <c r="Q197" s="335"/>
      <c r="R197" s="333"/>
      <c r="S197" s="333"/>
      <c r="T197" s="333"/>
      <c r="U197" s="129"/>
      <c r="V197" s="26"/>
      <c r="W197" s="26"/>
      <c r="X197" s="26"/>
      <c r="Y197" s="26"/>
      <c r="Z197" s="26"/>
      <c r="AA197" s="26"/>
      <c r="AB197" s="28"/>
      <c r="AC197" s="28"/>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128"/>
      <c r="BH197" s="26"/>
      <c r="BI197" s="26"/>
      <c r="BJ197" s="26"/>
      <c r="BK197" s="26"/>
      <c r="BL197" s="26"/>
      <c r="BM197" s="26"/>
      <c r="BN197" s="26"/>
      <c r="BO197" s="26"/>
      <c r="BP197" s="26"/>
      <c r="BQ197" s="26"/>
      <c r="BR197" s="26"/>
      <c r="BS197" s="26"/>
      <c r="BT197" s="26"/>
      <c r="BU197" s="26"/>
      <c r="BV197" s="90"/>
      <c r="BW197" s="26"/>
      <c r="BX197" s="26"/>
      <c r="BY197" s="26"/>
      <c r="BZ197" s="26"/>
      <c r="CA197" s="26"/>
      <c r="CB197" s="26"/>
      <c r="CC197" s="26"/>
      <c r="CD197" s="26"/>
      <c r="CF197" s="26"/>
      <c r="CG197" s="333"/>
      <c r="CH197" s="333"/>
      <c r="CI197" s="333"/>
      <c r="CJ197" s="333"/>
      <c r="CK197" s="333"/>
      <c r="CL197" s="333"/>
      <c r="CM197" s="333"/>
      <c r="CN197" s="333"/>
      <c r="CO197" s="333"/>
      <c r="CP197" s="333"/>
      <c r="CQ197" s="333"/>
      <c r="CR197" s="333"/>
      <c r="CS197" s="333"/>
      <c r="CT197" s="333"/>
      <c r="CU197" s="333"/>
      <c r="CV197" s="333"/>
      <c r="CW197" s="333"/>
      <c r="CX197" s="333"/>
      <c r="CY197" s="333"/>
      <c r="CZ197" s="333"/>
      <c r="DA197" s="333"/>
      <c r="DB197" s="333"/>
      <c r="DC197" s="333"/>
      <c r="DD197" s="333"/>
      <c r="DE197" s="333"/>
      <c r="DF197" s="333"/>
    </row>
    <row r="198" spans="1:110" x14ac:dyDescent="0.25">
      <c r="A198" s="26"/>
      <c r="B198" s="333"/>
      <c r="C198" s="334"/>
      <c r="D198" s="333"/>
      <c r="E198" s="333"/>
      <c r="F198" s="333"/>
      <c r="G198" s="333"/>
      <c r="H198" s="333"/>
      <c r="I198" s="333"/>
      <c r="J198" s="335"/>
      <c r="K198" s="335"/>
      <c r="L198" s="335"/>
      <c r="M198" s="335"/>
      <c r="N198" s="335"/>
      <c r="O198" s="335"/>
      <c r="P198" s="335"/>
      <c r="Q198" s="335"/>
      <c r="R198" s="333"/>
      <c r="S198" s="333"/>
      <c r="T198" s="333"/>
      <c r="U198" s="129"/>
      <c r="V198" s="26"/>
      <c r="W198" s="26"/>
      <c r="X198" s="26"/>
      <c r="Y198" s="26"/>
      <c r="Z198" s="26"/>
      <c r="AA198" s="26"/>
      <c r="AB198" s="28"/>
      <c r="AC198" s="28"/>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128"/>
      <c r="BH198" s="26"/>
      <c r="BI198" s="26"/>
      <c r="BJ198" s="26"/>
      <c r="BK198" s="26"/>
      <c r="BL198" s="26"/>
      <c r="BM198" s="26"/>
      <c r="BN198" s="26"/>
      <c r="BO198" s="26"/>
      <c r="BP198" s="26"/>
      <c r="BQ198" s="26"/>
      <c r="BR198" s="26"/>
      <c r="BS198" s="26"/>
      <c r="BT198" s="26"/>
      <c r="BU198" s="26"/>
      <c r="BV198" s="90"/>
      <c r="BW198" s="26"/>
      <c r="BX198" s="26"/>
      <c r="BY198" s="26"/>
      <c r="BZ198" s="26"/>
      <c r="CA198" s="26"/>
      <c r="CB198" s="26"/>
      <c r="CC198" s="26"/>
      <c r="CD198" s="26"/>
      <c r="CF198" s="26"/>
      <c r="CG198" s="333"/>
      <c r="CH198" s="333"/>
      <c r="CI198" s="333"/>
      <c r="CJ198" s="333"/>
      <c r="CK198" s="333"/>
      <c r="CL198" s="333"/>
      <c r="CM198" s="333"/>
      <c r="CN198" s="333"/>
      <c r="CO198" s="333"/>
      <c r="CP198" s="333"/>
      <c r="CQ198" s="333"/>
      <c r="CR198" s="333"/>
      <c r="CS198" s="333"/>
      <c r="CT198" s="333"/>
      <c r="CU198" s="333"/>
      <c r="CV198" s="333"/>
      <c r="CW198" s="333"/>
      <c r="CX198" s="333"/>
      <c r="CY198" s="333"/>
      <c r="CZ198" s="333"/>
      <c r="DA198" s="333"/>
      <c r="DB198" s="333"/>
      <c r="DC198" s="333"/>
      <c r="DD198" s="333"/>
      <c r="DE198" s="333"/>
      <c r="DF198" s="333"/>
    </row>
    <row r="199" spans="1:110" x14ac:dyDescent="0.25">
      <c r="A199" s="26"/>
      <c r="B199" s="333"/>
      <c r="C199" s="334"/>
      <c r="D199" s="333"/>
      <c r="E199" s="333"/>
      <c r="F199" s="333"/>
      <c r="G199" s="333"/>
      <c r="H199" s="333"/>
      <c r="I199" s="333"/>
      <c r="J199" s="335"/>
      <c r="K199" s="335"/>
      <c r="L199" s="335"/>
      <c r="M199" s="335"/>
      <c r="N199" s="335"/>
      <c r="O199" s="335"/>
      <c r="P199" s="335"/>
      <c r="Q199" s="335"/>
      <c r="R199" s="333"/>
      <c r="S199" s="333"/>
      <c r="T199" s="333"/>
      <c r="U199" s="129"/>
      <c r="V199" s="26"/>
      <c r="W199" s="26"/>
      <c r="X199" s="26"/>
      <c r="Y199" s="26"/>
      <c r="Z199" s="26"/>
      <c r="AA199" s="26"/>
      <c r="AB199" s="28"/>
      <c r="AC199" s="28"/>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128"/>
      <c r="BH199" s="26"/>
      <c r="BI199" s="26"/>
      <c r="BJ199" s="26"/>
      <c r="BK199" s="26"/>
      <c r="BL199" s="26"/>
      <c r="BM199" s="26"/>
      <c r="BN199" s="26"/>
      <c r="BO199" s="26"/>
      <c r="BP199" s="26"/>
      <c r="BQ199" s="26"/>
      <c r="BR199" s="26"/>
      <c r="BS199" s="26"/>
      <c r="BT199" s="26"/>
      <c r="BU199" s="26"/>
      <c r="BV199" s="90"/>
      <c r="BW199" s="26"/>
      <c r="BX199" s="26"/>
      <c r="BY199" s="26"/>
      <c r="BZ199" s="26"/>
      <c r="CA199" s="26"/>
      <c r="CB199" s="26"/>
      <c r="CC199" s="26"/>
      <c r="CD199" s="26"/>
      <c r="CF199" s="26"/>
      <c r="CG199" s="333"/>
      <c r="CH199" s="333"/>
      <c r="CI199" s="333"/>
      <c r="CJ199" s="333"/>
      <c r="CK199" s="333"/>
      <c r="CL199" s="333"/>
      <c r="CM199" s="333"/>
      <c r="CN199" s="333"/>
      <c r="CO199" s="333"/>
      <c r="CP199" s="333"/>
      <c r="CQ199" s="333"/>
      <c r="CR199" s="333"/>
      <c r="CS199" s="333"/>
      <c r="CT199" s="333"/>
      <c r="CU199" s="333"/>
      <c r="CV199" s="333"/>
      <c r="CW199" s="333"/>
      <c r="CX199" s="333"/>
      <c r="CY199" s="333"/>
      <c r="CZ199" s="333"/>
      <c r="DA199" s="333"/>
      <c r="DB199" s="333"/>
      <c r="DC199" s="333"/>
      <c r="DD199" s="333"/>
      <c r="DE199" s="333"/>
      <c r="DF199" s="333"/>
    </row>
    <row r="200" spans="1:110" x14ac:dyDescent="0.25">
      <c r="A200" s="26"/>
      <c r="B200" s="333"/>
      <c r="C200" s="334"/>
      <c r="D200" s="333"/>
      <c r="E200" s="333"/>
      <c r="F200" s="333"/>
      <c r="G200" s="333"/>
      <c r="H200" s="333"/>
      <c r="I200" s="333"/>
      <c r="J200" s="335"/>
      <c r="K200" s="335"/>
      <c r="L200" s="335"/>
      <c r="M200" s="335"/>
      <c r="N200" s="335"/>
      <c r="O200" s="335"/>
      <c r="P200" s="335"/>
      <c r="Q200" s="335"/>
      <c r="R200" s="333"/>
      <c r="S200" s="333"/>
      <c r="T200" s="333"/>
      <c r="U200" s="129"/>
      <c r="V200" s="26"/>
      <c r="W200" s="26"/>
      <c r="X200" s="26"/>
      <c r="Y200" s="26"/>
      <c r="Z200" s="26"/>
      <c r="AA200" s="26"/>
      <c r="AB200" s="28"/>
      <c r="AC200" s="28"/>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128"/>
      <c r="BH200" s="26"/>
      <c r="BI200" s="26"/>
      <c r="BJ200" s="26"/>
      <c r="BK200" s="26"/>
      <c r="BL200" s="26"/>
      <c r="BM200" s="26"/>
      <c r="BN200" s="26"/>
      <c r="BO200" s="26"/>
      <c r="BP200" s="26"/>
      <c r="BQ200" s="26"/>
      <c r="BR200" s="26"/>
      <c r="BS200" s="26"/>
      <c r="BT200" s="26"/>
      <c r="BU200" s="26"/>
      <c r="BV200" s="90"/>
      <c r="BW200" s="26"/>
      <c r="BX200" s="26"/>
      <c r="BY200" s="26"/>
      <c r="BZ200" s="26"/>
      <c r="CA200" s="26"/>
      <c r="CB200" s="26"/>
      <c r="CC200" s="26"/>
      <c r="CD200" s="26"/>
      <c r="CF200" s="26"/>
      <c r="CG200" s="333"/>
      <c r="CH200" s="333"/>
      <c r="CI200" s="333"/>
      <c r="CJ200" s="333"/>
      <c r="CK200" s="333"/>
      <c r="CL200" s="333"/>
      <c r="CM200" s="333"/>
      <c r="CN200" s="333"/>
      <c r="CO200" s="333"/>
      <c r="CP200" s="333"/>
      <c r="CQ200" s="333"/>
      <c r="CR200" s="333"/>
      <c r="CS200" s="333"/>
      <c r="CT200" s="333"/>
      <c r="CU200" s="333"/>
      <c r="CV200" s="333"/>
      <c r="CW200" s="333"/>
      <c r="CX200" s="333"/>
      <c r="CY200" s="333"/>
      <c r="CZ200" s="333"/>
      <c r="DA200" s="333"/>
      <c r="DB200" s="333"/>
      <c r="DC200" s="333"/>
      <c r="DD200" s="333"/>
      <c r="DE200" s="333"/>
      <c r="DF200" s="333"/>
    </row>
    <row r="201" spans="1:110" x14ac:dyDescent="0.25">
      <c r="A201" s="26"/>
      <c r="B201" s="333"/>
      <c r="C201" s="334"/>
      <c r="D201" s="333"/>
      <c r="E201" s="333"/>
      <c r="F201" s="333"/>
      <c r="G201" s="333"/>
      <c r="H201" s="333"/>
      <c r="I201" s="333"/>
      <c r="J201" s="335"/>
      <c r="K201" s="335"/>
      <c r="L201" s="335"/>
      <c r="M201" s="335"/>
      <c r="N201" s="335"/>
      <c r="O201" s="335"/>
      <c r="P201" s="335"/>
      <c r="Q201" s="335"/>
      <c r="R201" s="333"/>
      <c r="S201" s="333"/>
      <c r="T201" s="333"/>
      <c r="U201" s="129"/>
      <c r="V201" s="26"/>
      <c r="W201" s="26"/>
      <c r="X201" s="26"/>
      <c r="Y201" s="26"/>
      <c r="Z201" s="26"/>
      <c r="AA201" s="26"/>
      <c r="AB201" s="28"/>
      <c r="AC201" s="28"/>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128"/>
      <c r="BH201" s="26"/>
      <c r="BI201" s="26"/>
      <c r="BJ201" s="26"/>
      <c r="BK201" s="26"/>
      <c r="BL201" s="26"/>
      <c r="BM201" s="26"/>
      <c r="BN201" s="26"/>
      <c r="BO201" s="26"/>
      <c r="BP201" s="26"/>
      <c r="BQ201" s="26"/>
      <c r="BR201" s="26"/>
      <c r="BS201" s="26"/>
      <c r="BT201" s="26"/>
      <c r="BU201" s="26"/>
      <c r="BV201" s="90"/>
      <c r="BW201" s="26"/>
      <c r="BX201" s="26"/>
      <c r="BY201" s="26"/>
      <c r="BZ201" s="26"/>
      <c r="CA201" s="26"/>
      <c r="CB201" s="26"/>
      <c r="CC201" s="26"/>
      <c r="CD201" s="26"/>
      <c r="CF201" s="26"/>
      <c r="CG201" s="333"/>
      <c r="CH201" s="333"/>
      <c r="CI201" s="333"/>
      <c r="CJ201" s="333"/>
      <c r="CK201" s="333"/>
      <c r="CL201" s="333"/>
      <c r="CM201" s="333"/>
      <c r="CN201" s="333"/>
      <c r="CO201" s="333"/>
      <c r="CP201" s="333"/>
      <c r="CQ201" s="333"/>
      <c r="CR201" s="333"/>
      <c r="CS201" s="333"/>
      <c r="CT201" s="333"/>
      <c r="CU201" s="333"/>
      <c r="CV201" s="333"/>
      <c r="CW201" s="333"/>
      <c r="CX201" s="333"/>
      <c r="CY201" s="333"/>
      <c r="CZ201" s="333"/>
      <c r="DA201" s="333"/>
      <c r="DB201" s="333"/>
      <c r="DC201" s="333"/>
      <c r="DD201" s="333"/>
      <c r="DE201" s="333"/>
      <c r="DF201" s="333"/>
    </row>
    <row r="202" spans="1:110" x14ac:dyDescent="0.25">
      <c r="A202" s="26"/>
      <c r="B202" s="333"/>
      <c r="C202" s="334"/>
      <c r="D202" s="333"/>
      <c r="E202" s="333"/>
      <c r="F202" s="333"/>
      <c r="G202" s="333"/>
      <c r="H202" s="333"/>
      <c r="I202" s="333"/>
      <c r="J202" s="335"/>
      <c r="K202" s="335"/>
      <c r="L202" s="335"/>
      <c r="M202" s="335"/>
      <c r="N202" s="335"/>
      <c r="O202" s="335"/>
      <c r="P202" s="335"/>
      <c r="Q202" s="335"/>
      <c r="R202" s="333"/>
      <c r="S202" s="333"/>
      <c r="T202" s="333"/>
      <c r="U202" s="129"/>
      <c r="V202" s="26"/>
      <c r="W202" s="26"/>
      <c r="X202" s="26"/>
      <c r="Y202" s="26"/>
      <c r="Z202" s="26"/>
      <c r="AA202" s="26"/>
      <c r="AB202" s="28"/>
      <c r="AC202" s="28"/>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128"/>
      <c r="BH202" s="26"/>
      <c r="BI202" s="26"/>
      <c r="BJ202" s="26"/>
      <c r="BK202" s="26"/>
      <c r="BL202" s="26"/>
      <c r="BM202" s="26"/>
      <c r="BN202" s="26"/>
      <c r="BO202" s="26"/>
      <c r="BP202" s="26"/>
      <c r="BQ202" s="26"/>
      <c r="BR202" s="26"/>
      <c r="BS202" s="26"/>
      <c r="BT202" s="26"/>
      <c r="BU202" s="26"/>
      <c r="BV202" s="90"/>
      <c r="BW202" s="26"/>
      <c r="BX202" s="26"/>
      <c r="BY202" s="26"/>
      <c r="BZ202" s="26"/>
      <c r="CA202" s="26"/>
      <c r="CB202" s="26"/>
      <c r="CC202" s="26"/>
      <c r="CD202" s="26"/>
      <c r="CF202" s="26"/>
      <c r="CG202" s="333"/>
      <c r="CH202" s="333"/>
      <c r="CI202" s="333"/>
      <c r="CJ202" s="333"/>
      <c r="CK202" s="333"/>
      <c r="CL202" s="333"/>
      <c r="CM202" s="333"/>
      <c r="CN202" s="333"/>
      <c r="CO202" s="333"/>
      <c r="CP202" s="333"/>
      <c r="CQ202" s="333"/>
      <c r="CR202" s="333"/>
      <c r="CS202" s="333"/>
      <c r="CT202" s="333"/>
      <c r="CU202" s="333"/>
      <c r="CV202" s="333"/>
      <c r="CW202" s="333"/>
      <c r="CX202" s="333"/>
      <c r="CY202" s="333"/>
      <c r="CZ202" s="333"/>
      <c r="DA202" s="333"/>
      <c r="DB202" s="333"/>
      <c r="DC202" s="333"/>
      <c r="DD202" s="333"/>
      <c r="DE202" s="333"/>
      <c r="DF202" s="333"/>
    </row>
    <row r="203" spans="1:110" x14ac:dyDescent="0.25">
      <c r="A203" s="26"/>
      <c r="B203" s="333"/>
      <c r="C203" s="334"/>
      <c r="D203" s="333"/>
      <c r="E203" s="333"/>
      <c r="F203" s="333"/>
      <c r="G203" s="333"/>
      <c r="H203" s="333"/>
      <c r="I203" s="333"/>
      <c r="J203" s="335"/>
      <c r="K203" s="335"/>
      <c r="L203" s="335"/>
      <c r="M203" s="335"/>
      <c r="N203" s="335"/>
      <c r="O203" s="335"/>
      <c r="P203" s="335"/>
      <c r="Q203" s="335"/>
      <c r="R203" s="333"/>
      <c r="S203" s="333"/>
      <c r="T203" s="333"/>
      <c r="U203" s="129"/>
      <c r="V203" s="26"/>
      <c r="W203" s="26"/>
      <c r="X203" s="26"/>
      <c r="Y203" s="26"/>
      <c r="Z203" s="26"/>
      <c r="AA203" s="26"/>
      <c r="AB203" s="28"/>
      <c r="AC203" s="28"/>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128"/>
      <c r="BH203" s="26"/>
      <c r="BI203" s="26"/>
      <c r="BJ203" s="26"/>
      <c r="BK203" s="26"/>
      <c r="BL203" s="26"/>
      <c r="BM203" s="26"/>
      <c r="BN203" s="26"/>
      <c r="BO203" s="26"/>
      <c r="BP203" s="26"/>
      <c r="BQ203" s="26"/>
      <c r="BR203" s="26"/>
      <c r="BS203" s="26"/>
      <c r="BT203" s="26"/>
      <c r="BU203" s="26"/>
      <c r="BV203" s="90"/>
      <c r="BW203" s="26"/>
      <c r="BX203" s="26"/>
      <c r="BY203" s="26"/>
      <c r="BZ203" s="26"/>
      <c r="CA203" s="26"/>
      <c r="CB203" s="26"/>
      <c r="CC203" s="26"/>
      <c r="CD203" s="26"/>
      <c r="CF203" s="26"/>
      <c r="CG203" s="333"/>
      <c r="CH203" s="333"/>
      <c r="CI203" s="333"/>
      <c r="CJ203" s="333"/>
      <c r="CK203" s="333"/>
      <c r="CL203" s="333"/>
      <c r="CM203" s="333"/>
      <c r="CN203" s="333"/>
      <c r="CO203" s="333"/>
      <c r="CP203" s="333"/>
      <c r="CQ203" s="333"/>
      <c r="CR203" s="333"/>
      <c r="CS203" s="333"/>
      <c r="CT203" s="333"/>
      <c r="CU203" s="333"/>
      <c r="CV203" s="333"/>
      <c r="CW203" s="333"/>
      <c r="CX203" s="333"/>
      <c r="CY203" s="333"/>
      <c r="CZ203" s="333"/>
      <c r="DA203" s="333"/>
      <c r="DB203" s="333"/>
      <c r="DC203" s="333"/>
      <c r="DD203" s="333"/>
      <c r="DE203" s="333"/>
      <c r="DF203" s="333"/>
    </row>
    <row r="204" spans="1:110" x14ac:dyDescent="0.25">
      <c r="A204" s="26"/>
      <c r="B204" s="333"/>
      <c r="C204" s="334"/>
      <c r="D204" s="333"/>
      <c r="E204" s="333"/>
      <c r="F204" s="333"/>
      <c r="G204" s="333"/>
      <c r="H204" s="333"/>
      <c r="I204" s="333"/>
      <c r="J204" s="335"/>
      <c r="K204" s="335"/>
      <c r="L204" s="335"/>
      <c r="M204" s="335"/>
      <c r="N204" s="335"/>
      <c r="O204" s="335"/>
      <c r="P204" s="335"/>
      <c r="Q204" s="335"/>
      <c r="R204" s="333"/>
      <c r="S204" s="333"/>
      <c r="T204" s="333"/>
      <c r="U204" s="129"/>
      <c r="V204" s="26"/>
      <c r="W204" s="26"/>
      <c r="X204" s="26"/>
      <c r="Y204" s="26"/>
      <c r="Z204" s="26"/>
      <c r="AA204" s="26"/>
      <c r="AB204" s="28"/>
      <c r="AC204" s="28"/>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128"/>
      <c r="BH204" s="26"/>
      <c r="BI204" s="26"/>
      <c r="BJ204" s="26"/>
      <c r="BK204" s="26"/>
      <c r="BL204" s="26"/>
      <c r="BM204" s="26"/>
      <c r="BN204" s="26"/>
      <c r="BO204" s="26"/>
      <c r="BP204" s="26"/>
      <c r="BQ204" s="26"/>
      <c r="BR204" s="26"/>
      <c r="BS204" s="26"/>
      <c r="BT204" s="26"/>
      <c r="BU204" s="26"/>
      <c r="BV204" s="90"/>
      <c r="BW204" s="26"/>
      <c r="BX204" s="26"/>
      <c r="BY204" s="26"/>
      <c r="BZ204" s="26"/>
      <c r="CA204" s="26"/>
      <c r="CB204" s="26"/>
      <c r="CC204" s="26"/>
      <c r="CD204" s="26"/>
      <c r="CF204" s="26"/>
      <c r="CG204" s="333"/>
      <c r="CH204" s="333"/>
      <c r="CI204" s="333"/>
      <c r="CJ204" s="333"/>
      <c r="CK204" s="333"/>
      <c r="CL204" s="333"/>
      <c r="CM204" s="333"/>
      <c r="CN204" s="333"/>
      <c r="CO204" s="333"/>
      <c r="CP204" s="333"/>
      <c r="CQ204" s="333"/>
      <c r="CR204" s="333"/>
      <c r="CS204" s="333"/>
      <c r="CT204" s="333"/>
      <c r="CU204" s="333"/>
      <c r="CV204" s="333"/>
      <c r="CW204" s="333"/>
      <c r="CX204" s="333"/>
      <c r="CY204" s="333"/>
      <c r="CZ204" s="333"/>
      <c r="DA204" s="333"/>
      <c r="DB204" s="333"/>
      <c r="DC204" s="333"/>
      <c r="DD204" s="333"/>
      <c r="DE204" s="333"/>
      <c r="DF204" s="333"/>
    </row>
    <row r="205" spans="1:110" x14ac:dyDescent="0.25">
      <c r="A205" s="26"/>
      <c r="B205" s="333"/>
      <c r="C205" s="334"/>
      <c r="D205" s="333"/>
      <c r="E205" s="333"/>
      <c r="F205" s="333"/>
      <c r="G205" s="333"/>
      <c r="H205" s="333"/>
      <c r="I205" s="333"/>
      <c r="J205" s="335"/>
      <c r="K205" s="335"/>
      <c r="L205" s="335"/>
      <c r="M205" s="335"/>
      <c r="N205" s="335"/>
      <c r="O205" s="335"/>
      <c r="P205" s="335"/>
      <c r="Q205" s="335"/>
      <c r="R205" s="333"/>
      <c r="S205" s="333"/>
      <c r="T205" s="333"/>
      <c r="U205" s="129"/>
      <c r="V205" s="26"/>
      <c r="W205" s="26"/>
      <c r="X205" s="26"/>
      <c r="Y205" s="26"/>
      <c r="Z205" s="26"/>
      <c r="AA205" s="26"/>
      <c r="AB205" s="28"/>
      <c r="AC205" s="28"/>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128"/>
      <c r="BH205" s="26"/>
      <c r="BI205" s="26"/>
      <c r="BJ205" s="26"/>
      <c r="BK205" s="26"/>
      <c r="BL205" s="26"/>
      <c r="BM205" s="26"/>
      <c r="BN205" s="26"/>
      <c r="BO205" s="26"/>
      <c r="BP205" s="26"/>
      <c r="BQ205" s="26"/>
      <c r="BR205" s="26"/>
      <c r="BS205" s="26"/>
      <c r="BT205" s="26"/>
      <c r="BU205" s="26"/>
      <c r="BV205" s="90"/>
      <c r="BW205" s="26"/>
      <c r="BX205" s="26"/>
      <c r="BY205" s="26"/>
      <c r="BZ205" s="26"/>
      <c r="CA205" s="26"/>
      <c r="CB205" s="26"/>
      <c r="CC205" s="26"/>
      <c r="CD205" s="26"/>
      <c r="CF205" s="26"/>
      <c r="CG205" s="333"/>
      <c r="CH205" s="333"/>
      <c r="CI205" s="333"/>
      <c r="CJ205" s="333"/>
      <c r="CK205" s="333"/>
      <c r="CL205" s="333"/>
      <c r="CM205" s="333"/>
      <c r="CN205" s="333"/>
      <c r="CO205" s="333"/>
      <c r="CP205" s="333"/>
      <c r="CQ205" s="333"/>
      <c r="CR205" s="333"/>
      <c r="CS205" s="333"/>
      <c r="CT205" s="333"/>
      <c r="CU205" s="333"/>
      <c r="CV205" s="333"/>
      <c r="CW205" s="333"/>
      <c r="CX205" s="333"/>
      <c r="CY205" s="333"/>
      <c r="CZ205" s="333"/>
      <c r="DA205" s="333"/>
      <c r="DB205" s="333"/>
      <c r="DC205" s="333"/>
      <c r="DD205" s="333"/>
      <c r="DE205" s="333"/>
      <c r="DF205" s="333"/>
    </row>
    <row r="206" spans="1:110" x14ac:dyDescent="0.25">
      <c r="A206" s="26"/>
      <c r="B206" s="333"/>
      <c r="C206" s="334"/>
      <c r="D206" s="333"/>
      <c r="E206" s="333"/>
      <c r="F206" s="333"/>
      <c r="G206" s="333"/>
      <c r="H206" s="333"/>
      <c r="I206" s="333"/>
      <c r="J206" s="335"/>
      <c r="K206" s="335"/>
      <c r="L206" s="335"/>
      <c r="M206" s="335"/>
      <c r="N206" s="335"/>
      <c r="O206" s="335"/>
      <c r="P206" s="335"/>
      <c r="Q206" s="335"/>
      <c r="R206" s="333"/>
      <c r="S206" s="333"/>
      <c r="T206" s="333"/>
      <c r="U206" s="129"/>
      <c r="V206" s="26"/>
      <c r="W206" s="26"/>
      <c r="X206" s="26"/>
      <c r="Y206" s="26"/>
      <c r="Z206" s="26"/>
      <c r="AA206" s="26"/>
      <c r="AB206" s="28"/>
      <c r="AC206" s="28"/>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128"/>
      <c r="BH206" s="26"/>
      <c r="BI206" s="26"/>
      <c r="BJ206" s="26"/>
      <c r="BK206" s="26"/>
      <c r="BL206" s="26"/>
      <c r="BM206" s="26"/>
      <c r="BN206" s="26"/>
      <c r="BO206" s="26"/>
      <c r="BP206" s="26"/>
      <c r="BQ206" s="26"/>
      <c r="BR206" s="26"/>
      <c r="BS206" s="26"/>
      <c r="BT206" s="26"/>
      <c r="BU206" s="26"/>
      <c r="BV206" s="90"/>
      <c r="BW206" s="26"/>
      <c r="BX206" s="26"/>
      <c r="BY206" s="26"/>
      <c r="BZ206" s="26"/>
      <c r="CA206" s="26"/>
      <c r="CB206" s="26"/>
      <c r="CC206" s="26"/>
      <c r="CD206" s="26"/>
      <c r="CF206" s="26"/>
      <c r="CG206" s="333"/>
      <c r="CH206" s="333"/>
      <c r="CI206" s="333"/>
      <c r="CJ206" s="333"/>
      <c r="CK206" s="333"/>
      <c r="CL206" s="333"/>
      <c r="CM206" s="333"/>
      <c r="CN206" s="333"/>
      <c r="CO206" s="333"/>
      <c r="CP206" s="333"/>
      <c r="CQ206" s="333"/>
      <c r="CR206" s="333"/>
      <c r="CS206" s="333"/>
      <c r="CT206" s="333"/>
      <c r="CU206" s="333"/>
      <c r="CV206" s="333"/>
      <c r="CW206" s="333"/>
      <c r="CX206" s="333"/>
      <c r="CY206" s="333"/>
      <c r="CZ206" s="333"/>
      <c r="DA206" s="333"/>
      <c r="DB206" s="333"/>
      <c r="DC206" s="333"/>
      <c r="DD206" s="333"/>
      <c r="DE206" s="333"/>
      <c r="DF206" s="333"/>
    </row>
    <row r="207" spans="1:110" x14ac:dyDescent="0.25">
      <c r="A207" s="26"/>
      <c r="B207" s="333"/>
      <c r="C207" s="334"/>
      <c r="D207" s="333"/>
      <c r="E207" s="333"/>
      <c r="F207" s="333"/>
      <c r="G207" s="333"/>
      <c r="H207" s="333"/>
      <c r="I207" s="333"/>
      <c r="J207" s="335"/>
      <c r="K207" s="335"/>
      <c r="L207" s="335"/>
      <c r="M207" s="335"/>
      <c r="N207" s="335"/>
      <c r="O207" s="335"/>
      <c r="P207" s="335"/>
      <c r="Q207" s="335"/>
      <c r="R207" s="333"/>
      <c r="S207" s="333"/>
      <c r="T207" s="333"/>
      <c r="U207" s="129"/>
      <c r="V207" s="26"/>
      <c r="W207" s="26"/>
      <c r="X207" s="26"/>
      <c r="Y207" s="26"/>
      <c r="Z207" s="26"/>
      <c r="AA207" s="26"/>
      <c r="AB207" s="28"/>
      <c r="AC207" s="28"/>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128"/>
      <c r="BH207" s="26"/>
      <c r="BI207" s="26"/>
      <c r="BJ207" s="26"/>
      <c r="BK207" s="26"/>
      <c r="BL207" s="26"/>
      <c r="BM207" s="26"/>
      <c r="BN207" s="26"/>
      <c r="BO207" s="26"/>
      <c r="BP207" s="26"/>
      <c r="BQ207" s="26"/>
      <c r="BR207" s="26"/>
      <c r="BS207" s="26"/>
      <c r="BT207" s="26"/>
      <c r="BU207" s="26"/>
      <c r="BV207" s="90"/>
      <c r="BW207" s="26"/>
      <c r="BX207" s="26"/>
      <c r="BY207" s="26"/>
      <c r="BZ207" s="26"/>
      <c r="CA207" s="26"/>
      <c r="CB207" s="26"/>
      <c r="CC207" s="26"/>
      <c r="CD207" s="26"/>
      <c r="CF207" s="26"/>
      <c r="CG207" s="333"/>
      <c r="CH207" s="333"/>
      <c r="CI207" s="333"/>
      <c r="CJ207" s="333"/>
      <c r="CK207" s="333"/>
      <c r="CL207" s="333"/>
      <c r="CM207" s="333"/>
      <c r="CN207" s="333"/>
      <c r="CO207" s="333"/>
      <c r="CP207" s="333"/>
      <c r="CQ207" s="333"/>
      <c r="CR207" s="333"/>
      <c r="CS207" s="333"/>
      <c r="CT207" s="333"/>
      <c r="CU207" s="333"/>
      <c r="CV207" s="333"/>
      <c r="CW207" s="333"/>
      <c r="CX207" s="333"/>
      <c r="CY207" s="333"/>
      <c r="CZ207" s="333"/>
      <c r="DA207" s="333"/>
      <c r="DB207" s="333"/>
      <c r="DC207" s="333"/>
      <c r="DD207" s="333"/>
      <c r="DE207" s="333"/>
      <c r="DF207" s="333"/>
    </row>
    <row r="208" spans="1:110" x14ac:dyDescent="0.25">
      <c r="A208" s="26"/>
      <c r="B208" s="333"/>
      <c r="C208" s="334"/>
      <c r="D208" s="333"/>
      <c r="E208" s="333"/>
      <c r="F208" s="333"/>
      <c r="G208" s="333"/>
      <c r="H208" s="333"/>
      <c r="I208" s="333"/>
      <c r="J208" s="335"/>
      <c r="K208" s="335"/>
      <c r="L208" s="335"/>
      <c r="M208" s="335"/>
      <c r="N208" s="335"/>
      <c r="O208" s="335"/>
      <c r="P208" s="335"/>
      <c r="Q208" s="335"/>
      <c r="R208" s="333"/>
      <c r="S208" s="333"/>
      <c r="T208" s="333"/>
      <c r="U208" s="129"/>
      <c r="V208" s="26"/>
      <c r="W208" s="26"/>
      <c r="X208" s="26"/>
      <c r="Y208" s="26"/>
      <c r="Z208" s="26"/>
      <c r="AA208" s="26"/>
      <c r="AB208" s="28"/>
      <c r="AC208" s="28"/>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128"/>
      <c r="BH208" s="26"/>
      <c r="BI208" s="26"/>
      <c r="BJ208" s="26"/>
      <c r="BK208" s="26"/>
      <c r="BL208" s="26"/>
      <c r="BM208" s="26"/>
      <c r="BN208" s="26"/>
      <c r="BO208" s="26"/>
      <c r="BP208" s="26"/>
      <c r="BQ208" s="26"/>
      <c r="BR208" s="26"/>
      <c r="BS208" s="26"/>
      <c r="BT208" s="26"/>
      <c r="BU208" s="26"/>
      <c r="BV208" s="90"/>
      <c r="BW208" s="26"/>
      <c r="BX208" s="26"/>
      <c r="BY208" s="26"/>
      <c r="BZ208" s="26"/>
      <c r="CA208" s="26"/>
      <c r="CB208" s="26"/>
      <c r="CC208" s="26"/>
      <c r="CD208" s="26"/>
      <c r="CF208" s="26"/>
      <c r="CG208" s="333"/>
      <c r="CH208" s="333"/>
      <c r="CI208" s="333"/>
      <c r="CJ208" s="333"/>
      <c r="CK208" s="333"/>
      <c r="CL208" s="333"/>
      <c r="CM208" s="333"/>
      <c r="CN208" s="333"/>
      <c r="CO208" s="333"/>
      <c r="CP208" s="333"/>
      <c r="CQ208" s="333"/>
      <c r="CR208" s="333"/>
      <c r="CS208" s="333"/>
      <c r="CT208" s="333"/>
      <c r="CU208" s="333"/>
      <c r="CV208" s="333"/>
      <c r="CW208" s="333"/>
      <c r="CX208" s="333"/>
      <c r="CY208" s="333"/>
      <c r="CZ208" s="333"/>
      <c r="DA208" s="333"/>
      <c r="DB208" s="333"/>
      <c r="DC208" s="333"/>
      <c r="DD208" s="333"/>
      <c r="DE208" s="333"/>
      <c r="DF208" s="333"/>
    </row>
    <row r="209" spans="1:110" x14ac:dyDescent="0.25">
      <c r="A209" s="26"/>
      <c r="B209" s="333"/>
      <c r="C209" s="334"/>
      <c r="D209" s="333"/>
      <c r="E209" s="333"/>
      <c r="F209" s="333"/>
      <c r="G209" s="333"/>
      <c r="H209" s="333"/>
      <c r="I209" s="333"/>
      <c r="J209" s="335"/>
      <c r="K209" s="335"/>
      <c r="L209" s="335"/>
      <c r="M209" s="335"/>
      <c r="N209" s="335"/>
      <c r="O209" s="335"/>
      <c r="P209" s="335"/>
      <c r="Q209" s="335"/>
      <c r="R209" s="333"/>
      <c r="S209" s="333"/>
      <c r="T209" s="333"/>
      <c r="U209" s="129"/>
      <c r="V209" s="26"/>
      <c r="W209" s="26"/>
      <c r="X209" s="26"/>
      <c r="Y209" s="26"/>
      <c r="Z209" s="26"/>
      <c r="AA209" s="26"/>
      <c r="AB209" s="28"/>
      <c r="AC209" s="28"/>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128"/>
      <c r="BH209" s="26"/>
      <c r="BI209" s="26"/>
      <c r="BJ209" s="26"/>
      <c r="BK209" s="26"/>
      <c r="BL209" s="26"/>
      <c r="BM209" s="26"/>
      <c r="BN209" s="26"/>
      <c r="BO209" s="26"/>
      <c r="BP209" s="26"/>
      <c r="BQ209" s="26"/>
      <c r="BR209" s="26"/>
      <c r="BS209" s="26"/>
      <c r="BT209" s="26"/>
      <c r="BU209" s="26"/>
      <c r="BV209" s="90"/>
      <c r="BW209" s="26"/>
      <c r="BX209" s="26"/>
      <c r="BY209" s="26"/>
      <c r="BZ209" s="26"/>
      <c r="CA209" s="26"/>
      <c r="CB209" s="26"/>
      <c r="CC209" s="26"/>
      <c r="CD209" s="26"/>
      <c r="CF209" s="26"/>
      <c r="CG209" s="333"/>
      <c r="CH209" s="333"/>
      <c r="CI209" s="333"/>
      <c r="CJ209" s="333"/>
      <c r="CK209" s="333"/>
      <c r="CL209" s="333"/>
      <c r="CM209" s="333"/>
      <c r="CN209" s="333"/>
      <c r="CO209" s="333"/>
      <c r="CP209" s="333"/>
      <c r="CQ209" s="333"/>
      <c r="CR209" s="333"/>
      <c r="CS209" s="333"/>
      <c r="CT209" s="333"/>
      <c r="CU209" s="333"/>
      <c r="CV209" s="333"/>
      <c r="CW209" s="333"/>
      <c r="CX209" s="333"/>
      <c r="CY209" s="333"/>
      <c r="CZ209" s="333"/>
      <c r="DA209" s="333"/>
      <c r="DB209" s="333"/>
      <c r="DC209" s="333"/>
      <c r="DD209" s="333"/>
      <c r="DE209" s="333"/>
      <c r="DF209" s="333"/>
    </row>
    <row r="210" spans="1:110" x14ac:dyDescent="0.25">
      <c r="A210" s="26"/>
      <c r="B210" s="333"/>
      <c r="C210" s="334"/>
      <c r="D210" s="333"/>
      <c r="E210" s="333"/>
      <c r="F210" s="333"/>
      <c r="G210" s="333"/>
      <c r="H210" s="333"/>
      <c r="I210" s="333"/>
      <c r="J210" s="335"/>
      <c r="K210" s="335"/>
      <c r="L210" s="335"/>
      <c r="M210" s="335"/>
      <c r="N210" s="335"/>
      <c r="O210" s="335"/>
      <c r="P210" s="335"/>
      <c r="Q210" s="335"/>
      <c r="R210" s="333"/>
      <c r="S210" s="333"/>
      <c r="T210" s="333"/>
      <c r="U210" s="129"/>
      <c r="V210" s="26"/>
      <c r="W210" s="26"/>
      <c r="X210" s="26"/>
      <c r="Y210" s="26"/>
      <c r="Z210" s="26"/>
      <c r="AA210" s="26"/>
      <c r="AB210" s="28"/>
      <c r="AC210" s="28"/>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128"/>
      <c r="BH210" s="26"/>
      <c r="BI210" s="26"/>
      <c r="BJ210" s="26"/>
      <c r="BK210" s="26"/>
      <c r="BL210" s="26"/>
      <c r="BM210" s="26"/>
      <c r="BN210" s="26"/>
      <c r="BO210" s="26"/>
      <c r="BP210" s="26"/>
      <c r="BQ210" s="26"/>
      <c r="BR210" s="26"/>
      <c r="BS210" s="26"/>
      <c r="BT210" s="26"/>
      <c r="BU210" s="26"/>
      <c r="BV210" s="90"/>
      <c r="BW210" s="26"/>
      <c r="BX210" s="26"/>
      <c r="BY210" s="26"/>
      <c r="BZ210" s="26"/>
      <c r="CA210" s="26"/>
      <c r="CB210" s="26"/>
      <c r="CC210" s="26"/>
      <c r="CD210" s="26"/>
      <c r="CF210" s="26"/>
      <c r="CG210" s="333"/>
      <c r="CH210" s="333"/>
      <c r="CI210" s="333"/>
      <c r="CJ210" s="333"/>
      <c r="CK210" s="333"/>
      <c r="CL210" s="333"/>
      <c r="CM210" s="333"/>
      <c r="CN210" s="333"/>
      <c r="CO210" s="333"/>
      <c r="CP210" s="333"/>
      <c r="CQ210" s="333"/>
      <c r="CR210" s="333"/>
      <c r="CS210" s="333"/>
      <c r="CT210" s="333"/>
      <c r="CU210" s="333"/>
      <c r="CV210" s="333"/>
      <c r="CW210" s="333"/>
      <c r="CX210" s="333"/>
      <c r="CY210" s="333"/>
      <c r="CZ210" s="333"/>
      <c r="DA210" s="333"/>
      <c r="DB210" s="333"/>
      <c r="DC210" s="333"/>
      <c r="DD210" s="333"/>
      <c r="DE210" s="333"/>
      <c r="DF210" s="333"/>
    </row>
    <row r="211" spans="1:110" x14ac:dyDescent="0.25">
      <c r="A211" s="26"/>
      <c r="B211" s="333"/>
      <c r="C211" s="334"/>
      <c r="D211" s="333"/>
      <c r="E211" s="333"/>
      <c r="F211" s="333"/>
      <c r="G211" s="333"/>
      <c r="H211" s="333"/>
      <c r="I211" s="333"/>
      <c r="J211" s="335"/>
      <c r="K211" s="335"/>
      <c r="L211" s="335"/>
      <c r="M211" s="335"/>
      <c r="N211" s="335"/>
      <c r="O211" s="335"/>
      <c r="P211" s="335"/>
      <c r="Q211" s="335"/>
      <c r="R211" s="333"/>
      <c r="S211" s="333"/>
      <c r="T211" s="333"/>
      <c r="U211" s="129"/>
      <c r="V211" s="26"/>
      <c r="W211" s="26"/>
      <c r="X211" s="26"/>
      <c r="Y211" s="26"/>
      <c r="Z211" s="26"/>
      <c r="AA211" s="26"/>
      <c r="AB211" s="28"/>
      <c r="AC211" s="28"/>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128"/>
      <c r="BH211" s="26"/>
      <c r="BI211" s="26"/>
      <c r="BJ211" s="26"/>
      <c r="BK211" s="26"/>
      <c r="BL211" s="26"/>
      <c r="BM211" s="26"/>
      <c r="BN211" s="26"/>
      <c r="BO211" s="26"/>
      <c r="BP211" s="26"/>
      <c r="BQ211" s="26"/>
      <c r="BR211" s="26"/>
      <c r="BS211" s="26"/>
      <c r="BT211" s="26"/>
      <c r="BU211" s="26"/>
      <c r="BV211" s="90"/>
      <c r="BW211" s="26"/>
      <c r="BX211" s="26"/>
      <c r="BY211" s="26"/>
      <c r="BZ211" s="26"/>
      <c r="CA211" s="26"/>
      <c r="CB211" s="26"/>
      <c r="CC211" s="26"/>
      <c r="CD211" s="26"/>
      <c r="CF211" s="26"/>
      <c r="CG211" s="333"/>
      <c r="CH211" s="333"/>
      <c r="CI211" s="333"/>
      <c r="CJ211" s="333"/>
      <c r="CK211" s="333"/>
      <c r="CL211" s="333"/>
      <c r="CM211" s="333"/>
      <c r="CN211" s="333"/>
      <c r="CO211" s="333"/>
      <c r="CP211" s="333"/>
      <c r="CQ211" s="333"/>
      <c r="CR211" s="333"/>
      <c r="CS211" s="333"/>
      <c r="CT211" s="333"/>
      <c r="CU211" s="333"/>
      <c r="CV211" s="333"/>
      <c r="CW211" s="333"/>
      <c r="CX211" s="333"/>
      <c r="CY211" s="333"/>
      <c r="CZ211" s="333"/>
      <c r="DA211" s="333"/>
      <c r="DB211" s="333"/>
      <c r="DC211" s="333"/>
      <c r="DD211" s="333"/>
      <c r="DE211" s="333"/>
      <c r="DF211" s="333"/>
    </row>
    <row r="212" spans="1:110" x14ac:dyDescent="0.25">
      <c r="A212" s="26"/>
      <c r="B212" s="333"/>
      <c r="C212" s="334"/>
      <c r="D212" s="333"/>
      <c r="E212" s="333"/>
      <c r="F212" s="333"/>
      <c r="G212" s="333"/>
      <c r="H212" s="333"/>
      <c r="I212" s="333"/>
      <c r="J212" s="335"/>
      <c r="K212" s="335"/>
      <c r="L212" s="335"/>
      <c r="M212" s="335"/>
      <c r="N212" s="335"/>
      <c r="O212" s="335"/>
      <c r="P212" s="335"/>
      <c r="Q212" s="335"/>
      <c r="R212" s="333"/>
      <c r="S212" s="333"/>
      <c r="T212" s="333"/>
      <c r="U212" s="129"/>
      <c r="V212" s="26"/>
      <c r="W212" s="26"/>
      <c r="X212" s="26"/>
      <c r="Y212" s="26"/>
      <c r="Z212" s="26"/>
      <c r="AA212" s="26"/>
      <c r="AB212" s="28"/>
      <c r="AC212" s="28"/>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128"/>
      <c r="BH212" s="26"/>
      <c r="BI212" s="26"/>
      <c r="BJ212" s="26"/>
      <c r="BK212" s="26"/>
      <c r="BL212" s="26"/>
      <c r="BM212" s="26"/>
      <c r="BN212" s="26"/>
      <c r="BO212" s="26"/>
      <c r="BP212" s="26"/>
      <c r="BQ212" s="26"/>
      <c r="BR212" s="26"/>
      <c r="BS212" s="26"/>
      <c r="BT212" s="26"/>
      <c r="BU212" s="26"/>
      <c r="BV212" s="90"/>
      <c r="BW212" s="26"/>
      <c r="BX212" s="26"/>
      <c r="BY212" s="26"/>
      <c r="BZ212" s="26"/>
      <c r="CA212" s="26"/>
      <c r="CB212" s="26"/>
      <c r="CC212" s="26"/>
      <c r="CD212" s="26"/>
      <c r="CF212" s="26"/>
      <c r="CG212" s="333"/>
      <c r="CH212" s="333"/>
      <c r="CI212" s="333"/>
      <c r="CJ212" s="333"/>
      <c r="CK212" s="333"/>
      <c r="CL212" s="333"/>
      <c r="CM212" s="333"/>
      <c r="CN212" s="333"/>
      <c r="CO212" s="333"/>
      <c r="CP212" s="333"/>
      <c r="CQ212" s="333"/>
      <c r="CR212" s="333"/>
      <c r="CS212" s="333"/>
      <c r="CT212" s="333"/>
      <c r="CU212" s="333"/>
      <c r="CV212" s="333"/>
      <c r="CW212" s="333"/>
      <c r="CX212" s="333"/>
      <c r="CY212" s="333"/>
      <c r="CZ212" s="333"/>
      <c r="DA212" s="333"/>
      <c r="DB212" s="333"/>
      <c r="DC212" s="333"/>
      <c r="DD212" s="333"/>
      <c r="DE212" s="333"/>
      <c r="DF212" s="333"/>
    </row>
    <row r="213" spans="1:110" x14ac:dyDescent="0.25">
      <c r="A213" s="26"/>
      <c r="B213" s="333"/>
      <c r="C213" s="334"/>
      <c r="D213" s="333"/>
      <c r="E213" s="333"/>
      <c r="F213" s="333"/>
      <c r="G213" s="333"/>
      <c r="H213" s="333"/>
      <c r="I213" s="333"/>
      <c r="J213" s="335"/>
      <c r="K213" s="335"/>
      <c r="L213" s="335"/>
      <c r="M213" s="335"/>
      <c r="N213" s="335"/>
      <c r="O213" s="335"/>
      <c r="P213" s="335"/>
      <c r="Q213" s="335"/>
      <c r="R213" s="333"/>
      <c r="S213" s="333"/>
      <c r="T213" s="333"/>
      <c r="U213" s="129"/>
      <c r="V213" s="26"/>
      <c r="W213" s="26"/>
      <c r="X213" s="26"/>
      <c r="Y213" s="26"/>
      <c r="Z213" s="26"/>
      <c r="AA213" s="26"/>
      <c r="AB213" s="28"/>
      <c r="AC213" s="28"/>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128"/>
      <c r="BH213" s="26"/>
      <c r="BI213" s="26"/>
      <c r="BJ213" s="26"/>
      <c r="BK213" s="26"/>
      <c r="BL213" s="26"/>
      <c r="BM213" s="26"/>
      <c r="BN213" s="26"/>
      <c r="BO213" s="26"/>
      <c r="BP213" s="26"/>
      <c r="BQ213" s="26"/>
      <c r="BR213" s="26"/>
      <c r="BS213" s="26"/>
      <c r="BT213" s="26"/>
      <c r="BU213" s="26"/>
      <c r="BV213" s="90"/>
      <c r="BW213" s="26"/>
      <c r="BX213" s="26"/>
      <c r="BY213" s="26"/>
      <c r="BZ213" s="26"/>
      <c r="CA213" s="26"/>
      <c r="CB213" s="26"/>
      <c r="CC213" s="26"/>
      <c r="CD213" s="26"/>
      <c r="CF213" s="26"/>
      <c r="CG213" s="333"/>
      <c r="CH213" s="333"/>
      <c r="CI213" s="333"/>
      <c r="CJ213" s="333"/>
      <c r="CK213" s="333"/>
      <c r="CL213" s="333"/>
      <c r="CM213" s="333"/>
      <c r="CN213" s="333"/>
      <c r="CO213" s="333"/>
      <c r="CP213" s="333"/>
      <c r="CQ213" s="333"/>
      <c r="CR213" s="333"/>
      <c r="CS213" s="333"/>
      <c r="CT213" s="333"/>
      <c r="CU213" s="333"/>
      <c r="CV213" s="333"/>
      <c r="CW213" s="333"/>
      <c r="CX213" s="333"/>
      <c r="CY213" s="333"/>
      <c r="CZ213" s="333"/>
      <c r="DA213" s="333"/>
      <c r="DB213" s="333"/>
      <c r="DC213" s="333"/>
      <c r="DD213" s="333"/>
      <c r="DE213" s="333"/>
      <c r="DF213" s="333"/>
    </row>
    <row r="214" spans="1:110" x14ac:dyDescent="0.25">
      <c r="A214" s="26"/>
      <c r="B214" s="333"/>
      <c r="C214" s="334"/>
      <c r="D214" s="333"/>
      <c r="E214" s="333"/>
      <c r="F214" s="333"/>
      <c r="G214" s="333"/>
      <c r="H214" s="333"/>
      <c r="I214" s="333"/>
      <c r="J214" s="335"/>
      <c r="K214" s="335"/>
      <c r="L214" s="335"/>
      <c r="M214" s="335"/>
      <c r="N214" s="335"/>
      <c r="O214" s="335"/>
      <c r="P214" s="335"/>
      <c r="Q214" s="335"/>
      <c r="R214" s="333"/>
      <c r="S214" s="333"/>
      <c r="T214" s="333"/>
      <c r="U214" s="129"/>
      <c r="V214" s="26"/>
      <c r="W214" s="26"/>
      <c r="X214" s="26"/>
      <c r="Y214" s="26"/>
      <c r="Z214" s="26"/>
      <c r="AA214" s="26"/>
      <c r="AB214" s="28"/>
      <c r="AC214" s="28"/>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128"/>
      <c r="BH214" s="26"/>
      <c r="BI214" s="26"/>
      <c r="BJ214" s="26"/>
      <c r="BK214" s="26"/>
      <c r="BL214" s="26"/>
      <c r="BM214" s="26"/>
      <c r="BN214" s="26"/>
      <c r="BO214" s="26"/>
      <c r="BP214" s="26"/>
      <c r="BQ214" s="26"/>
      <c r="BR214" s="26"/>
      <c r="BS214" s="26"/>
      <c r="BT214" s="26"/>
      <c r="BU214" s="26"/>
      <c r="BV214" s="90"/>
      <c r="BW214" s="26"/>
      <c r="BX214" s="26"/>
      <c r="BY214" s="26"/>
      <c r="BZ214" s="26"/>
      <c r="CA214" s="26"/>
      <c r="CB214" s="26"/>
      <c r="CC214" s="26"/>
      <c r="CD214" s="26"/>
      <c r="CF214" s="26"/>
      <c r="CG214" s="333"/>
      <c r="CH214" s="333"/>
      <c r="CI214" s="333"/>
      <c r="CJ214" s="333"/>
      <c r="CK214" s="333"/>
      <c r="CL214" s="333"/>
      <c r="CM214" s="333"/>
      <c r="CN214" s="333"/>
      <c r="CO214" s="333"/>
      <c r="CP214" s="333"/>
      <c r="CQ214" s="333"/>
      <c r="CR214" s="333"/>
      <c r="CS214" s="333"/>
      <c r="CT214" s="333"/>
      <c r="CU214" s="333"/>
      <c r="CV214" s="333"/>
      <c r="CW214" s="333"/>
      <c r="CX214" s="333"/>
      <c r="CY214" s="333"/>
      <c r="CZ214" s="333"/>
      <c r="DA214" s="333"/>
      <c r="DB214" s="333"/>
      <c r="DC214" s="333"/>
      <c r="DD214" s="333"/>
      <c r="DE214" s="333"/>
      <c r="DF214" s="333"/>
    </row>
    <row r="215" spans="1:110" x14ac:dyDescent="0.25">
      <c r="A215" s="26"/>
      <c r="B215" s="333"/>
      <c r="C215" s="334"/>
      <c r="D215" s="333"/>
      <c r="E215" s="333"/>
      <c r="F215" s="333"/>
      <c r="G215" s="333"/>
      <c r="H215" s="333"/>
      <c r="I215" s="333"/>
      <c r="J215" s="335"/>
      <c r="K215" s="335"/>
      <c r="L215" s="335"/>
      <c r="M215" s="335"/>
      <c r="N215" s="335"/>
      <c r="O215" s="335"/>
      <c r="P215" s="335"/>
      <c r="Q215" s="335"/>
      <c r="R215" s="333"/>
      <c r="S215" s="333"/>
      <c r="T215" s="333"/>
      <c r="U215" s="129"/>
      <c r="V215" s="26"/>
      <c r="W215" s="26"/>
      <c r="X215" s="26"/>
      <c r="Y215" s="26"/>
      <c r="Z215" s="26"/>
      <c r="AA215" s="26"/>
      <c r="AB215" s="28"/>
      <c r="AC215" s="28"/>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128"/>
      <c r="BH215" s="26"/>
      <c r="BI215" s="26"/>
      <c r="BJ215" s="26"/>
      <c r="BK215" s="26"/>
      <c r="BL215" s="26"/>
      <c r="BM215" s="26"/>
      <c r="BN215" s="26"/>
      <c r="BO215" s="26"/>
      <c r="BP215" s="26"/>
      <c r="BQ215" s="26"/>
      <c r="BR215" s="26"/>
      <c r="BS215" s="26"/>
      <c r="BT215" s="26"/>
      <c r="BU215" s="26"/>
      <c r="BV215" s="90"/>
      <c r="BW215" s="26"/>
      <c r="BX215" s="26"/>
      <c r="BY215" s="26"/>
      <c r="BZ215" s="26"/>
      <c r="CA215" s="26"/>
      <c r="CB215" s="26"/>
      <c r="CC215" s="26"/>
      <c r="CD215" s="26"/>
      <c r="CF215" s="26"/>
      <c r="CG215" s="333"/>
      <c r="CH215" s="333"/>
      <c r="CI215" s="333"/>
      <c r="CJ215" s="333"/>
      <c r="CK215" s="333"/>
      <c r="CL215" s="333"/>
      <c r="CM215" s="333"/>
      <c r="CN215" s="333"/>
      <c r="CO215" s="333"/>
      <c r="CP215" s="333"/>
      <c r="CQ215" s="333"/>
      <c r="CR215" s="333"/>
      <c r="CS215" s="333"/>
      <c r="CT215" s="333"/>
      <c r="CU215" s="333"/>
      <c r="CV215" s="333"/>
      <c r="CW215" s="333"/>
      <c r="CX215" s="333"/>
      <c r="CY215" s="333"/>
      <c r="CZ215" s="333"/>
      <c r="DA215" s="333"/>
      <c r="DB215" s="333"/>
      <c r="DC215" s="333"/>
      <c r="DD215" s="333"/>
      <c r="DE215" s="333"/>
      <c r="DF215" s="333"/>
    </row>
    <row r="216" spans="1:110" x14ac:dyDescent="0.25">
      <c r="A216" s="26"/>
      <c r="B216" s="333"/>
      <c r="C216" s="334"/>
      <c r="D216" s="333"/>
      <c r="E216" s="333"/>
      <c r="F216" s="333"/>
      <c r="G216" s="333"/>
      <c r="H216" s="333"/>
      <c r="I216" s="333"/>
      <c r="J216" s="335"/>
      <c r="K216" s="335"/>
      <c r="L216" s="335"/>
      <c r="M216" s="335"/>
      <c r="N216" s="335"/>
      <c r="O216" s="335"/>
      <c r="P216" s="335"/>
      <c r="Q216" s="335"/>
      <c r="R216" s="333"/>
      <c r="S216" s="333"/>
      <c r="T216" s="333"/>
      <c r="U216" s="129"/>
      <c r="V216" s="26"/>
      <c r="W216" s="26"/>
      <c r="X216" s="26"/>
      <c r="Y216" s="26"/>
      <c r="Z216" s="26"/>
      <c r="AA216" s="26"/>
      <c r="AB216" s="28"/>
      <c r="AC216" s="28"/>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128"/>
      <c r="BH216" s="26"/>
      <c r="BI216" s="26"/>
      <c r="BJ216" s="26"/>
      <c r="BK216" s="26"/>
      <c r="BL216" s="26"/>
      <c r="BM216" s="26"/>
      <c r="BN216" s="26"/>
      <c r="BO216" s="26"/>
      <c r="BP216" s="26"/>
      <c r="BQ216" s="26"/>
      <c r="BR216" s="26"/>
      <c r="BS216" s="26"/>
      <c r="BT216" s="26"/>
      <c r="BU216" s="26"/>
      <c r="BV216" s="90"/>
      <c r="BW216" s="26"/>
      <c r="BX216" s="26"/>
      <c r="BY216" s="26"/>
      <c r="BZ216" s="26"/>
      <c r="CA216" s="26"/>
      <c r="CB216" s="26"/>
      <c r="CC216" s="26"/>
      <c r="CD216" s="26"/>
      <c r="CF216" s="26"/>
      <c r="CG216" s="333"/>
      <c r="CH216" s="333"/>
      <c r="CI216" s="333"/>
      <c r="CJ216" s="333"/>
      <c r="CK216" s="333"/>
      <c r="CL216" s="333"/>
      <c r="CM216" s="333"/>
      <c r="CN216" s="333"/>
      <c r="CO216" s="333"/>
      <c r="CP216" s="333"/>
      <c r="CQ216" s="333"/>
      <c r="CR216" s="333"/>
      <c r="CS216" s="333"/>
      <c r="CT216" s="333"/>
      <c r="CU216" s="333"/>
      <c r="CV216" s="333"/>
      <c r="CW216" s="333"/>
      <c r="CX216" s="333"/>
      <c r="CY216" s="333"/>
      <c r="CZ216" s="333"/>
      <c r="DA216" s="333"/>
      <c r="DB216" s="333"/>
      <c r="DC216" s="333"/>
      <c r="DD216" s="333"/>
      <c r="DE216" s="333"/>
      <c r="DF216" s="333"/>
    </row>
    <row r="217" spans="1:110" x14ac:dyDescent="0.25">
      <c r="A217" s="26"/>
      <c r="B217" s="333"/>
      <c r="C217" s="334"/>
      <c r="D217" s="333"/>
      <c r="E217" s="333"/>
      <c r="F217" s="333"/>
      <c r="G217" s="333"/>
      <c r="H217" s="333"/>
      <c r="I217" s="333"/>
      <c r="J217" s="335"/>
      <c r="K217" s="335"/>
      <c r="L217" s="335"/>
      <c r="M217" s="335"/>
      <c r="N217" s="335"/>
      <c r="O217" s="335"/>
      <c r="P217" s="335"/>
      <c r="Q217" s="335"/>
      <c r="R217" s="333"/>
      <c r="S217" s="333"/>
      <c r="T217" s="333"/>
      <c r="U217" s="129"/>
      <c r="V217" s="26"/>
      <c r="W217" s="26"/>
      <c r="X217" s="26"/>
      <c r="Y217" s="26"/>
      <c r="Z217" s="26"/>
      <c r="AA217" s="26"/>
      <c r="AB217" s="28"/>
      <c r="AC217" s="28"/>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128"/>
      <c r="BH217" s="26"/>
      <c r="BI217" s="26"/>
      <c r="BJ217" s="26"/>
      <c r="BK217" s="26"/>
      <c r="BL217" s="26"/>
      <c r="BM217" s="26"/>
      <c r="BN217" s="26"/>
      <c r="BO217" s="26"/>
      <c r="BP217" s="26"/>
      <c r="BQ217" s="26"/>
      <c r="BR217" s="26"/>
      <c r="BS217" s="26"/>
      <c r="BT217" s="26"/>
      <c r="BU217" s="26"/>
      <c r="BV217" s="90"/>
      <c r="BW217" s="26"/>
      <c r="BX217" s="26"/>
      <c r="BY217" s="26"/>
      <c r="BZ217" s="26"/>
      <c r="CA217" s="26"/>
      <c r="CB217" s="26"/>
      <c r="CC217" s="26"/>
      <c r="CD217" s="26"/>
      <c r="CF217" s="26"/>
      <c r="CG217" s="333"/>
      <c r="CH217" s="333"/>
      <c r="CI217" s="333"/>
      <c r="CJ217" s="333"/>
      <c r="CK217" s="333"/>
      <c r="CL217" s="333"/>
      <c r="CM217" s="333"/>
      <c r="CN217" s="333"/>
      <c r="CO217" s="333"/>
      <c r="CP217" s="333"/>
      <c r="CQ217" s="333"/>
      <c r="CR217" s="333"/>
      <c r="CS217" s="333"/>
      <c r="CT217" s="333"/>
      <c r="CU217" s="333"/>
      <c r="CV217" s="333"/>
      <c r="CW217" s="333"/>
      <c r="CX217" s="333"/>
      <c r="CY217" s="333"/>
      <c r="CZ217" s="333"/>
      <c r="DA217" s="333"/>
      <c r="DB217" s="333"/>
      <c r="DC217" s="333"/>
      <c r="DD217" s="333"/>
      <c r="DE217" s="333"/>
      <c r="DF217" s="333"/>
    </row>
    <row r="218" spans="1:110" x14ac:dyDescent="0.25">
      <c r="A218" s="26"/>
      <c r="B218" s="333"/>
      <c r="C218" s="334"/>
      <c r="D218" s="333"/>
      <c r="E218" s="333"/>
      <c r="F218" s="333"/>
      <c r="G218" s="333"/>
      <c r="H218" s="333"/>
      <c r="I218" s="333"/>
      <c r="J218" s="335"/>
      <c r="K218" s="335"/>
      <c r="L218" s="335"/>
      <c r="M218" s="335"/>
      <c r="N218" s="335"/>
      <c r="O218" s="335"/>
      <c r="P218" s="335"/>
      <c r="Q218" s="335"/>
      <c r="R218" s="333"/>
      <c r="S218" s="333"/>
      <c r="T218" s="333"/>
      <c r="U218" s="129"/>
      <c r="V218" s="26"/>
      <c r="W218" s="26"/>
      <c r="X218" s="26"/>
      <c r="Y218" s="26"/>
      <c r="Z218" s="26"/>
      <c r="AA218" s="26"/>
      <c r="AB218" s="28"/>
      <c r="AC218" s="28"/>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128"/>
      <c r="BH218" s="26"/>
      <c r="BI218" s="26"/>
      <c r="BJ218" s="26"/>
      <c r="BK218" s="26"/>
      <c r="BL218" s="26"/>
      <c r="BM218" s="26"/>
      <c r="BN218" s="26"/>
      <c r="BO218" s="26"/>
      <c r="BP218" s="26"/>
      <c r="BQ218" s="26"/>
      <c r="BR218" s="26"/>
      <c r="BS218" s="26"/>
      <c r="BT218" s="26"/>
      <c r="BU218" s="26"/>
      <c r="BV218" s="90"/>
      <c r="BW218" s="26"/>
      <c r="BX218" s="26"/>
      <c r="BY218" s="26"/>
      <c r="BZ218" s="26"/>
      <c r="CA218" s="26"/>
      <c r="CB218" s="26"/>
      <c r="CC218" s="26"/>
      <c r="CD218" s="26"/>
      <c r="CF218" s="26"/>
      <c r="CG218" s="333"/>
      <c r="CH218" s="333"/>
      <c r="CI218" s="333"/>
      <c r="CJ218" s="333"/>
      <c r="CK218" s="333"/>
      <c r="CL218" s="333"/>
      <c r="CM218" s="333"/>
      <c r="CN218" s="333"/>
      <c r="CO218" s="333"/>
      <c r="CP218" s="333"/>
      <c r="CQ218" s="333"/>
      <c r="CR218" s="333"/>
      <c r="CS218" s="333"/>
      <c r="CT218" s="333"/>
      <c r="CU218" s="333"/>
      <c r="CV218" s="333"/>
      <c r="CW218" s="333"/>
      <c r="CX218" s="333"/>
      <c r="CY218" s="333"/>
      <c r="CZ218" s="333"/>
      <c r="DA218" s="333"/>
      <c r="DB218" s="333"/>
      <c r="DC218" s="333"/>
      <c r="DD218" s="333"/>
      <c r="DE218" s="333"/>
      <c r="DF218" s="333"/>
    </row>
    <row r="219" spans="1:110" x14ac:dyDescent="0.25">
      <c r="A219" s="26"/>
      <c r="B219" s="333"/>
      <c r="C219" s="334"/>
      <c r="D219" s="333"/>
      <c r="E219" s="333"/>
      <c r="F219" s="333"/>
      <c r="G219" s="333"/>
      <c r="H219" s="333"/>
      <c r="I219" s="333"/>
      <c r="J219" s="335"/>
      <c r="K219" s="335"/>
      <c r="L219" s="335"/>
      <c r="M219" s="335"/>
      <c r="N219" s="335"/>
      <c r="O219" s="335"/>
      <c r="P219" s="335"/>
      <c r="Q219" s="335"/>
      <c r="R219" s="333"/>
      <c r="S219" s="333"/>
      <c r="T219" s="333"/>
      <c r="U219" s="129"/>
      <c r="V219" s="26"/>
      <c r="W219" s="26"/>
      <c r="X219" s="26"/>
      <c r="Y219" s="26"/>
      <c r="Z219" s="26"/>
      <c r="AA219" s="26"/>
      <c r="AB219" s="28"/>
      <c r="AC219" s="28"/>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128"/>
      <c r="BH219" s="26"/>
      <c r="BI219" s="26"/>
      <c r="BJ219" s="26"/>
      <c r="BK219" s="26"/>
      <c r="BL219" s="26"/>
      <c r="BM219" s="26"/>
      <c r="BN219" s="26"/>
      <c r="BO219" s="26"/>
      <c r="BP219" s="26"/>
      <c r="BQ219" s="26"/>
      <c r="BR219" s="26"/>
      <c r="BS219" s="26"/>
      <c r="BT219" s="26"/>
      <c r="BU219" s="26"/>
      <c r="BV219" s="90"/>
      <c r="BW219" s="26"/>
      <c r="BX219" s="26"/>
      <c r="BY219" s="26"/>
      <c r="BZ219" s="26"/>
      <c r="CA219" s="26"/>
      <c r="CB219" s="26"/>
      <c r="CC219" s="26"/>
      <c r="CD219" s="26"/>
      <c r="CF219" s="26"/>
      <c r="CG219" s="333"/>
      <c r="CH219" s="333"/>
      <c r="CI219" s="333"/>
      <c r="CJ219" s="333"/>
      <c r="CK219" s="333"/>
      <c r="CL219" s="333"/>
      <c r="CM219" s="333"/>
      <c r="CN219" s="333"/>
      <c r="CO219" s="333"/>
      <c r="CP219" s="333"/>
      <c r="CQ219" s="333"/>
      <c r="CR219" s="333"/>
      <c r="CS219" s="333"/>
      <c r="CT219" s="333"/>
      <c r="CU219" s="333"/>
      <c r="CV219" s="333"/>
      <c r="CW219" s="333"/>
      <c r="CX219" s="333"/>
      <c r="CY219" s="333"/>
      <c r="CZ219" s="333"/>
      <c r="DA219" s="333"/>
      <c r="DB219" s="333"/>
      <c r="DC219" s="333"/>
      <c r="DD219" s="333"/>
      <c r="DE219" s="333"/>
      <c r="DF219" s="333"/>
    </row>
    <row r="220" spans="1:110" x14ac:dyDescent="0.25">
      <c r="A220" s="26"/>
      <c r="B220" s="333"/>
      <c r="C220" s="334"/>
      <c r="D220" s="333"/>
      <c r="E220" s="333"/>
      <c r="F220" s="333"/>
      <c r="G220" s="333"/>
      <c r="H220" s="333"/>
      <c r="I220" s="333"/>
      <c r="J220" s="335"/>
      <c r="K220" s="335"/>
      <c r="L220" s="335"/>
      <c r="M220" s="335"/>
      <c r="N220" s="335"/>
      <c r="O220" s="335"/>
      <c r="P220" s="335"/>
      <c r="Q220" s="335"/>
      <c r="R220" s="333"/>
      <c r="S220" s="333"/>
      <c r="T220" s="333"/>
      <c r="U220" s="129"/>
      <c r="V220" s="26"/>
      <c r="W220" s="26"/>
      <c r="X220" s="26"/>
      <c r="Y220" s="26"/>
      <c r="Z220" s="26"/>
      <c r="AA220" s="26"/>
      <c r="AB220" s="28"/>
      <c r="AC220" s="28"/>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128"/>
      <c r="BH220" s="26"/>
      <c r="BI220" s="26"/>
      <c r="BJ220" s="26"/>
      <c r="BK220" s="26"/>
      <c r="BL220" s="26"/>
      <c r="BM220" s="26"/>
      <c r="BN220" s="26"/>
      <c r="BO220" s="26"/>
      <c r="BP220" s="26"/>
      <c r="BQ220" s="26"/>
      <c r="BR220" s="26"/>
      <c r="BS220" s="26"/>
      <c r="BT220" s="26"/>
      <c r="BU220" s="26"/>
      <c r="BV220" s="90"/>
      <c r="BW220" s="26"/>
      <c r="BX220" s="26"/>
      <c r="BY220" s="26"/>
      <c r="BZ220" s="26"/>
      <c r="CA220" s="26"/>
      <c r="CB220" s="26"/>
      <c r="CC220" s="26"/>
      <c r="CD220" s="26"/>
      <c r="CF220" s="26"/>
      <c r="CG220" s="333"/>
      <c r="CH220" s="333"/>
      <c r="CI220" s="333"/>
      <c r="CJ220" s="333"/>
      <c r="CK220" s="333"/>
      <c r="CL220" s="333"/>
      <c r="CM220" s="333"/>
      <c r="CN220" s="333"/>
      <c r="CO220" s="333"/>
      <c r="CP220" s="333"/>
      <c r="CQ220" s="333"/>
      <c r="CR220" s="333"/>
      <c r="CS220" s="333"/>
      <c r="CT220" s="333"/>
      <c r="CU220" s="333"/>
      <c r="CV220" s="333"/>
      <c r="CW220" s="333"/>
      <c r="CX220" s="333"/>
      <c r="CY220" s="333"/>
      <c r="CZ220" s="333"/>
      <c r="DA220" s="333"/>
      <c r="DB220" s="333"/>
      <c r="DC220" s="333"/>
      <c r="DD220" s="333"/>
      <c r="DE220" s="333"/>
      <c r="DF220" s="333"/>
    </row>
    <row r="221" spans="1:110" x14ac:dyDescent="0.25">
      <c r="A221" s="26"/>
      <c r="B221" s="333"/>
      <c r="C221" s="334"/>
      <c r="D221" s="333"/>
      <c r="E221" s="333"/>
      <c r="F221" s="333"/>
      <c r="G221" s="333"/>
      <c r="H221" s="333"/>
      <c r="I221" s="333"/>
      <c r="J221" s="335"/>
      <c r="K221" s="335"/>
      <c r="L221" s="335"/>
      <c r="M221" s="335"/>
      <c r="N221" s="335"/>
      <c r="O221" s="335"/>
      <c r="P221" s="335"/>
      <c r="Q221" s="335"/>
      <c r="R221" s="333"/>
      <c r="S221" s="333"/>
      <c r="T221" s="333"/>
      <c r="U221" s="129"/>
      <c r="V221" s="26"/>
      <c r="W221" s="26"/>
      <c r="X221" s="26"/>
      <c r="Y221" s="26"/>
      <c r="Z221" s="26"/>
      <c r="AA221" s="26"/>
      <c r="AB221" s="28"/>
      <c r="AC221" s="28"/>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128"/>
      <c r="BH221" s="26"/>
      <c r="BI221" s="26"/>
      <c r="BJ221" s="26"/>
      <c r="BK221" s="26"/>
      <c r="BL221" s="26"/>
      <c r="BM221" s="26"/>
      <c r="BN221" s="26"/>
      <c r="BO221" s="26"/>
      <c r="BP221" s="26"/>
      <c r="BQ221" s="26"/>
      <c r="BR221" s="26"/>
      <c r="BS221" s="26"/>
      <c r="BT221" s="26"/>
      <c r="BU221" s="26"/>
      <c r="BV221" s="90"/>
      <c r="BW221" s="26"/>
      <c r="BX221" s="26"/>
      <c r="BY221" s="26"/>
      <c r="BZ221" s="26"/>
      <c r="CA221" s="26"/>
      <c r="CB221" s="26"/>
      <c r="CC221" s="26"/>
      <c r="CD221" s="26"/>
      <c r="CF221" s="26"/>
      <c r="CG221" s="333"/>
      <c r="CH221" s="333"/>
      <c r="CI221" s="333"/>
      <c r="CJ221" s="333"/>
      <c r="CK221" s="333"/>
      <c r="CL221" s="333"/>
      <c r="CM221" s="333"/>
      <c r="CN221" s="333"/>
      <c r="CO221" s="333"/>
      <c r="CP221" s="333"/>
      <c r="CQ221" s="333"/>
      <c r="CR221" s="333"/>
      <c r="CS221" s="333"/>
      <c r="CT221" s="333"/>
      <c r="CU221" s="333"/>
      <c r="CV221" s="333"/>
      <c r="CW221" s="333"/>
      <c r="CX221" s="333"/>
      <c r="CY221" s="333"/>
      <c r="CZ221" s="333"/>
      <c r="DA221" s="333"/>
      <c r="DB221" s="333"/>
      <c r="DC221" s="333"/>
      <c r="DD221" s="333"/>
      <c r="DE221" s="333"/>
      <c r="DF221" s="333"/>
    </row>
    <row r="222" spans="1:110" x14ac:dyDescent="0.25">
      <c r="A222" s="26"/>
      <c r="B222" s="333"/>
      <c r="C222" s="334"/>
      <c r="D222" s="333"/>
      <c r="E222" s="333"/>
      <c r="F222" s="333"/>
      <c r="G222" s="333"/>
      <c r="H222" s="333"/>
      <c r="I222" s="333"/>
      <c r="J222" s="335"/>
      <c r="K222" s="335"/>
      <c r="L222" s="335"/>
      <c r="M222" s="335"/>
      <c r="N222" s="335"/>
      <c r="O222" s="335"/>
      <c r="P222" s="335"/>
      <c r="Q222" s="335"/>
      <c r="R222" s="333"/>
      <c r="S222" s="333"/>
      <c r="T222" s="333"/>
      <c r="U222" s="129"/>
      <c r="V222" s="26"/>
      <c r="W222" s="26"/>
      <c r="X222" s="26"/>
      <c r="Y222" s="26"/>
      <c r="Z222" s="26"/>
      <c r="AA222" s="26"/>
      <c r="AB222" s="28"/>
      <c r="AC222" s="28"/>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128"/>
      <c r="BH222" s="26"/>
      <c r="BI222" s="26"/>
      <c r="BJ222" s="26"/>
      <c r="BK222" s="26"/>
      <c r="BL222" s="26"/>
      <c r="BM222" s="26"/>
      <c r="BN222" s="26"/>
      <c r="BO222" s="26"/>
      <c r="BP222" s="26"/>
      <c r="BQ222" s="26"/>
      <c r="BR222" s="26"/>
      <c r="BS222" s="26"/>
      <c r="BT222" s="26"/>
      <c r="BU222" s="26"/>
      <c r="BV222" s="90"/>
      <c r="BW222" s="26"/>
      <c r="BX222" s="26"/>
      <c r="BY222" s="26"/>
      <c r="BZ222" s="26"/>
      <c r="CA222" s="26"/>
      <c r="CB222" s="26"/>
      <c r="CC222" s="26"/>
      <c r="CD222" s="26"/>
      <c r="CF222" s="26"/>
      <c r="CG222" s="333"/>
      <c r="CH222" s="333"/>
      <c r="CI222" s="333"/>
      <c r="CJ222" s="333"/>
      <c r="CK222" s="333"/>
      <c r="CL222" s="333"/>
      <c r="CM222" s="333"/>
      <c r="CN222" s="333"/>
      <c r="CO222" s="333"/>
      <c r="CP222" s="333"/>
      <c r="CQ222" s="333"/>
      <c r="CR222" s="333"/>
      <c r="CS222" s="333"/>
      <c r="CT222" s="333"/>
      <c r="CU222" s="333"/>
      <c r="CV222" s="333"/>
      <c r="CW222" s="333"/>
      <c r="CX222" s="333"/>
      <c r="CY222" s="333"/>
      <c r="CZ222" s="333"/>
      <c r="DA222" s="333"/>
      <c r="DB222" s="333"/>
      <c r="DC222" s="333"/>
      <c r="DD222" s="333"/>
      <c r="DE222" s="333"/>
      <c r="DF222" s="333"/>
    </row>
    <row r="223" spans="1:110" x14ac:dyDescent="0.25">
      <c r="A223" s="26"/>
      <c r="B223" s="333"/>
      <c r="C223" s="334"/>
      <c r="D223" s="333"/>
      <c r="E223" s="333"/>
      <c r="F223" s="333"/>
      <c r="G223" s="333"/>
      <c r="H223" s="333"/>
      <c r="I223" s="333"/>
      <c r="J223" s="335"/>
      <c r="K223" s="335"/>
      <c r="L223" s="335"/>
      <c r="M223" s="335"/>
      <c r="N223" s="335"/>
      <c r="O223" s="335"/>
      <c r="P223" s="335"/>
      <c r="Q223" s="335"/>
      <c r="R223" s="333"/>
      <c r="S223" s="333"/>
      <c r="T223" s="333"/>
      <c r="U223" s="129"/>
      <c r="V223" s="26"/>
      <c r="W223" s="26"/>
      <c r="X223" s="26"/>
      <c r="Y223" s="26"/>
      <c r="Z223" s="26"/>
      <c r="AA223" s="26"/>
      <c r="AB223" s="28"/>
      <c r="AC223" s="28"/>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128"/>
      <c r="BH223" s="26"/>
      <c r="BI223" s="26"/>
      <c r="BJ223" s="26"/>
      <c r="BK223" s="26"/>
      <c r="BL223" s="26"/>
      <c r="BM223" s="26"/>
      <c r="BN223" s="26"/>
      <c r="BO223" s="26"/>
      <c r="BP223" s="26"/>
      <c r="BQ223" s="26"/>
      <c r="BR223" s="26"/>
      <c r="BS223" s="26"/>
      <c r="BT223" s="26"/>
      <c r="BU223" s="26"/>
      <c r="BV223" s="90"/>
      <c r="BW223" s="26"/>
      <c r="BX223" s="26"/>
      <c r="BY223" s="26"/>
      <c r="BZ223" s="26"/>
      <c r="CA223" s="26"/>
      <c r="CB223" s="26"/>
      <c r="CC223" s="26"/>
      <c r="CD223" s="26"/>
      <c r="CF223" s="26"/>
      <c r="CG223" s="333"/>
      <c r="CH223" s="333"/>
      <c r="CI223" s="333"/>
      <c r="CJ223" s="333"/>
      <c r="CK223" s="333"/>
      <c r="CL223" s="333"/>
      <c r="CM223" s="333"/>
      <c r="CN223" s="333"/>
      <c r="CO223" s="333"/>
      <c r="CP223" s="333"/>
      <c r="CQ223" s="333"/>
      <c r="CR223" s="333"/>
      <c r="CS223" s="333"/>
      <c r="CT223" s="333"/>
      <c r="CU223" s="333"/>
      <c r="CV223" s="333"/>
      <c r="CW223" s="333"/>
      <c r="CX223" s="333"/>
      <c r="CY223" s="333"/>
      <c r="CZ223" s="333"/>
      <c r="DA223" s="333"/>
      <c r="DB223" s="333"/>
      <c r="DC223" s="333"/>
      <c r="DD223" s="333"/>
      <c r="DE223" s="333"/>
      <c r="DF223" s="333"/>
    </row>
    <row r="224" spans="1:110" x14ac:dyDescent="0.25">
      <c r="A224" s="26"/>
      <c r="B224" s="333"/>
      <c r="C224" s="334"/>
      <c r="D224" s="333"/>
      <c r="E224" s="333"/>
      <c r="F224" s="333"/>
      <c r="G224" s="333"/>
      <c r="H224" s="333"/>
      <c r="I224" s="333"/>
      <c r="J224" s="335"/>
      <c r="K224" s="335"/>
      <c r="L224" s="335"/>
      <c r="M224" s="335"/>
      <c r="N224" s="335"/>
      <c r="O224" s="335"/>
      <c r="P224" s="335"/>
      <c r="Q224" s="335"/>
      <c r="R224" s="333"/>
      <c r="S224" s="333"/>
      <c r="T224" s="333"/>
      <c r="U224" s="129"/>
      <c r="V224" s="26"/>
      <c r="W224" s="26"/>
      <c r="X224" s="26"/>
      <c r="Y224" s="26"/>
      <c r="Z224" s="26"/>
      <c r="AA224" s="26"/>
      <c r="AB224" s="28"/>
      <c r="AC224" s="28"/>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128"/>
      <c r="BH224" s="26"/>
      <c r="BI224" s="26"/>
      <c r="BJ224" s="26"/>
      <c r="BK224" s="26"/>
      <c r="BL224" s="26"/>
      <c r="BM224" s="26"/>
      <c r="BN224" s="26"/>
      <c r="BO224" s="26"/>
      <c r="BP224" s="26"/>
      <c r="BQ224" s="26"/>
      <c r="BR224" s="26"/>
      <c r="BS224" s="26"/>
      <c r="BT224" s="26"/>
      <c r="BU224" s="26"/>
      <c r="BV224" s="90"/>
      <c r="BW224" s="26"/>
      <c r="BX224" s="26"/>
      <c r="BY224" s="26"/>
      <c r="BZ224" s="26"/>
      <c r="CA224" s="26"/>
      <c r="CB224" s="26"/>
      <c r="CC224" s="26"/>
      <c r="CD224" s="26"/>
      <c r="CF224" s="26"/>
      <c r="CG224" s="333"/>
      <c r="CH224" s="333"/>
      <c r="CI224" s="333"/>
      <c r="CJ224" s="333"/>
      <c r="CK224" s="333"/>
      <c r="CL224" s="333"/>
      <c r="CM224" s="333"/>
      <c r="CN224" s="333"/>
      <c r="CO224" s="333"/>
      <c r="CP224" s="333"/>
      <c r="CQ224" s="333"/>
      <c r="CR224" s="333"/>
      <c r="CS224" s="333"/>
      <c r="CT224" s="333"/>
      <c r="CU224" s="333"/>
      <c r="CV224" s="333"/>
      <c r="CW224" s="333"/>
      <c r="CX224" s="333"/>
      <c r="CY224" s="333"/>
      <c r="CZ224" s="333"/>
      <c r="DA224" s="333"/>
      <c r="DB224" s="333"/>
      <c r="DC224" s="333"/>
      <c r="DD224" s="333"/>
      <c r="DE224" s="333"/>
      <c r="DF224" s="333"/>
    </row>
    <row r="225" spans="1:110" x14ac:dyDescent="0.25">
      <c r="A225" s="26"/>
      <c r="B225" s="333"/>
      <c r="C225" s="334"/>
      <c r="D225" s="333"/>
      <c r="E225" s="333"/>
      <c r="F225" s="333"/>
      <c r="G225" s="333"/>
      <c r="H225" s="333"/>
      <c r="I225" s="333"/>
      <c r="J225" s="335"/>
      <c r="K225" s="335"/>
      <c r="L225" s="335"/>
      <c r="M225" s="335"/>
      <c r="N225" s="335"/>
      <c r="O225" s="335"/>
      <c r="P225" s="335"/>
      <c r="Q225" s="335"/>
      <c r="R225" s="333"/>
      <c r="S225" s="333"/>
      <c r="T225" s="333"/>
      <c r="U225" s="129"/>
      <c r="V225" s="26"/>
      <c r="W225" s="26"/>
      <c r="X225" s="26"/>
      <c r="Y225" s="26"/>
      <c r="Z225" s="26"/>
      <c r="AA225" s="26"/>
      <c r="AB225" s="28"/>
      <c r="AC225" s="28"/>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128"/>
      <c r="BH225" s="26"/>
      <c r="BI225" s="26"/>
      <c r="BJ225" s="26"/>
      <c r="BK225" s="26"/>
      <c r="BL225" s="26"/>
      <c r="BM225" s="26"/>
      <c r="BN225" s="26"/>
      <c r="BO225" s="26"/>
      <c r="BP225" s="26"/>
      <c r="BQ225" s="26"/>
      <c r="BR225" s="26"/>
      <c r="BS225" s="26"/>
      <c r="BT225" s="26"/>
      <c r="BU225" s="26"/>
      <c r="BV225" s="90"/>
      <c r="BW225" s="26"/>
      <c r="BX225" s="26"/>
      <c r="BY225" s="26"/>
      <c r="BZ225" s="26"/>
      <c r="CA225" s="26"/>
      <c r="CB225" s="26"/>
      <c r="CC225" s="26"/>
      <c r="CD225" s="26"/>
      <c r="CF225" s="26"/>
      <c r="CG225" s="333"/>
      <c r="CH225" s="333"/>
      <c r="CI225" s="333"/>
      <c r="CJ225" s="333"/>
      <c r="CK225" s="333"/>
      <c r="CL225" s="333"/>
      <c r="CM225" s="333"/>
      <c r="CN225" s="333"/>
      <c r="CO225" s="333"/>
      <c r="CP225" s="333"/>
      <c r="CQ225" s="333"/>
      <c r="CR225" s="333"/>
      <c r="CS225" s="333"/>
      <c r="CT225" s="333"/>
      <c r="CU225" s="333"/>
      <c r="CV225" s="333"/>
      <c r="CW225" s="333"/>
      <c r="CX225" s="333"/>
      <c r="CY225" s="333"/>
      <c r="CZ225" s="333"/>
      <c r="DA225" s="333"/>
      <c r="DB225" s="333"/>
      <c r="DC225" s="333"/>
      <c r="DD225" s="333"/>
      <c r="DE225" s="333"/>
      <c r="DF225" s="333"/>
    </row>
    <row r="226" spans="1:110" x14ac:dyDescent="0.25">
      <c r="A226" s="26"/>
      <c r="B226" s="333"/>
      <c r="C226" s="334"/>
      <c r="D226" s="333"/>
      <c r="E226" s="333"/>
      <c r="F226" s="333"/>
      <c r="G226" s="333"/>
      <c r="H226" s="333"/>
      <c r="I226" s="333"/>
      <c r="J226" s="335"/>
      <c r="K226" s="335"/>
      <c r="L226" s="335"/>
      <c r="M226" s="335"/>
      <c r="N226" s="335"/>
      <c r="O226" s="335"/>
      <c r="P226" s="335"/>
      <c r="Q226" s="335"/>
      <c r="R226" s="333"/>
      <c r="S226" s="333"/>
      <c r="T226" s="333"/>
      <c r="U226" s="129"/>
      <c r="V226" s="26"/>
      <c r="W226" s="26"/>
      <c r="X226" s="26"/>
      <c r="Y226" s="26"/>
      <c r="Z226" s="26"/>
      <c r="AA226" s="26"/>
      <c r="AB226" s="28"/>
      <c r="AC226" s="28"/>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128"/>
      <c r="BH226" s="26"/>
      <c r="BI226" s="26"/>
      <c r="BJ226" s="26"/>
      <c r="BK226" s="26"/>
      <c r="BL226" s="26"/>
      <c r="BM226" s="26"/>
      <c r="BN226" s="26"/>
      <c r="BO226" s="26"/>
      <c r="BP226" s="26"/>
      <c r="BQ226" s="26"/>
      <c r="BR226" s="26"/>
      <c r="BS226" s="26"/>
      <c r="BT226" s="26"/>
      <c r="BU226" s="26"/>
      <c r="BV226" s="90"/>
      <c r="BW226" s="26"/>
      <c r="BX226" s="26"/>
      <c r="BY226" s="26"/>
      <c r="BZ226" s="26"/>
      <c r="CA226" s="26"/>
      <c r="CB226" s="26"/>
      <c r="CC226" s="26"/>
      <c r="CD226" s="26"/>
      <c r="CF226" s="26"/>
      <c r="CG226" s="333"/>
      <c r="CH226" s="333"/>
      <c r="CI226" s="333"/>
      <c r="CJ226" s="333"/>
      <c r="CK226" s="333"/>
      <c r="CL226" s="333"/>
      <c r="CM226" s="333"/>
      <c r="CN226" s="333"/>
      <c r="CO226" s="333"/>
      <c r="CP226" s="333"/>
      <c r="CQ226" s="333"/>
      <c r="CR226" s="333"/>
      <c r="CS226" s="333"/>
      <c r="CT226" s="333"/>
      <c r="CU226" s="333"/>
      <c r="CV226" s="333"/>
      <c r="CW226" s="333"/>
      <c r="CX226" s="333"/>
      <c r="CY226" s="333"/>
      <c r="CZ226" s="333"/>
      <c r="DA226" s="333"/>
      <c r="DB226" s="333"/>
      <c r="DC226" s="333"/>
      <c r="DD226" s="333"/>
      <c r="DE226" s="333"/>
      <c r="DF226" s="333"/>
    </row>
    <row r="227" spans="1:110" x14ac:dyDescent="0.25">
      <c r="A227" s="26"/>
      <c r="B227" s="333"/>
      <c r="C227" s="334"/>
      <c r="D227" s="333"/>
      <c r="E227" s="333"/>
      <c r="F227" s="333"/>
      <c r="G227" s="333"/>
      <c r="H227" s="333"/>
      <c r="I227" s="333"/>
      <c r="J227" s="335"/>
      <c r="K227" s="335"/>
      <c r="L227" s="335"/>
      <c r="M227" s="335"/>
      <c r="N227" s="335"/>
      <c r="O227" s="335"/>
      <c r="P227" s="335"/>
      <c r="Q227" s="335"/>
      <c r="R227" s="333"/>
      <c r="S227" s="333"/>
      <c r="T227" s="333"/>
      <c r="U227" s="129"/>
      <c r="V227" s="26"/>
      <c r="W227" s="26"/>
      <c r="X227" s="26"/>
      <c r="Y227" s="26"/>
      <c r="Z227" s="26"/>
      <c r="AA227" s="26"/>
      <c r="AB227" s="28"/>
      <c r="AC227" s="28"/>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128"/>
      <c r="BH227" s="26"/>
      <c r="BI227" s="26"/>
      <c r="BJ227" s="26"/>
      <c r="BK227" s="26"/>
      <c r="BL227" s="26"/>
      <c r="BM227" s="26"/>
      <c r="BN227" s="26"/>
      <c r="BO227" s="26"/>
      <c r="BP227" s="26"/>
      <c r="BQ227" s="26"/>
      <c r="BR227" s="26"/>
      <c r="BS227" s="26"/>
      <c r="BT227" s="26"/>
      <c r="BU227" s="26"/>
      <c r="BV227" s="90"/>
      <c r="BW227" s="26"/>
      <c r="BX227" s="26"/>
      <c r="BY227" s="26"/>
      <c r="BZ227" s="26"/>
      <c r="CA227" s="26"/>
      <c r="CB227" s="26"/>
      <c r="CC227" s="26"/>
      <c r="CD227" s="26"/>
      <c r="CF227" s="26"/>
      <c r="CG227" s="333"/>
      <c r="CH227" s="333"/>
      <c r="CI227" s="333"/>
      <c r="CJ227" s="333"/>
      <c r="CK227" s="333"/>
      <c r="CL227" s="333"/>
      <c r="CM227" s="333"/>
      <c r="CN227" s="333"/>
      <c r="CO227" s="333"/>
      <c r="CP227" s="333"/>
      <c r="CQ227" s="333"/>
      <c r="CR227" s="333"/>
      <c r="CS227" s="333"/>
      <c r="CT227" s="333"/>
      <c r="CU227" s="333"/>
      <c r="CV227" s="333"/>
      <c r="CW227" s="333"/>
      <c r="CX227" s="333"/>
      <c r="CY227" s="333"/>
      <c r="CZ227" s="333"/>
      <c r="DA227" s="333"/>
      <c r="DB227" s="333"/>
      <c r="DC227" s="333"/>
      <c r="DD227" s="333"/>
      <c r="DE227" s="333"/>
      <c r="DF227" s="333"/>
    </row>
    <row r="228" spans="1:110" x14ac:dyDescent="0.25">
      <c r="A228" s="26"/>
      <c r="B228" s="333"/>
      <c r="C228" s="334"/>
      <c r="D228" s="333"/>
      <c r="E228" s="333"/>
      <c r="F228" s="333"/>
      <c r="G228" s="333"/>
      <c r="H228" s="333"/>
      <c r="I228" s="333"/>
      <c r="J228" s="335"/>
      <c r="K228" s="335"/>
      <c r="L228" s="335"/>
      <c r="M228" s="335"/>
      <c r="N228" s="335"/>
      <c r="O228" s="335"/>
      <c r="P228" s="335"/>
      <c r="Q228" s="335"/>
      <c r="R228" s="333"/>
      <c r="S228" s="333"/>
      <c r="T228" s="333"/>
      <c r="U228" s="129"/>
      <c r="V228" s="26"/>
      <c r="X228" s="26"/>
      <c r="Y228" s="26"/>
      <c r="Z228" s="26"/>
      <c r="AA228" s="26"/>
      <c r="AB228" s="28"/>
      <c r="AC228" s="28"/>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128"/>
      <c r="BH228" s="26"/>
      <c r="BI228" s="26"/>
      <c r="BJ228" s="26"/>
      <c r="BK228" s="26"/>
      <c r="BL228" s="26"/>
      <c r="BM228" s="26"/>
      <c r="BN228" s="26"/>
      <c r="BO228" s="26"/>
      <c r="BP228" s="26"/>
      <c r="BQ228" s="26"/>
      <c r="BR228" s="26"/>
      <c r="BS228" s="26"/>
      <c r="BT228" s="26"/>
      <c r="BU228" s="26"/>
      <c r="BV228" s="90"/>
      <c r="BW228" s="26"/>
      <c r="BX228" s="26"/>
      <c r="BY228" s="26"/>
      <c r="BZ228" s="26"/>
      <c r="CA228" s="26"/>
      <c r="CB228" s="26"/>
      <c r="CC228" s="26"/>
      <c r="CD228" s="26"/>
      <c r="CF228" s="26"/>
      <c r="CG228" s="333"/>
      <c r="CH228" s="333"/>
      <c r="CI228" s="333"/>
      <c r="CJ228" s="333"/>
      <c r="CK228" s="333"/>
      <c r="CL228" s="333"/>
      <c r="CM228" s="333"/>
      <c r="CN228" s="333"/>
      <c r="CO228" s="333"/>
      <c r="CP228" s="333"/>
      <c r="CQ228" s="333"/>
      <c r="CR228" s="333"/>
      <c r="CS228" s="333"/>
      <c r="CT228" s="333"/>
      <c r="CU228" s="333"/>
      <c r="CV228" s="333"/>
      <c r="CW228" s="333"/>
      <c r="CX228" s="333"/>
      <c r="CY228" s="333"/>
      <c r="CZ228" s="333"/>
      <c r="DA228" s="333"/>
      <c r="DB228" s="333"/>
      <c r="DC228" s="333"/>
      <c r="DD228" s="333"/>
      <c r="DE228" s="333"/>
      <c r="DF228" s="333"/>
    </row>
    <row r="229" spans="1:110" x14ac:dyDescent="0.25">
      <c r="A229" s="26"/>
      <c r="B229" s="333"/>
      <c r="C229" s="334"/>
      <c r="D229" s="333"/>
      <c r="E229" s="333"/>
      <c r="F229" s="333"/>
      <c r="G229" s="333"/>
      <c r="H229" s="333"/>
      <c r="I229" s="333"/>
      <c r="J229" s="335"/>
      <c r="K229" s="335"/>
      <c r="L229" s="335"/>
      <c r="M229" s="335"/>
      <c r="N229" s="335"/>
      <c r="O229" s="335"/>
      <c r="P229" s="335"/>
      <c r="Q229" s="335"/>
      <c r="R229" s="333"/>
      <c r="S229" s="333"/>
      <c r="T229" s="333"/>
      <c r="U229" s="129"/>
      <c r="V229" s="26"/>
      <c r="X229" s="26"/>
      <c r="Y229" s="26"/>
      <c r="Z229" s="26"/>
      <c r="AA229" s="26"/>
      <c r="AB229" s="28"/>
      <c r="AC229" s="28"/>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128"/>
      <c r="BH229" s="26"/>
      <c r="BI229" s="26"/>
      <c r="BJ229" s="26"/>
      <c r="BK229" s="26"/>
      <c r="BL229" s="26"/>
      <c r="BM229" s="26"/>
      <c r="BN229" s="26"/>
      <c r="BO229" s="26"/>
      <c r="BP229" s="26"/>
      <c r="BQ229" s="26"/>
      <c r="BR229" s="26"/>
      <c r="BS229" s="26"/>
      <c r="BT229" s="26"/>
      <c r="BU229" s="26"/>
      <c r="BV229" s="90"/>
      <c r="BW229" s="26"/>
      <c r="BX229" s="26"/>
      <c r="BY229" s="26"/>
      <c r="BZ229" s="26"/>
      <c r="CA229" s="26"/>
      <c r="CB229" s="26"/>
      <c r="CC229" s="26"/>
      <c r="CD229" s="26"/>
      <c r="CF229" s="26"/>
      <c r="CG229" s="333"/>
      <c r="CH229" s="333"/>
      <c r="CI229" s="333"/>
      <c r="CJ229" s="333"/>
      <c r="CK229" s="333"/>
      <c r="CL229" s="333"/>
      <c r="CM229" s="333"/>
      <c r="CN229" s="333"/>
      <c r="CO229" s="333"/>
      <c r="CP229" s="333"/>
      <c r="CQ229" s="333"/>
      <c r="CR229" s="333"/>
      <c r="CS229" s="333"/>
      <c r="CT229" s="333"/>
      <c r="CU229" s="333"/>
      <c r="CV229" s="333"/>
      <c r="CW229" s="333"/>
      <c r="CX229" s="333"/>
      <c r="CY229" s="333"/>
      <c r="CZ229" s="333"/>
      <c r="DA229" s="333"/>
      <c r="DB229" s="333"/>
      <c r="DC229" s="333"/>
      <c r="DD229" s="333"/>
      <c r="DE229" s="333"/>
      <c r="DF229" s="333"/>
    </row>
  </sheetData>
  <sheetProtection algorithmName="SHA-512" hashValue="F1L21jCH99Wjo8MinM64FFi0aICWVFY5hDo3xH+YNBWOKzFjewH849cTxggY9gG59RAw3apYbbgWKJ/TVX0nCA==" saltValue="66A/XibDNB34BZJ/JZ4hEA==" spinCount="100000" sheet="1" objects="1" scenarios="1" selectLockedCells="1" autoFilter="0"/>
  <autoFilter ref="B25:B65">
    <filterColumn colId="0">
      <filters>
        <filter val="5"/>
      </filters>
    </filterColumn>
  </autoFilter>
  <dataConsolidate/>
  <mergeCells count="137">
    <mergeCell ref="P19:R20"/>
    <mergeCell ref="B72:O72"/>
    <mergeCell ref="Q72:R72"/>
    <mergeCell ref="BC24:BC25"/>
    <mergeCell ref="BK22:BS22"/>
    <mergeCell ref="BK23:BL23"/>
    <mergeCell ref="BK24:BK25"/>
    <mergeCell ref="BQ24:BQ25"/>
    <mergeCell ref="BR24:BR25"/>
    <mergeCell ref="BP24:BP25"/>
    <mergeCell ref="BL24:BL25"/>
    <mergeCell ref="BD24:BD25"/>
    <mergeCell ref="BS24:BS25"/>
    <mergeCell ref="BA24:BA25"/>
    <mergeCell ref="Q24:Q25"/>
    <mergeCell ref="P23:Q23"/>
    <mergeCell ref="R23:R25"/>
    <mergeCell ref="AS22:AS25"/>
    <mergeCell ref="V22:V25"/>
    <mergeCell ref="X22:X25"/>
    <mergeCell ref="BQ23:BS23"/>
    <mergeCell ref="AZ22:AZ25"/>
    <mergeCell ref="P22:R22"/>
    <mergeCell ref="P24:P25"/>
    <mergeCell ref="CO22:CO25"/>
    <mergeCell ref="CJ22:CJ25"/>
    <mergeCell ref="CK22:CK25"/>
    <mergeCell ref="CL22:CL25"/>
    <mergeCell ref="CM22:CM25"/>
    <mergeCell ref="CN22:CN25"/>
    <mergeCell ref="BV22:BV25"/>
    <mergeCell ref="BU22:BU25"/>
    <mergeCell ref="CI22:CI25"/>
    <mergeCell ref="BX22:BX25"/>
    <mergeCell ref="T22:T25"/>
    <mergeCell ref="Y22:Y25"/>
    <mergeCell ref="W22:W25"/>
    <mergeCell ref="AB22:AB25"/>
    <mergeCell ref="BT22:BT25"/>
    <mergeCell ref="BH22:BH25"/>
    <mergeCell ref="AM22:AQ23"/>
    <mergeCell ref="AH22:AL23"/>
    <mergeCell ref="AC22:AG23"/>
    <mergeCell ref="BI22:BI25"/>
    <mergeCell ref="AX22:AX25"/>
    <mergeCell ref="BB24:BB25"/>
    <mergeCell ref="BE22:BE25"/>
    <mergeCell ref="AJ24:AK24"/>
    <mergeCell ref="AO24:AP24"/>
    <mergeCell ref="AR22:AR25"/>
    <mergeCell ref="BF22:BF25"/>
    <mergeCell ref="H64:I64"/>
    <mergeCell ref="H65:I65"/>
    <mergeCell ref="H60:I60"/>
    <mergeCell ref="H46:I46"/>
    <mergeCell ref="N9:O9"/>
    <mergeCell ref="N8:O8"/>
    <mergeCell ref="D16:F16"/>
    <mergeCell ref="AT22:AT25"/>
    <mergeCell ref="AU22:AU25"/>
    <mergeCell ref="M22:O22"/>
    <mergeCell ref="H22:I25"/>
    <mergeCell ref="J23:J25"/>
    <mergeCell ref="E22:E24"/>
    <mergeCell ref="O19:O20"/>
    <mergeCell ref="D22:D24"/>
    <mergeCell ref="F22:F24"/>
    <mergeCell ref="M23:M25"/>
    <mergeCell ref="G22:G24"/>
    <mergeCell ref="H16:N16"/>
    <mergeCell ref="K23:K25"/>
    <mergeCell ref="L23:L25"/>
    <mergeCell ref="N23:N25"/>
    <mergeCell ref="O23:O25"/>
    <mergeCell ref="D9:L9"/>
    <mergeCell ref="H63:I63"/>
    <mergeCell ref="H61:I61"/>
    <mergeCell ref="H62:I62"/>
    <mergeCell ref="H47:I47"/>
    <mergeCell ref="J22:L22"/>
    <mergeCell ref="H40:I40"/>
    <mergeCell ref="BM23:BP23"/>
    <mergeCell ref="BJ22:BJ25"/>
    <mergeCell ref="BJ26:BJ65"/>
    <mergeCell ref="BI26:BI65"/>
    <mergeCell ref="BM24:BM25"/>
    <mergeCell ref="BN24:BN25"/>
    <mergeCell ref="BO24:BO25"/>
    <mergeCell ref="BG22:BG25"/>
    <mergeCell ref="BA22:BB23"/>
    <mergeCell ref="AE24:AF24"/>
    <mergeCell ref="AW22:AW25"/>
    <mergeCell ref="AV22:AV25"/>
    <mergeCell ref="BC22:BD23"/>
    <mergeCell ref="AY22:AY25"/>
    <mergeCell ref="AA22:AA25"/>
    <mergeCell ref="Z22:Z25"/>
    <mergeCell ref="U22:U25"/>
    <mergeCell ref="H59:I59"/>
    <mergeCell ref="H30:I30"/>
    <mergeCell ref="H41:I41"/>
    <mergeCell ref="H42:I42"/>
    <mergeCell ref="H43:I43"/>
    <mergeCell ref="H36:I36"/>
    <mergeCell ref="H58:I58"/>
    <mergeCell ref="H37:I37"/>
    <mergeCell ref="H38:I38"/>
    <mergeCell ref="H39:I39"/>
    <mergeCell ref="H49:I49"/>
    <mergeCell ref="H50:I50"/>
    <mergeCell ref="H56:I56"/>
    <mergeCell ref="H57:I57"/>
    <mergeCell ref="H51:I51"/>
    <mergeCell ref="P8:R9"/>
    <mergeCell ref="D8:L8"/>
    <mergeCell ref="L68:O68"/>
    <mergeCell ref="L69:O69"/>
    <mergeCell ref="L70:O70"/>
    <mergeCell ref="O16:O17"/>
    <mergeCell ref="C75:E75"/>
    <mergeCell ref="S99:T99"/>
    <mergeCell ref="H28:I28"/>
    <mergeCell ref="H26:I26"/>
    <mergeCell ref="H27:I27"/>
    <mergeCell ref="H29:I29"/>
    <mergeCell ref="H52:I52"/>
    <mergeCell ref="H53:I53"/>
    <mergeCell ref="H54:I54"/>
    <mergeCell ref="H55:I55"/>
    <mergeCell ref="H48:I48"/>
    <mergeCell ref="H44:I44"/>
    <mergeCell ref="H45:I45"/>
    <mergeCell ref="H32:I32"/>
    <mergeCell ref="H33:I33"/>
    <mergeCell ref="H34:I34"/>
    <mergeCell ref="H35:I35"/>
    <mergeCell ref="H31:I31"/>
  </mergeCells>
  <phoneticPr fontId="3" type="noConversion"/>
  <conditionalFormatting sqref="R26:R65">
    <cfRule type="expression" dxfId="114" priority="49" stopIfTrue="1">
      <formula>$EC26&gt;0</formula>
    </cfRule>
    <cfRule type="expression" dxfId="113" priority="50" stopIfTrue="1">
      <formula>BQ26</formula>
    </cfRule>
    <cfRule type="expression" dxfId="112" priority="51" stopIfTrue="1">
      <formula>BR26</formula>
    </cfRule>
  </conditionalFormatting>
  <conditionalFormatting sqref="Q26:Q65">
    <cfRule type="expression" dxfId="111" priority="33" stopIfTrue="1">
      <formula>$EC26&gt;0</formula>
    </cfRule>
    <cfRule type="expression" dxfId="110" priority="46" stopIfTrue="1">
      <formula>BM26</formula>
    </cfRule>
    <cfRule type="expression" dxfId="109" priority="52" stopIfTrue="1">
      <formula>BN26</formula>
    </cfRule>
    <cfRule type="expression" dxfId="108" priority="53" stopIfTrue="1">
      <formula>BO26</formula>
    </cfRule>
    <cfRule type="expression" dxfId="107" priority="54" stopIfTrue="1">
      <formula>$BP26</formula>
    </cfRule>
  </conditionalFormatting>
  <conditionalFormatting sqref="P26:P65">
    <cfRule type="expression" dxfId="106" priority="32" stopIfTrue="1">
      <formula>$EC26&gt;0</formula>
    </cfRule>
    <cfRule type="expression" dxfId="105" priority="55" stopIfTrue="1">
      <formula>BQ26</formula>
    </cfRule>
    <cfRule type="expression" dxfId="104" priority="56" stopIfTrue="1">
      <formula>$BR26</formula>
    </cfRule>
  </conditionalFormatting>
  <conditionalFormatting sqref="H26:H28 H69:H71 H67 H34:H65">
    <cfRule type="expression" dxfId="103" priority="61" stopIfTrue="1">
      <formula>ISNA($BX26)</formula>
    </cfRule>
  </conditionalFormatting>
  <conditionalFormatting sqref="I67:I71">
    <cfRule type="cellIs" dxfId="102" priority="62" stopIfTrue="1" operator="equal">
      <formula>$I$125</formula>
    </cfRule>
  </conditionalFormatting>
  <conditionalFormatting sqref="H16">
    <cfRule type="expression" dxfId="101" priority="66" stopIfTrue="1">
      <formula>$CB$14&gt;$CB$15</formula>
    </cfRule>
    <cfRule type="expression" dxfId="100" priority="67" stopIfTrue="1">
      <formula>$CB$14=$CB$15</formula>
    </cfRule>
    <cfRule type="expression" dxfId="99" priority="68" stopIfTrue="1">
      <formula>$CB$14&lt;$CB$15</formula>
    </cfRule>
  </conditionalFormatting>
  <conditionalFormatting sqref="D25">
    <cfRule type="expression" dxfId="98" priority="69" stopIfTrue="1">
      <formula>$J$99</formula>
    </cfRule>
    <cfRule type="expression" dxfId="97" priority="70" stopIfTrue="1">
      <formula>NOT($J$99)</formula>
    </cfRule>
  </conditionalFormatting>
  <conditionalFormatting sqref="F25">
    <cfRule type="expression" dxfId="96" priority="71" stopIfTrue="1">
      <formula>$J$99</formula>
    </cfRule>
    <cfRule type="expression" dxfId="95" priority="72" stopIfTrue="1">
      <formula>NOT($J$99)</formula>
    </cfRule>
  </conditionalFormatting>
  <conditionalFormatting sqref="G25">
    <cfRule type="expression" dxfId="94" priority="73" stopIfTrue="1">
      <formula>$J$99</formula>
    </cfRule>
    <cfRule type="expression" dxfId="93" priority="74" stopIfTrue="1">
      <formula>NOT($J$99)</formula>
    </cfRule>
  </conditionalFormatting>
  <conditionalFormatting sqref="E25">
    <cfRule type="expression" dxfId="92" priority="75" stopIfTrue="1">
      <formula>$J$99</formula>
    </cfRule>
    <cfRule type="expression" dxfId="91" priority="76" stopIfTrue="1">
      <formula>NOT($J$99)</formula>
    </cfRule>
  </conditionalFormatting>
  <conditionalFormatting sqref="P22:R25">
    <cfRule type="expression" dxfId="90" priority="80" stopIfTrue="1">
      <formula>$J$108="Green"</formula>
    </cfRule>
    <cfRule type="expression" dxfId="89" priority="81" stopIfTrue="1">
      <formula>$J$109="Red"</formula>
    </cfRule>
  </conditionalFormatting>
  <conditionalFormatting sqref="P70">
    <cfRule type="expression" dxfId="88" priority="82" stopIfTrue="1">
      <formula>AM68&gt;0</formula>
    </cfRule>
  </conditionalFormatting>
  <conditionalFormatting sqref="P69">
    <cfRule type="expression" dxfId="87" priority="83" stopIfTrue="1">
      <formula>AH68&gt;0</formula>
    </cfRule>
  </conditionalFormatting>
  <conditionalFormatting sqref="P68">
    <cfRule type="expression" dxfId="86" priority="84" stopIfTrue="1">
      <formula>AC68&gt;0</formula>
    </cfRule>
  </conditionalFormatting>
  <conditionalFormatting sqref="Q68">
    <cfRule type="expression" dxfId="85" priority="85" stopIfTrue="1">
      <formula>AND($R$136,$AC$68&gt;0,I110)</formula>
    </cfRule>
    <cfRule type="expression" dxfId="84" priority="86" stopIfTrue="1">
      <formula>AND($R$148,$AC$68&gt;0,I110)</formula>
    </cfRule>
  </conditionalFormatting>
  <conditionalFormatting sqref="Q70">
    <cfRule type="expression" dxfId="83" priority="87" stopIfTrue="1">
      <formula>AND($R$144,$AM$68&gt;0,I110)</formula>
    </cfRule>
    <cfRule type="expression" dxfId="82" priority="88" stopIfTrue="1">
      <formula>AND($R$156,$AM$68&gt;0,I110)</formula>
    </cfRule>
  </conditionalFormatting>
  <conditionalFormatting sqref="Q72">
    <cfRule type="expression" dxfId="81" priority="89" stopIfTrue="1">
      <formula>$I$109</formula>
    </cfRule>
    <cfRule type="expression" dxfId="80" priority="90" stopIfTrue="1">
      <formula>$I$108</formula>
    </cfRule>
    <cfRule type="expression" dxfId="79" priority="91" stopIfTrue="1">
      <formula>NOT($I$110)</formula>
    </cfRule>
  </conditionalFormatting>
  <conditionalFormatting sqref="Q69">
    <cfRule type="expression" dxfId="78" priority="92" stopIfTrue="1">
      <formula>AND($R$140,$AH$68&gt;0,I110)</formula>
    </cfRule>
    <cfRule type="expression" dxfId="77" priority="93" stopIfTrue="1">
      <formula>AND($R$152,$AH$68&gt;0,I110)</formula>
    </cfRule>
  </conditionalFormatting>
  <conditionalFormatting sqref="P16:R17">
    <cfRule type="expression" dxfId="76" priority="48">
      <formula>$O$16&lt;&gt;""</formula>
    </cfRule>
  </conditionalFormatting>
  <conditionalFormatting sqref="J26:J65">
    <cfRule type="expression" dxfId="75" priority="42">
      <formula>-OR(DM26&lt;&gt;"OK",DN26&lt;&gt;"OK")</formula>
    </cfRule>
  </conditionalFormatting>
  <conditionalFormatting sqref="M26:M65">
    <cfRule type="expression" dxfId="74" priority="151" stopIfTrue="1">
      <formula>-OR(DX26&lt;&gt;"OK",DY26&lt;&gt;"OK")</formula>
    </cfRule>
  </conditionalFormatting>
  <conditionalFormatting sqref="B22:C25">
    <cfRule type="expression" dxfId="73" priority="31">
      <formula>RowsPreferredTwo&lt;&gt;RowsShownTwo</formula>
    </cfRule>
  </conditionalFormatting>
  <conditionalFormatting sqref="C26:C65">
    <cfRule type="expression" dxfId="72" priority="30">
      <formula>ISBLANK(D26)</formula>
    </cfRule>
  </conditionalFormatting>
  <conditionalFormatting sqref="G16">
    <cfRule type="cellIs" dxfId="71" priority="29" operator="lessThan">
      <formula>RowsFilledTwo</formula>
    </cfRule>
  </conditionalFormatting>
  <conditionalFormatting sqref="L26:L65">
    <cfRule type="expression" dxfId="70" priority="24">
      <formula>AND(J26=FixedDim,L26&gt;0, L26&lt;1)</formula>
    </cfRule>
    <cfRule type="expression" dxfId="69" priority="25">
      <formula>OR(AND($J26=FixedDim),AND($J26=FixedDim))</formula>
    </cfRule>
  </conditionalFormatting>
  <conditionalFormatting sqref="N26:N65">
    <cfRule type="expression" dxfId="68" priority="34" stopIfTrue="1">
      <formula>AND(OR(M26=ProgDim),N26&gt;=0.75,N26&lt;1)</formula>
    </cfRule>
    <cfRule type="expression" dxfId="67" priority="37" stopIfTrue="1">
      <formula>OR(AND(OR(M26=ProgDim),N26=0),AND(OR(M26&lt;&gt;ProgDim),N26&gt;0))</formula>
    </cfRule>
  </conditionalFormatting>
  <conditionalFormatting sqref="O26:O65">
    <cfRule type="expression" dxfId="66" priority="23">
      <formula>AND(M26=FixedDim,O26&gt;0, O26&lt;=1)</formula>
    </cfRule>
    <cfRule type="expression" dxfId="65" priority="38">
      <formula>OR(AND($M26=FixedDim,ISBLANK($O26)))</formula>
    </cfRule>
  </conditionalFormatting>
  <conditionalFormatting sqref="Q95">
    <cfRule type="expression" dxfId="64" priority="18">
      <formula>AND(O95=FixedDim,Q95&gt;0, Q95&lt;1, P95&gt;0)</formula>
    </cfRule>
    <cfRule type="expression" dxfId="63" priority="19">
      <formula>OR(AND(P95&lt;1,$O95=FixedDim),AND($O95=FixedDim,P95=0))</formula>
    </cfRule>
  </conditionalFormatting>
  <conditionalFormatting sqref="K26:K65">
    <cfRule type="expression" dxfId="62" priority="40" stopIfTrue="1">
      <formula>AND(OR(J26=ProgDim,J26=V2FixedDim,J26=V2ManualDim,J26=V2ProgDim),K26&gt;=0.75,K26&lt;1)</formula>
    </cfRule>
    <cfRule type="expression" dxfId="61" priority="58" stopIfTrue="1">
      <formula>OR(AND(OR(J26=ProgDim,J26=V2ProgDim,J26=V2ManualDim,J26=V2FixedDim),K26=0),AND(OR(J26&lt;&gt;ProgDim),K26&gt;0))</formula>
    </cfRule>
  </conditionalFormatting>
  <conditionalFormatting sqref="H29">
    <cfRule type="expression" dxfId="60" priority="9" stopIfTrue="1">
      <formula>ISNA($BX29)</formula>
    </cfRule>
  </conditionalFormatting>
  <conditionalFormatting sqref="H30">
    <cfRule type="expression" dxfId="59" priority="8" stopIfTrue="1">
      <formula>ISNA($BX30)</formula>
    </cfRule>
  </conditionalFormatting>
  <conditionalFormatting sqref="H31">
    <cfRule type="expression" dxfId="58" priority="7" stopIfTrue="1">
      <formula>ISNA($BX31)</formula>
    </cfRule>
  </conditionalFormatting>
  <conditionalFormatting sqref="H32">
    <cfRule type="expression" dxfId="57" priority="6" stopIfTrue="1">
      <formula>ISNA($BX32)</formula>
    </cfRule>
  </conditionalFormatting>
  <conditionalFormatting sqref="H33">
    <cfRule type="expression" dxfId="56" priority="5" stopIfTrue="1">
      <formula>ISNA($BX33)</formula>
    </cfRule>
  </conditionalFormatting>
  <conditionalFormatting sqref="L68:O70">
    <cfRule type="cellIs" dxfId="55" priority="4" operator="notEqual">
      <formula>""</formula>
    </cfRule>
  </conditionalFormatting>
  <conditionalFormatting sqref="B72:O72">
    <cfRule type="expression" dxfId="54" priority="3">
      <formula>$B$72&lt;&gt;""</formula>
    </cfRule>
  </conditionalFormatting>
  <conditionalFormatting sqref="P19">
    <cfRule type="expression" dxfId="53" priority="41">
      <formula>$O$19="Input Alert"</formula>
    </cfRule>
    <cfRule type="expression" dxfId="52" priority="43">
      <formula>$O$19="Advisory Note"</formula>
    </cfRule>
  </conditionalFormatting>
  <conditionalFormatting sqref="D26:I65">
    <cfRule type="expression" dxfId="51" priority="2">
      <formula>$AW26=TRUE</formula>
    </cfRule>
  </conditionalFormatting>
  <conditionalFormatting sqref="P8">
    <cfRule type="expression" dxfId="50" priority="1" stopIfTrue="1">
      <formula>$P$8&lt;&gt;""</formula>
    </cfRule>
  </conditionalFormatting>
  <dataValidations disablePrompts="1" xWindow="594" yWindow="564" count="15">
    <dataValidation type="custom" operator="lessThan" showInputMessage="1" showErrorMessage="1" errorTitle="Invalid dimmer setting %" error="Adjustment Factor '(k) Fixed dimming' must be selected to use this cell._x000a_'% of floor area controlled' must be entered at left and value here must be less than 95%._x000a__x000a_Click Cancel and start again. (Do NOT click Retry.) _x000a_" promptTitle="Dimmed % of full power " prompt="Applies  only when the Adjustment Factor '(k) Fixed dimming' has been selected (at left). _x000a_Enter the % of full power to which the dimmer is set. (No benefit unless % is less than 95%.)_x000a__x000a_For all other Adjustment Factors, disregard this cell." sqref="Q95">
      <formula1>AND(O95=FixedDim,P95&gt;=0.75,Q95&lt;0.95)</formula1>
    </dataValidation>
    <dataValidation type="decimal" operator="greaterThan" allowBlank="1" showInputMessage="1" showErrorMessage="1" errorTitle="Floor Area" error="The floor areas must be numerical and is measured in m²" sqref="F26:F65">
      <formula1>0.1</formula1>
    </dataValidation>
    <dataValidation type="decimal" operator="greaterThan" allowBlank="1" showInputMessage="1" showErrorMessage="1" errorTitle="Design Illumination Power Load" error="The design illumination power load must be numerical and is measured in Watts.  " sqref="G26:G65">
      <formula1>0.1</formula1>
    </dataValidation>
    <dataValidation type="list" showInputMessage="1" showErrorMessage="1" sqref="H26:I65">
      <formula1>ValidLocationsTwo</formula1>
    </dataValidation>
    <dataValidation type="list" allowBlank="1" showInputMessage="1" showErrorMessage="1" sqref="E26:E65">
      <formula1>$E$84:$E$93</formula1>
    </dataValidation>
    <dataValidation type="whole" allowBlank="1" showErrorMessage="1" errorTitle="Unsuitable number" error="Enter a number no smaller than the number of rows with data already present and no larger than 40." sqref="G16">
      <formula1>RowsFilledTwo</formula1>
      <formula2>40</formula2>
    </dataValidation>
    <dataValidation type="list" allowBlank="1" showInputMessage="1" showErrorMessage="1" sqref="M26:M65">
      <formula1>IF($E26=$E$89, ValidControlsRes, ValidControlsResParts)</formula1>
    </dataValidation>
    <dataValidation type="custom" operator="greaterThanOrEqual" showInputMessage="1" showErrorMessage="1" errorTitle="Invalid % of floor area" error="An appropriate Adjustment Factor must be selected to use this cell._x000a_At least 75% of the floor area must be controlled by dimmers to use this Adjustment Factor._x000a__x000a_Click Cancel and start again. (Do NOT click Retry.)" promptTitle="% of floor area dimmed" prompt="Applies only when an associated Adjustment Factor is selected (at left) and where at least 75% of the floor area is controlled by dimmers." sqref="K26:K65">
      <formula1>IF(OR(J26=ProgDim,J26=V2ManualDim,J26=V2ProgDim,J26=V2FixedDim),AND(K26&gt;=0.75,K26&lt;=1),"")</formula1>
    </dataValidation>
    <dataValidation type="custom" operator="greaterThanOrEqual" showInputMessage="1" showErrorMessage="1" errorTitle="Invalid % of floor area" error="Adjustment Factor (d) must be selected to use this cell._x000a_At least 75% of the floor area must be controlled by fixed dimmers to use this Adjustment Factor._x000a__x000a_Click Cancel and start again. (Do NOT click Retry.)" promptTitle="% of floor area dimmed" prompt="Applies only when the Adjustment Factor '(d) Programmable dimming' is selected (at left) and where at least 75% of the floor area is controlled by dimmers." sqref="N26:N65">
      <formula1>IF(OR(M26=ProgDim),AND(N26&gt;=0.75,N26&lt;=1),"")</formula1>
    </dataValidation>
    <dataValidation type="custom" operator="lessThan" showInputMessage="1" showErrorMessage="1" errorTitle="Invalid dimmer setting %" error="Adjustment Factor '(k) Fixed dimming' must be selected to use this cell._x000a_'% of floor area controlled' must be entered at left and value here must be less than 95%._x000a__x000a_Click Cancel and start again. (Do NOT click Retry.) _x000a_" promptTitle="Dimmed % of full power " prompt="Applies  only when the Adjustment Factor '(k) Fixed dimming' has been selected (at left). _x000a_Enter the % of full power to which the dimmer is set. (No benefit unless % is less than 95%.)_x000a__x000a_For all other Adjustment Factors, disregard this cell." sqref="Q95">
      <formula1>AND(O95=FixedDim,Q95&gt;=0,Q95&lt;=1)</formula1>
    </dataValidation>
    <dataValidation type="custom" operator="lessThan" showInputMessage="1" showErrorMessage="1" errorTitle="Invalid illuminance turndown" error="Adjustment Factor '(e) Fixed dimming' must be selected to use this cell._x000a__x000a_Click Cancel and start again. (Do NOT click Retry.) " promptTitle="Illuminance Turndown" prompt="Applies only when the Adjustment Factor '(e) Fixed dimming' has been selected (at left). _x000a_Enter the illuminance turndown for the fixed dimming._x000a__x000a_For all other Adjustment Factors, disregard this cell." sqref="L26:L65">
      <formula1>AND(J26=FixedDim,L26&gt;=0,L26&lt;=1)</formula1>
    </dataValidation>
    <dataValidation type="list" allowBlank="1" showInputMessage="1" showErrorMessage="1" sqref="J26:J65">
      <formula1>IF(OR($E26=$E$87,ClassificationTwo=Class2,ClassificationTwo=Class4), ValidControlsRes, ValidControlsResParts)</formula1>
    </dataValidation>
    <dataValidation type="custom" operator="lessThan" showInputMessage="1" showErrorMessage="1" errorTitle="Invalid illuminance turndown" error="Adjustment Factor '(e) Fixed dimming' must be selected to use this cell._x000a_The illuminance turndown must be between 0 and 100%._x000a__x000a_Click Cancel and start again. (Do NOT click Retry.) _x000a_" promptTitle="Illuminance Turndown" prompt="Applies only when the Adjustment Factor '(e) Fixed dimming' has been selected (at left). _x000a_Enter the illuminance turndown for the fixed dimming._x000a__x000a_For all other Adjustment Factors, disregard this cell." sqref="O26:O65">
      <formula1>AND(M26=FixedDim,O26&gt;=0,O26&lt;=1)</formula1>
    </dataValidation>
    <dataValidation type="custom" operator="lessThan" showInputMessage="1" showErrorMessage="1" errorTitle="Invalid illuminance turndown" error="Adjustment Factor '(e) Fixed dimming' must be selected to use this cell._x000a__x000a_Click Cancel and start again. (Do NOT click Retry.) _x000a_" promptTitle="Dimmed % of full power " prompt="Applies only when the Adjustment Factor '(e) Fixed dimming' has been selected (at left). _x000a_Enter the illuminance turndown for the fixed dimming._x000a__x000a_For all other Adjustment Factors, disregard this cell." sqref="O26:O65">
      <formula1>AND(M26=FixedDim,O26&gt;=0,O26&lt;0.95)</formula1>
    </dataValidation>
    <dataValidation type="list" allowBlank="1" showInputMessage="1" showErrorMessage="1" sqref="N9">
      <formula1>$W$105:$W$106</formula1>
    </dataValidation>
  </dataValidations>
  <pageMargins left="0.25" right="0.25" top="0.75" bottom="0.75" header="0.3" footer="0.3"/>
  <pageSetup paperSize="9" scale="35" orientation="landscape" r:id="rId1"/>
  <headerFooter alignWithMargins="0"/>
  <ignoredErrors>
    <ignoredError sqref="U104 R26:R65 P26:P31" evalError="1"/>
    <ignoredError sqref="DF37:DJ65 AR37:AR38 AR39:AR65 AW37:AY65" formulaRange="1"/>
  </ignoredErrors>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filterMode="1">
    <outlinePr showOutlineSymbols="0"/>
    <pageSetUpPr fitToPage="1"/>
  </sheetPr>
  <dimension ref="A1:DZ664"/>
  <sheetViews>
    <sheetView showGridLines="0" showOutlineSymbols="0" topLeftCell="E1" zoomScale="85" zoomScaleNormal="85" zoomScaleSheetLayoutView="70" workbookViewId="0">
      <selection activeCell="E11" sqref="E11:N11"/>
    </sheetView>
  </sheetViews>
  <sheetFormatPr defaultColWidth="8.81640625" defaultRowHeight="12.5" outlineLevelRow="1" outlineLevelCol="1" x14ac:dyDescent="0.25"/>
  <cols>
    <col min="1" max="1" width="1" style="26" customWidth="1"/>
    <col min="2" max="2" width="1.81640625" style="26" hidden="1" customWidth="1"/>
    <col min="3" max="3" width="2.26953125" style="10" customWidth="1"/>
    <col min="4" max="4" width="3.81640625" style="9" customWidth="1"/>
    <col min="5" max="5" width="15.7265625" style="10" customWidth="1"/>
    <col min="6" max="6" width="9.453125" style="10" customWidth="1"/>
    <col min="7" max="7" width="21.453125" style="10" customWidth="1"/>
    <col min="8" max="8" width="12.81640625" style="10" customWidth="1"/>
    <col min="9" max="9" width="16.7265625" style="10" customWidth="1"/>
    <col min="10" max="10" width="32.54296875" style="10" customWidth="1"/>
    <col min="11" max="11" width="5.7265625" style="10" hidden="1" customWidth="1"/>
    <col min="12" max="12" width="14.54296875" style="12" customWidth="1"/>
    <col min="13" max="13" width="21.453125" style="12" customWidth="1"/>
    <col min="14" max="14" width="19.26953125" style="12" customWidth="1"/>
    <col min="15" max="15" width="13.1796875" style="12" customWidth="1"/>
    <col min="16" max="16" width="15" style="12" customWidth="1"/>
    <col min="17" max="17" width="17.54296875" style="12" customWidth="1"/>
    <col min="18" max="18" width="13" style="287" customWidth="1"/>
    <col min="19" max="19" width="14.54296875" style="12" customWidth="1"/>
    <col min="20" max="20" width="17.1796875" style="12" customWidth="1"/>
    <col min="21" max="21" width="17.1796875" style="286" customWidth="1"/>
    <col min="22" max="22" width="23.453125" style="286" customWidth="1"/>
    <col min="23" max="23" width="21.1796875" style="286" customWidth="1"/>
    <col min="24" max="24" width="21" style="10" hidden="1" customWidth="1" outlineLevel="1"/>
    <col min="25" max="25" width="36.26953125" style="10" hidden="1" customWidth="1" outlineLevel="1"/>
    <col min="26" max="29" width="10.7265625" style="10" hidden="1" customWidth="1" outlineLevel="1"/>
    <col min="30" max="33" width="11.26953125" style="10" hidden="1" customWidth="1" outlineLevel="1"/>
    <col min="34" max="35" width="11.26953125" style="13" hidden="1" customWidth="1" outlineLevel="1"/>
    <col min="36" max="36" width="11.26953125" style="10" hidden="1" customWidth="1" outlineLevel="1"/>
    <col min="37" max="37" width="9.1796875" style="10" hidden="1" customWidth="1" outlineLevel="1"/>
    <col min="38" max="38" width="11" style="10" hidden="1" customWidth="1" outlineLevel="1"/>
    <col min="39" max="41" width="9.1796875" style="10" hidden="1" customWidth="1" outlineLevel="1"/>
    <col min="42" max="43" width="11.81640625" style="10" hidden="1" customWidth="1" outlineLevel="1"/>
    <col min="44" max="45" width="12.1796875" style="10" hidden="1" customWidth="1" outlineLevel="1"/>
    <col min="46" max="46" width="11.26953125" style="10" hidden="1" customWidth="1" outlineLevel="1"/>
    <col min="47" max="47" width="12.453125" style="10" hidden="1" customWidth="1" outlineLevel="1"/>
    <col min="48" max="48" width="9.1796875" style="10" hidden="1" customWidth="1" outlineLevel="1"/>
    <col min="49" max="49" width="11.1796875" style="10" hidden="1" customWidth="1" outlineLevel="1"/>
    <col min="50" max="50" width="32" style="284" hidden="1" customWidth="1" outlineLevel="1"/>
    <col min="51" max="51" width="34.54296875" style="284" hidden="1" customWidth="1" outlineLevel="1"/>
    <col min="52" max="52" width="37.453125" style="284" hidden="1" customWidth="1" outlineLevel="1"/>
    <col min="53" max="53" width="20.1796875" style="10" hidden="1" customWidth="1" outlineLevel="1"/>
    <col min="54" max="54" width="9.453125" style="10" hidden="1" customWidth="1" outlineLevel="1"/>
    <col min="55" max="55" width="11.81640625" style="10" hidden="1" customWidth="1" outlineLevel="1"/>
    <col min="56" max="56" width="10.81640625" style="10" hidden="1" customWidth="1" outlineLevel="1"/>
    <col min="57" max="58" width="9" style="10" hidden="1" customWidth="1" outlineLevel="1"/>
    <col min="59" max="62" width="11.7265625" style="10" hidden="1" customWidth="1" outlineLevel="1"/>
    <col min="63" max="63" width="8.1796875" style="10" hidden="1" customWidth="1" outlineLevel="1"/>
    <col min="64" max="64" width="11.81640625" style="91" hidden="1" customWidth="1" outlineLevel="1"/>
    <col min="65" max="65" width="13" style="10" hidden="1" customWidth="1" outlineLevel="1"/>
    <col min="66" max="66" width="14.453125" style="10" hidden="1" customWidth="1" outlineLevel="1"/>
    <col min="67" max="69" width="2.81640625" style="10" hidden="1" customWidth="1" outlineLevel="1"/>
    <col min="70" max="70" width="7" style="10" hidden="1" customWidth="1" outlineLevel="1"/>
    <col min="71" max="72" width="1.81640625" style="10" hidden="1" customWidth="1" outlineLevel="1"/>
    <col min="73" max="73" width="1.81640625" style="10" hidden="1" customWidth="1" collapsed="1"/>
    <col min="74" max="74" width="2.453125" style="10" hidden="1" customWidth="1"/>
    <col min="75" max="77" width="1.7265625" style="10" hidden="1" customWidth="1" outlineLevel="1"/>
    <col min="78" max="78" width="3" style="10" hidden="1" customWidth="1" outlineLevel="1"/>
    <col min="79" max="80" width="1.7265625" style="10" hidden="1" customWidth="1" outlineLevel="1"/>
    <col min="81" max="81" width="4.26953125" style="10" hidden="1" customWidth="1" outlineLevel="1"/>
    <col min="82" max="82" width="1.7265625" style="10" hidden="1" customWidth="1" outlineLevel="1"/>
    <col min="83" max="83" width="4.26953125" style="10" customWidth="1" outlineLevel="1"/>
    <col min="84" max="84" width="1.7265625" style="10" customWidth="1" outlineLevel="1"/>
    <col min="85" max="85" width="4.26953125" style="10" customWidth="1" outlineLevel="1"/>
    <col min="86" max="86" width="16.453125" style="10" customWidth="1" outlineLevel="1"/>
    <col min="87" max="87" width="52.7265625" style="10" customWidth="1" outlineLevel="1"/>
    <col min="88" max="88" width="17.26953125" style="10" customWidth="1" outlineLevel="1"/>
    <col min="89" max="89" width="21.54296875" style="10" customWidth="1" outlineLevel="1"/>
    <col min="90" max="90" width="16" style="10" customWidth="1" outlineLevel="1"/>
    <col min="91" max="91" width="16.81640625" style="10" customWidth="1" outlineLevel="1"/>
    <col min="92" max="92" width="15.7265625" style="10" customWidth="1" outlineLevel="1"/>
    <col min="93" max="93" width="16.7265625" style="10" customWidth="1" outlineLevel="1"/>
    <col min="94" max="94" width="16.453125" style="10" customWidth="1" outlineLevel="1"/>
    <col min="95" max="95" width="20.1796875" style="10" customWidth="1" outlineLevel="1"/>
    <col min="96" max="99" width="8.81640625" style="10" customWidth="1" outlineLevel="1"/>
    <col min="100" max="101" width="8.81640625" style="10" customWidth="1"/>
    <col min="102" max="102" width="8.81640625" style="10" hidden="1" customWidth="1"/>
    <col min="103" max="125" width="8.7265625" style="10" hidden="1" customWidth="1" outlineLevel="1"/>
    <col min="126" max="126" width="7" style="10" hidden="1" customWidth="1" outlineLevel="1"/>
    <col min="127" max="127" width="10.7265625" style="10" hidden="1" customWidth="1" outlineLevel="1"/>
    <col min="128" max="128" width="6.453125" style="10" hidden="1" customWidth="1" outlineLevel="1"/>
    <col min="129" max="129" width="8.81640625" style="10" hidden="1" customWidth="1" outlineLevel="1"/>
    <col min="130" max="130" width="8.81640625" style="10" hidden="1" customWidth="1" collapsed="1"/>
    <col min="131" max="133" width="0" style="10" hidden="1" customWidth="1"/>
    <col min="134" max="16384" width="8.81640625" style="10"/>
  </cols>
  <sheetData>
    <row r="1" spans="1:128" ht="167.15" customHeight="1" x14ac:dyDescent="0.25">
      <c r="A1" s="333"/>
      <c r="B1" s="333"/>
      <c r="C1" s="651"/>
      <c r="D1" s="652"/>
      <c r="E1" s="651"/>
      <c r="F1" s="651"/>
      <c r="G1" s="651"/>
      <c r="H1" s="651"/>
      <c r="I1" s="651"/>
      <c r="J1" s="651"/>
      <c r="K1" s="333"/>
      <c r="L1" s="653"/>
      <c r="M1" s="653"/>
      <c r="N1" s="653"/>
      <c r="O1" s="653"/>
      <c r="P1" s="653"/>
      <c r="Q1" s="653"/>
      <c r="R1" s="653"/>
      <c r="S1" s="653"/>
      <c r="T1" s="653"/>
      <c r="U1" s="671"/>
      <c r="V1" s="671"/>
      <c r="W1" s="671"/>
      <c r="X1" s="333"/>
      <c r="Y1" s="333"/>
      <c r="Z1" s="333"/>
      <c r="AA1" s="333"/>
      <c r="AB1" s="333"/>
      <c r="AC1" s="333"/>
      <c r="AD1" s="333"/>
      <c r="AE1" s="333"/>
      <c r="AF1" s="333"/>
      <c r="AG1" s="333"/>
      <c r="AH1" s="361"/>
      <c r="AI1" s="361"/>
      <c r="AJ1" s="333"/>
      <c r="AK1" s="333"/>
      <c r="AL1" s="333"/>
      <c r="AM1" s="333"/>
      <c r="AN1" s="333"/>
      <c r="AO1" s="333"/>
      <c r="AP1" s="333"/>
      <c r="AQ1" s="333"/>
      <c r="AR1" s="333"/>
      <c r="AS1" s="333"/>
      <c r="AT1" s="333"/>
      <c r="AU1" s="333"/>
      <c r="AV1" s="333"/>
      <c r="AW1" s="333"/>
      <c r="AX1" s="335"/>
      <c r="AY1" s="335"/>
      <c r="AZ1" s="335"/>
      <c r="BA1" s="333"/>
      <c r="BB1" s="333"/>
      <c r="BC1" s="333"/>
      <c r="BD1" s="333"/>
      <c r="BE1" s="333"/>
      <c r="BF1" s="333"/>
      <c r="BG1" s="333"/>
      <c r="BH1" s="333"/>
      <c r="BI1" s="333"/>
      <c r="BJ1" s="333"/>
      <c r="BK1" s="333"/>
      <c r="BL1" s="362"/>
      <c r="BM1" s="333"/>
      <c r="BN1" s="333"/>
      <c r="BO1" s="333"/>
      <c r="BP1" s="333"/>
      <c r="BQ1" s="333"/>
      <c r="BR1" s="333"/>
      <c r="BS1" s="333"/>
      <c r="BT1" s="340"/>
      <c r="BU1" s="340"/>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row>
    <row r="2" spans="1:128" ht="40" customHeight="1" x14ac:dyDescent="0.25">
      <c r="A2" s="333"/>
      <c r="B2" s="340"/>
      <c r="C2" s="743"/>
      <c r="D2" s="740"/>
      <c r="E2" s="739"/>
      <c r="F2" s="739"/>
      <c r="G2" s="739"/>
      <c r="H2" s="739"/>
      <c r="I2" s="739"/>
      <c r="J2" s="739"/>
      <c r="L2" s="741"/>
      <c r="M2" s="741"/>
      <c r="N2" s="741"/>
      <c r="O2" s="741"/>
      <c r="P2" s="741"/>
      <c r="Q2" s="741"/>
      <c r="R2" s="741"/>
      <c r="S2" s="741"/>
      <c r="T2" s="741"/>
      <c r="U2" s="744"/>
      <c r="V2" s="744"/>
      <c r="W2" s="745" t="s">
        <v>515</v>
      </c>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row>
    <row r="3" spans="1:128" x14ac:dyDescent="0.25">
      <c r="A3" s="333"/>
      <c r="B3" s="340"/>
      <c r="C3" s="335"/>
      <c r="D3" s="335"/>
      <c r="E3" s="335"/>
      <c r="F3" s="335"/>
      <c r="G3" s="335"/>
      <c r="H3" s="335"/>
      <c r="I3" s="335"/>
      <c r="J3" s="335"/>
      <c r="L3" s="335"/>
      <c r="M3" s="335"/>
      <c r="N3" s="335"/>
      <c r="O3" s="335"/>
      <c r="P3" s="335"/>
      <c r="Q3" s="335"/>
      <c r="R3" s="335"/>
      <c r="S3" s="335"/>
      <c r="T3" s="335"/>
      <c r="U3" s="335"/>
      <c r="V3" s="335"/>
      <c r="W3" s="335"/>
      <c r="BW3" s="333"/>
      <c r="BX3" s="333"/>
      <c r="BY3" s="333"/>
      <c r="BZ3" s="333"/>
      <c r="CA3" s="333"/>
      <c r="CB3" s="333"/>
      <c r="CC3" s="333"/>
      <c r="CD3" s="333"/>
      <c r="CE3" s="333"/>
      <c r="CF3" s="335"/>
      <c r="CG3" s="335"/>
      <c r="CH3" s="333"/>
      <c r="CI3" s="333"/>
      <c r="CJ3" s="333"/>
      <c r="CK3" s="333"/>
      <c r="CL3" s="333"/>
      <c r="CM3" s="333"/>
      <c r="CN3" s="333"/>
      <c r="CO3" s="333"/>
      <c r="CP3" s="333"/>
      <c r="CQ3" s="333"/>
      <c r="CR3" s="333"/>
      <c r="CS3" s="333"/>
      <c r="CT3" s="333"/>
      <c r="CU3" s="333"/>
      <c r="CV3" s="333"/>
      <c r="CW3" s="333"/>
      <c r="CX3" s="333"/>
      <c r="CY3" s="333"/>
    </row>
    <row r="4" spans="1:128" x14ac:dyDescent="0.25">
      <c r="A4" s="333"/>
      <c r="B4" s="340"/>
      <c r="C4" s="335"/>
      <c r="D4" s="335"/>
      <c r="E4" s="335"/>
      <c r="F4" s="335"/>
      <c r="G4" s="335"/>
      <c r="H4" s="335"/>
      <c r="I4" s="335"/>
      <c r="J4" s="335"/>
      <c r="L4" s="335"/>
      <c r="M4" s="335"/>
      <c r="N4" s="335"/>
      <c r="O4" s="335"/>
      <c r="P4" s="335"/>
      <c r="Q4" s="335"/>
      <c r="R4" s="335"/>
      <c r="S4" s="335"/>
      <c r="T4" s="335"/>
      <c r="U4" s="335"/>
      <c r="V4" s="335"/>
      <c r="W4" s="335"/>
      <c r="BW4" s="333"/>
      <c r="BX4" s="333"/>
      <c r="BY4" s="333"/>
      <c r="BZ4" s="333"/>
      <c r="CA4" s="333"/>
      <c r="CB4" s="333"/>
      <c r="CC4" s="333"/>
      <c r="CD4" s="333"/>
      <c r="CE4" s="333"/>
      <c r="CF4" s="335"/>
      <c r="CG4" s="335"/>
      <c r="CH4" s="333"/>
      <c r="CI4" s="333"/>
      <c r="CJ4" s="333"/>
      <c r="CK4" s="333"/>
      <c r="CL4" s="333"/>
      <c r="CM4" s="333"/>
      <c r="CN4" s="333"/>
      <c r="CO4" s="333"/>
      <c r="CP4" s="333"/>
      <c r="CQ4" s="333"/>
      <c r="CR4" s="333"/>
      <c r="CS4" s="333"/>
      <c r="CT4" s="333"/>
      <c r="CU4" s="333"/>
      <c r="CV4" s="333"/>
      <c r="CW4" s="333"/>
      <c r="CX4" s="333"/>
      <c r="CY4" s="333"/>
    </row>
    <row r="5" spans="1:128" x14ac:dyDescent="0.25">
      <c r="A5" s="333"/>
      <c r="B5" s="333"/>
      <c r="C5" s="335"/>
      <c r="D5" s="335"/>
      <c r="E5" s="335"/>
      <c r="F5" s="335"/>
      <c r="G5" s="335"/>
      <c r="H5" s="335"/>
      <c r="I5" s="335"/>
      <c r="J5" s="335"/>
      <c r="L5" s="335"/>
      <c r="M5" s="335"/>
      <c r="N5" s="335"/>
      <c r="O5" s="335"/>
      <c r="P5" s="335"/>
      <c r="Q5" s="335"/>
      <c r="R5" s="335"/>
      <c r="S5" s="335"/>
      <c r="T5" s="335"/>
      <c r="U5" s="335"/>
      <c r="V5" s="335"/>
      <c r="W5" s="335"/>
      <c r="X5" s="286"/>
      <c r="AH5" s="10"/>
      <c r="AJ5" s="13"/>
      <c r="AX5" s="10"/>
      <c r="BA5" s="284"/>
      <c r="BL5" s="10"/>
      <c r="BM5" s="91"/>
      <c r="BW5" s="333"/>
      <c r="BX5" s="333"/>
      <c r="BY5" s="333"/>
      <c r="BZ5" s="333"/>
      <c r="CA5" s="333"/>
      <c r="CB5" s="333"/>
      <c r="CC5" s="333"/>
      <c r="CD5" s="333"/>
      <c r="CE5" s="333"/>
      <c r="CF5" s="335"/>
      <c r="CG5" s="335"/>
      <c r="CH5" s="333"/>
      <c r="CI5" s="333"/>
      <c r="CJ5" s="333"/>
      <c r="CK5" s="333"/>
      <c r="CL5" s="333"/>
      <c r="CM5" s="333"/>
      <c r="CN5" s="333"/>
      <c r="CO5" s="333"/>
      <c r="CP5" s="333"/>
      <c r="CQ5" s="333"/>
      <c r="CR5" s="333"/>
      <c r="CS5" s="333"/>
      <c r="CT5" s="333"/>
      <c r="CU5" s="333"/>
      <c r="CV5" s="333"/>
      <c r="CW5" s="333"/>
      <c r="CX5" s="333"/>
      <c r="CY5" s="333"/>
      <c r="CZ5" s="134"/>
    </row>
    <row r="6" spans="1:128" hidden="1" x14ac:dyDescent="0.25">
      <c r="A6" s="333"/>
      <c r="B6" s="333"/>
      <c r="U6" s="360"/>
      <c r="V6" s="478"/>
      <c r="W6" s="360"/>
      <c r="X6" s="286"/>
      <c r="AH6" s="10"/>
      <c r="AJ6" s="13"/>
      <c r="AX6" s="10"/>
      <c r="BA6" s="284"/>
      <c r="BL6" s="10"/>
      <c r="BM6" s="91"/>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row>
    <row r="7" spans="1:128" hidden="1" x14ac:dyDescent="0.25">
      <c r="A7" s="333"/>
      <c r="B7" s="333"/>
      <c r="I7" s="11"/>
      <c r="J7" s="11"/>
      <c r="U7" s="360"/>
      <c r="V7" s="478"/>
      <c r="W7" s="360"/>
      <c r="X7" s="286"/>
      <c r="AH7" s="10"/>
      <c r="AJ7" s="13"/>
      <c r="AX7" s="10"/>
      <c r="BA7" s="284"/>
      <c r="BL7" s="10"/>
      <c r="BM7" s="91"/>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134"/>
    </row>
    <row r="8" spans="1:128" hidden="1" x14ac:dyDescent="0.25">
      <c r="A8" s="333"/>
      <c r="B8" s="333"/>
      <c r="J8" s="11"/>
      <c r="K8" s="11"/>
      <c r="U8" s="360"/>
      <c r="V8" s="478"/>
      <c r="W8" s="360"/>
      <c r="X8" s="286"/>
      <c r="AH8" s="10"/>
      <c r="AJ8" s="13"/>
      <c r="AX8" s="10"/>
      <c r="BA8" s="284"/>
      <c r="BL8" s="10"/>
      <c r="BM8" s="91"/>
      <c r="BX8" s="333"/>
      <c r="BY8" s="333"/>
      <c r="BZ8" s="333"/>
      <c r="CA8" s="333"/>
      <c r="CB8" s="333"/>
      <c r="CC8" s="333"/>
      <c r="CD8" s="333"/>
      <c r="CE8" s="333"/>
      <c r="CF8" s="333"/>
      <c r="CG8" s="333"/>
      <c r="CH8" s="333"/>
      <c r="CI8" s="333"/>
      <c r="CJ8" s="333"/>
      <c r="CK8" s="333"/>
      <c r="CL8" s="333"/>
      <c r="CM8" s="333"/>
      <c r="CN8" s="333"/>
      <c r="CO8" s="333"/>
      <c r="CP8" s="333"/>
      <c r="CQ8" s="333"/>
      <c r="CR8" s="333"/>
      <c r="CS8" s="333"/>
      <c r="CT8" s="333"/>
      <c r="CU8" s="333"/>
      <c r="CV8" s="333"/>
      <c r="CW8" s="333"/>
      <c r="CX8" s="333"/>
      <c r="CY8" s="333"/>
    </row>
    <row r="9" spans="1:128" ht="3" hidden="1" customHeight="1" x14ac:dyDescent="0.25">
      <c r="A9" s="333"/>
      <c r="B9" s="333"/>
      <c r="J9" s="11"/>
      <c r="U9" s="360"/>
      <c r="V9" s="478"/>
      <c r="W9" s="360"/>
      <c r="X9" s="286"/>
      <c r="AH9" s="10"/>
      <c r="AJ9" s="13"/>
      <c r="AX9" s="10"/>
      <c r="BA9" s="284"/>
      <c r="BL9" s="10"/>
      <c r="BM9" s="91"/>
      <c r="BX9" s="333"/>
      <c r="BY9" s="333"/>
      <c r="BZ9" s="333"/>
      <c r="CA9" s="333"/>
      <c r="CB9" s="333"/>
      <c r="CC9" s="333"/>
      <c r="CD9" s="333"/>
      <c r="CE9" s="333"/>
      <c r="CF9" s="333"/>
      <c r="CG9" s="333"/>
      <c r="CH9" s="333"/>
      <c r="CI9" s="333"/>
      <c r="CJ9" s="333"/>
      <c r="CK9" s="333"/>
      <c r="CL9" s="333"/>
      <c r="CM9" s="333"/>
      <c r="CN9" s="333"/>
      <c r="CO9" s="333"/>
      <c r="CP9" s="333"/>
      <c r="CQ9" s="333"/>
      <c r="CR9" s="333"/>
      <c r="CS9" s="333"/>
      <c r="CT9" s="333"/>
      <c r="CU9" s="333"/>
      <c r="CV9" s="333"/>
      <c r="CW9" s="333"/>
      <c r="CX9" s="333"/>
      <c r="CY9" s="333"/>
    </row>
    <row r="10" spans="1:128" ht="33" customHeight="1" x14ac:dyDescent="0.35">
      <c r="A10" s="333"/>
      <c r="B10" s="333"/>
      <c r="C10" s="333"/>
      <c r="D10" s="334"/>
      <c r="E10" s="901" t="str">
        <f>IF(NOT(Q551),"Building name/description","")</f>
        <v/>
      </c>
      <c r="F10" s="902"/>
      <c r="G10" s="902"/>
      <c r="H10" s="902"/>
      <c r="I10" s="902"/>
      <c r="J10" s="902"/>
      <c r="K10" s="903"/>
      <c r="L10" s="902"/>
      <c r="M10" s="902"/>
      <c r="N10" s="904"/>
      <c r="O10" s="335"/>
      <c r="P10" s="906" t="str">
        <f>IF(NOT(Q553),"Classification","")</f>
        <v>Classification</v>
      </c>
      <c r="Q10" s="907"/>
      <c r="R10" s="908"/>
      <c r="S10" s="335"/>
      <c r="T10" s="335"/>
      <c r="U10" s="360"/>
      <c r="V10" s="478"/>
      <c r="W10" s="360"/>
      <c r="X10" s="286"/>
      <c r="AH10" s="10"/>
      <c r="AJ10" s="13"/>
      <c r="AX10" s="10"/>
      <c r="BA10" s="284"/>
      <c r="BL10" s="10"/>
      <c r="BM10" s="91"/>
      <c r="BW10" s="333"/>
      <c r="BX10" s="333"/>
      <c r="BY10" s="333"/>
      <c r="BZ10" s="333"/>
      <c r="CA10" s="333"/>
      <c r="CB10" s="333"/>
      <c r="CC10" s="333"/>
      <c r="CD10" s="333"/>
      <c r="CE10" s="333"/>
      <c r="CF10" s="333"/>
      <c r="CG10" s="333"/>
      <c r="CH10" s="495"/>
      <c r="CI10" s="495"/>
      <c r="CJ10" s="495"/>
      <c r="CK10" s="495"/>
      <c r="CL10" s="495"/>
      <c r="CM10" s="495"/>
      <c r="CN10" s="495"/>
      <c r="CO10" s="495"/>
      <c r="CP10" s="495"/>
      <c r="CQ10" s="495"/>
      <c r="CR10" s="333"/>
      <c r="CS10" s="333"/>
      <c r="CT10" s="333"/>
      <c r="CU10" s="333"/>
      <c r="CV10" s="333"/>
      <c r="CW10" s="333"/>
      <c r="CX10" s="333"/>
      <c r="CY10" s="333"/>
      <c r="DX10" s="233" t="s">
        <v>362</v>
      </c>
    </row>
    <row r="11" spans="1:128" ht="17.5" x14ac:dyDescent="0.35">
      <c r="A11" s="333"/>
      <c r="B11" s="333"/>
      <c r="C11" s="333"/>
      <c r="D11" s="339"/>
      <c r="E11" s="897"/>
      <c r="F11" s="898"/>
      <c r="G11" s="898"/>
      <c r="H11" s="898"/>
      <c r="I11" s="898"/>
      <c r="J11" s="898"/>
      <c r="K11" s="899"/>
      <c r="L11" s="898"/>
      <c r="M11" s="898"/>
      <c r="N11" s="900"/>
      <c r="O11" s="335"/>
      <c r="P11" s="808"/>
      <c r="Q11" s="909"/>
      <c r="R11" s="809"/>
      <c r="S11" s="336" t="str">
        <f>IF(ClassificationOne=$Z$558,"applicable only to areas outside of a sole-occupancy unit (SOU).","")</f>
        <v/>
      </c>
      <c r="T11" s="337"/>
      <c r="U11" s="337"/>
      <c r="V11" s="337"/>
      <c r="W11" s="337"/>
      <c r="X11" s="53"/>
      <c r="AH11" s="10"/>
      <c r="AJ11" s="13"/>
      <c r="AX11" s="10"/>
      <c r="BA11" s="284"/>
      <c r="BL11" s="10"/>
      <c r="BM11" s="91"/>
      <c r="BW11" s="333"/>
      <c r="BX11" s="333"/>
      <c r="BY11" s="333"/>
      <c r="BZ11" s="333"/>
      <c r="CA11" s="333"/>
      <c r="CB11" s="333"/>
      <c r="CC11" s="333"/>
      <c r="CD11" s="333"/>
      <c r="CE11" s="333"/>
      <c r="CF11" s="333"/>
      <c r="CG11" s="333"/>
      <c r="CH11" s="495"/>
      <c r="CI11" s="495"/>
      <c r="CJ11" s="495"/>
      <c r="CK11" s="495"/>
      <c r="CL11" s="495"/>
      <c r="CM11" s="495"/>
      <c r="CN11" s="495"/>
      <c r="CO11" s="495"/>
      <c r="CP11" s="495"/>
      <c r="CQ11" s="495"/>
      <c r="CR11" s="333"/>
      <c r="CS11" s="333"/>
      <c r="CT11" s="333"/>
      <c r="CU11" s="333"/>
      <c r="CV11" s="333"/>
      <c r="CW11" s="333"/>
      <c r="CX11" s="333"/>
      <c r="CY11" s="333"/>
      <c r="DX11" s="242" t="b">
        <f>COUNTA(DescriptionOne,ClassificationOne)=2</f>
        <v>0</v>
      </c>
    </row>
    <row r="12" spans="1:128" ht="4" customHeight="1" x14ac:dyDescent="0.35">
      <c r="A12" s="333"/>
      <c r="B12" s="333"/>
      <c r="C12" s="333"/>
      <c r="D12" s="334"/>
      <c r="E12" s="333"/>
      <c r="F12" s="333"/>
      <c r="G12" s="333"/>
      <c r="H12" s="333"/>
      <c r="I12" s="333"/>
      <c r="J12" s="340"/>
      <c r="L12" s="335"/>
      <c r="M12" s="335"/>
      <c r="N12" s="335"/>
      <c r="O12" s="335"/>
      <c r="P12" s="335"/>
      <c r="Q12" s="335"/>
      <c r="R12" s="335"/>
      <c r="S12" s="335"/>
      <c r="T12" s="335"/>
      <c r="U12" s="360"/>
      <c r="V12" s="478"/>
      <c r="W12" s="360"/>
      <c r="X12" s="286"/>
      <c r="AH12" s="10"/>
      <c r="AJ12" s="13"/>
      <c r="AX12" s="10"/>
      <c r="BA12" s="284"/>
      <c r="BL12" s="10"/>
      <c r="BM12" s="91"/>
      <c r="BW12" s="333"/>
      <c r="BX12" s="333"/>
      <c r="BY12" s="333"/>
      <c r="BZ12" s="333"/>
      <c r="CA12" s="333"/>
      <c r="CB12" s="333"/>
      <c r="CC12" s="333"/>
      <c r="CD12" s="333"/>
      <c r="CE12" s="333"/>
      <c r="CF12" s="333"/>
      <c r="CG12" s="333"/>
      <c r="CH12" s="495"/>
      <c r="CI12" s="495"/>
      <c r="CJ12" s="495"/>
      <c r="CK12" s="495"/>
      <c r="CL12" s="495"/>
      <c r="CM12" s="495"/>
      <c r="CN12" s="495"/>
      <c r="CO12" s="495"/>
      <c r="CP12" s="495"/>
      <c r="CQ12" s="495"/>
      <c r="CR12" s="333"/>
      <c r="CS12" s="333"/>
      <c r="CT12" s="333"/>
      <c r="CU12" s="333"/>
      <c r="CV12" s="333"/>
      <c r="CW12" s="333"/>
      <c r="CX12" s="333"/>
      <c r="CY12" s="333"/>
    </row>
    <row r="13" spans="1:128" hidden="1" x14ac:dyDescent="0.25">
      <c r="A13" s="333"/>
      <c r="B13" s="333"/>
      <c r="J13" s="11"/>
      <c r="U13" s="360"/>
      <c r="V13" s="478"/>
      <c r="W13" s="360"/>
      <c r="X13" s="286"/>
      <c r="AH13" s="10"/>
      <c r="AJ13" s="13"/>
      <c r="AX13" s="10"/>
      <c r="BA13" s="284"/>
      <c r="BL13" s="10"/>
      <c r="BM13" s="91"/>
      <c r="BO13" s="11"/>
      <c r="BW13" s="11"/>
      <c r="CU13" s="333"/>
      <c r="CV13" s="333"/>
      <c r="CW13" s="333"/>
      <c r="CX13" s="333"/>
      <c r="CY13" s="333"/>
    </row>
    <row r="14" spans="1:128" hidden="1" x14ac:dyDescent="0.25">
      <c r="A14" s="333"/>
      <c r="B14" s="333"/>
      <c r="U14" s="360"/>
      <c r="V14" s="478"/>
      <c r="W14" s="360"/>
      <c r="X14" s="286"/>
      <c r="AH14" s="10"/>
      <c r="AJ14" s="13"/>
      <c r="AX14" s="10"/>
      <c r="BA14" s="284"/>
      <c r="BL14" s="10"/>
      <c r="BM14" s="91"/>
      <c r="CU14" s="333"/>
      <c r="CV14" s="333"/>
      <c r="CW14" s="333"/>
      <c r="CX14" s="333"/>
      <c r="CY14" s="333"/>
    </row>
    <row r="15" spans="1:128" hidden="1" x14ac:dyDescent="0.25">
      <c r="A15" s="333"/>
      <c r="B15" s="333"/>
      <c r="U15" s="360"/>
      <c r="V15" s="478"/>
      <c r="W15" s="360"/>
      <c r="X15" s="286"/>
      <c r="AH15" s="10"/>
      <c r="AJ15" s="13"/>
      <c r="AX15" s="10"/>
      <c r="BA15" s="284"/>
      <c r="BL15" s="10"/>
      <c r="BM15" s="91"/>
      <c r="CU15" s="333"/>
      <c r="CV15" s="333"/>
      <c r="CW15" s="333"/>
      <c r="CX15" s="333"/>
      <c r="CY15" s="333"/>
    </row>
    <row r="16" spans="1:128" hidden="1" x14ac:dyDescent="0.25">
      <c r="A16" s="333"/>
      <c r="B16" s="333"/>
      <c r="U16" s="360"/>
      <c r="V16" s="478"/>
      <c r="W16" s="360"/>
      <c r="X16" s="286"/>
      <c r="AH16" s="10"/>
      <c r="AJ16" s="13"/>
      <c r="AX16" s="10"/>
      <c r="BA16" s="284"/>
      <c r="BL16" s="10"/>
      <c r="BM16" s="91"/>
      <c r="BQ16" s="43" t="s">
        <v>37</v>
      </c>
      <c r="BR16" s="483"/>
      <c r="BS16" s="483"/>
      <c r="BT16" s="483"/>
      <c r="BU16" s="44"/>
      <c r="BV16" s="45">
        <f>I18</f>
        <v>5</v>
      </c>
      <c r="CU16" s="333"/>
      <c r="CV16" s="333"/>
      <c r="CW16" s="333"/>
      <c r="CX16" s="333"/>
      <c r="CY16" s="333"/>
    </row>
    <row r="17" spans="1:129" ht="12.75" hidden="1" customHeight="1" x14ac:dyDescent="0.25">
      <c r="A17" s="333"/>
      <c r="B17" s="333"/>
      <c r="U17" s="360"/>
      <c r="V17" s="478"/>
      <c r="W17" s="360"/>
      <c r="X17" s="286"/>
      <c r="AH17" s="10"/>
      <c r="AJ17" s="13"/>
      <c r="AX17" s="10"/>
      <c r="BA17" s="284"/>
      <c r="BL17" s="10"/>
      <c r="BM17" s="91"/>
      <c r="BQ17" s="46" t="s">
        <v>33</v>
      </c>
      <c r="BR17" s="484"/>
      <c r="BS17" s="484"/>
      <c r="BT17" s="484"/>
      <c r="BU17" s="47"/>
      <c r="CS17" s="11"/>
      <c r="CU17" s="333"/>
      <c r="CV17" s="333"/>
      <c r="CW17" s="333"/>
      <c r="CX17" s="333"/>
      <c r="CY17" s="333"/>
    </row>
    <row r="18" spans="1:129" ht="27.75" customHeight="1" x14ac:dyDescent="0.35">
      <c r="A18" s="333"/>
      <c r="B18" s="333"/>
      <c r="C18" s="333"/>
      <c r="D18" s="334"/>
      <c r="E18" s="912" t="s">
        <v>31</v>
      </c>
      <c r="F18" s="912"/>
      <c r="G18" s="912"/>
      <c r="H18" s="912"/>
      <c r="I18" s="672">
        <v>5</v>
      </c>
      <c r="J18" s="673" t="str">
        <f>IF(RowsPreferredOne=RowsShownOne,"(as currently displayed)",IF(RowsPreferredOne&lt;RowsFilledOne,"The number entered will hide rows containing data. Try again.",IF(RowsPreferredOne&lt;&gt;RowsShownOne,"Click arrow beside 'ID' and select only '"&amp;RowsPreferredOne&amp;"' from drop down list","")))</f>
        <v>(as currently displayed)</v>
      </c>
      <c r="L18" s="335"/>
      <c r="M18" s="335"/>
      <c r="N18" s="335"/>
      <c r="O18" s="335"/>
      <c r="P18" s="341" t="str">
        <f>BD24</f>
        <v/>
      </c>
      <c r="Q18" s="337"/>
      <c r="R18" s="337"/>
      <c r="S18" s="337"/>
      <c r="T18" s="337"/>
      <c r="U18" s="337"/>
      <c r="V18" s="337"/>
      <c r="W18" s="337"/>
      <c r="X18" s="53"/>
      <c r="AH18" s="10"/>
      <c r="AJ18" s="13"/>
      <c r="AN18" s="234">
        <f>COUNTIF(AO24:AO523,TRUE)</f>
        <v>0</v>
      </c>
      <c r="AO18" s="238" t="s">
        <v>358</v>
      </c>
      <c r="AX18" s="10"/>
      <c r="BA18" s="284"/>
      <c r="BL18" s="10"/>
      <c r="BM18" s="91"/>
      <c r="BW18" s="333"/>
      <c r="BX18" s="333"/>
      <c r="BY18" s="333"/>
      <c r="BZ18" s="333"/>
      <c r="CA18" s="333"/>
      <c r="CB18" s="333"/>
      <c r="CC18" s="333"/>
      <c r="CD18" s="333"/>
      <c r="CE18" s="333"/>
      <c r="CF18" s="333"/>
      <c r="CG18" s="333"/>
      <c r="CH18" s="495"/>
      <c r="CI18" s="495"/>
      <c r="CJ18" s="495"/>
      <c r="CK18" s="495"/>
      <c r="CL18" s="495"/>
      <c r="CM18" s="495"/>
      <c r="CN18" s="495"/>
      <c r="CO18" s="495"/>
      <c r="CP18" s="495"/>
      <c r="CQ18" s="495"/>
      <c r="CR18" s="333"/>
      <c r="CS18" s="333"/>
      <c r="CT18" s="333"/>
      <c r="CU18" s="333"/>
      <c r="CV18" s="333"/>
      <c r="CW18" s="333"/>
      <c r="CX18" s="333"/>
      <c r="CY18" s="333"/>
    </row>
    <row r="19" spans="1:129" ht="6" customHeight="1" x14ac:dyDescent="0.35">
      <c r="A19" s="333"/>
      <c r="B19" s="333"/>
      <c r="C19" s="333"/>
      <c r="D19" s="334"/>
      <c r="E19" s="333"/>
      <c r="F19" s="333"/>
      <c r="G19" s="333"/>
      <c r="H19" s="333"/>
      <c r="I19" s="333"/>
      <c r="J19" s="333"/>
      <c r="L19" s="338"/>
      <c r="M19" s="338"/>
      <c r="N19" s="338"/>
      <c r="O19" s="338"/>
      <c r="P19" s="338"/>
      <c r="Q19" s="338"/>
      <c r="R19" s="338"/>
      <c r="S19" s="338"/>
      <c r="T19" s="338"/>
      <c r="U19" s="360"/>
      <c r="V19" s="478"/>
      <c r="W19" s="360"/>
      <c r="X19" s="286"/>
      <c r="AH19" s="10"/>
      <c r="AJ19" s="13"/>
      <c r="AX19" s="10"/>
      <c r="BA19" s="284"/>
      <c r="BL19" s="10"/>
      <c r="BM19" s="91"/>
      <c r="BW19" s="333"/>
      <c r="BX19" s="333"/>
      <c r="BY19" s="333"/>
      <c r="BZ19" s="333"/>
      <c r="CA19" s="333"/>
      <c r="CB19" s="333"/>
      <c r="CC19" s="333"/>
      <c r="CD19" s="333"/>
      <c r="CE19" s="333"/>
      <c r="CF19" s="333"/>
      <c r="CG19" s="333"/>
      <c r="CH19" s="495"/>
      <c r="CI19" s="495"/>
      <c r="CJ19" s="495"/>
      <c r="CK19" s="495"/>
      <c r="CL19" s="544"/>
      <c r="CM19" s="495"/>
      <c r="CN19" s="495"/>
      <c r="CO19" s="495"/>
      <c r="CP19" s="495"/>
      <c r="CQ19" s="495"/>
      <c r="CR19" s="333"/>
      <c r="CS19" s="333"/>
      <c r="CT19" s="333"/>
      <c r="CU19" s="333"/>
      <c r="CV19" s="333"/>
      <c r="CW19" s="333"/>
      <c r="CX19" s="333"/>
      <c r="CY19" s="333"/>
    </row>
    <row r="20" spans="1:129" ht="63" customHeight="1" x14ac:dyDescent="0.3">
      <c r="A20" s="333"/>
      <c r="B20" s="333"/>
      <c r="C20" s="721"/>
      <c r="D20" s="656"/>
      <c r="E20" s="825" t="s">
        <v>16</v>
      </c>
      <c r="F20" s="772" t="s">
        <v>99</v>
      </c>
      <c r="G20" s="772" t="s">
        <v>100</v>
      </c>
      <c r="H20" s="772" t="s">
        <v>101</v>
      </c>
      <c r="I20" s="917" t="s">
        <v>46</v>
      </c>
      <c r="J20" s="918" t="s">
        <v>4</v>
      </c>
      <c r="K20" s="751" t="s">
        <v>502</v>
      </c>
      <c r="L20" s="917" t="s">
        <v>502</v>
      </c>
      <c r="M20" s="925"/>
      <c r="N20" s="815" t="s">
        <v>79</v>
      </c>
      <c r="O20" s="772"/>
      <c r="P20" s="773"/>
      <c r="Q20" s="825" t="s">
        <v>80</v>
      </c>
      <c r="R20" s="915"/>
      <c r="S20" s="916"/>
      <c r="T20" s="771" t="s">
        <v>517</v>
      </c>
      <c r="U20" s="935"/>
      <c r="V20" s="771" t="str">
        <f>IF($Q$564="Green","SATISFIES PART J6.2",IF($Q$565="Red","PART J6.2 NOT SATISIFED","CALCULATED OUTCOMES"))</f>
        <v>CALCULATED OUTCOMES</v>
      </c>
      <c r="W20" s="935"/>
      <c r="X20" s="455" t="s">
        <v>1</v>
      </c>
      <c r="Y20" s="455" t="s">
        <v>2</v>
      </c>
      <c r="Z20" s="469" t="s">
        <v>508</v>
      </c>
      <c r="AA20" s="469" t="s">
        <v>509</v>
      </c>
      <c r="AB20" s="805" t="s">
        <v>510</v>
      </c>
      <c r="AC20" s="434" t="s">
        <v>60</v>
      </c>
      <c r="AD20" s="434" t="s">
        <v>63</v>
      </c>
      <c r="AE20" s="434" t="s">
        <v>64</v>
      </c>
      <c r="AF20" s="434" t="s">
        <v>61</v>
      </c>
      <c r="AG20" s="434" t="s">
        <v>62</v>
      </c>
      <c r="AH20" s="442" t="s">
        <v>266</v>
      </c>
      <c r="AI20" s="461" t="s">
        <v>466</v>
      </c>
      <c r="AJ20" s="458" t="s">
        <v>267</v>
      </c>
      <c r="AK20" s="457" t="s">
        <v>268</v>
      </c>
      <c r="AL20" s="464" t="s">
        <v>269</v>
      </c>
      <c r="AM20" s="434" t="s">
        <v>117</v>
      </c>
      <c r="AN20" s="432" t="s">
        <v>27</v>
      </c>
      <c r="AO20" s="434" t="s">
        <v>170</v>
      </c>
      <c r="AP20" s="434" t="s">
        <v>169</v>
      </c>
      <c r="AQ20" s="434" t="s">
        <v>171</v>
      </c>
      <c r="AR20" s="434" t="s">
        <v>126</v>
      </c>
      <c r="AS20" s="434" t="s">
        <v>155</v>
      </c>
      <c r="AT20" s="434" t="s">
        <v>127</v>
      </c>
      <c r="AU20" s="434" t="s">
        <v>155</v>
      </c>
      <c r="AV20" s="449" t="s">
        <v>82</v>
      </c>
      <c r="AW20" s="434" t="s">
        <v>45</v>
      </c>
      <c r="AX20" s="452" t="s">
        <v>254</v>
      </c>
      <c r="AY20" s="453"/>
      <c r="AZ20" s="434" t="s">
        <v>98</v>
      </c>
      <c r="BA20" s="434" t="s">
        <v>131</v>
      </c>
      <c r="BB20" s="434" t="s">
        <v>132</v>
      </c>
      <c r="BC20" s="442" t="s">
        <v>321</v>
      </c>
      <c r="BD20" s="442" t="s">
        <v>284</v>
      </c>
      <c r="BE20" s="945" t="s">
        <v>141</v>
      </c>
      <c r="BF20" s="946"/>
      <c r="BG20" s="947"/>
      <c r="BH20" s="947"/>
      <c r="BI20" s="947"/>
      <c r="BJ20" s="947"/>
      <c r="BK20" s="947"/>
      <c r="BL20" s="948"/>
      <c r="BM20" s="434" t="s">
        <v>44</v>
      </c>
      <c r="BN20" s="465" t="s">
        <v>256</v>
      </c>
      <c r="BO20" s="434" t="s">
        <v>262</v>
      </c>
      <c r="BP20" s="432" t="s">
        <v>28</v>
      </c>
      <c r="BW20" s="333"/>
      <c r="BX20" s="333"/>
      <c r="BY20" s="333"/>
      <c r="BZ20" s="333"/>
      <c r="CA20" s="333"/>
      <c r="CB20" s="333"/>
      <c r="CC20" s="333"/>
      <c r="CD20" s="333"/>
      <c r="CE20" s="333"/>
      <c r="CF20" s="668"/>
      <c r="CG20" s="940" t="s">
        <v>32</v>
      </c>
      <c r="CH20" s="825" t="s">
        <v>16</v>
      </c>
      <c r="CI20" s="772" t="s">
        <v>0</v>
      </c>
      <c r="CJ20" s="772" t="s">
        <v>265</v>
      </c>
      <c r="CK20" s="772" t="s">
        <v>573</v>
      </c>
      <c r="CL20" s="932" t="s">
        <v>59</v>
      </c>
      <c r="CM20" s="772" t="s">
        <v>58</v>
      </c>
      <c r="CN20" s="772" t="s">
        <v>79</v>
      </c>
      <c r="CO20" s="772" t="s">
        <v>80</v>
      </c>
      <c r="CP20" s="772" t="s">
        <v>511</v>
      </c>
      <c r="CQ20" s="935" t="s">
        <v>574</v>
      </c>
      <c r="CR20" s="333"/>
      <c r="CS20" s="333"/>
      <c r="CT20" s="333"/>
      <c r="CU20" s="333"/>
      <c r="CV20" s="333"/>
      <c r="CW20" s="333"/>
      <c r="CX20" s="415"/>
      <c r="CY20" s="333"/>
      <c r="DA20" s="86" t="s">
        <v>270</v>
      </c>
      <c r="DC20" s="143" t="s">
        <v>290</v>
      </c>
    </row>
    <row r="21" spans="1:129" ht="37.5" customHeight="1" x14ac:dyDescent="0.3">
      <c r="A21" s="333"/>
      <c r="B21" s="333"/>
      <c r="C21" s="657"/>
      <c r="D21" s="658"/>
      <c r="E21" s="818"/>
      <c r="F21" s="823"/>
      <c r="G21" s="826"/>
      <c r="H21" s="826"/>
      <c r="I21" s="817"/>
      <c r="J21" s="919"/>
      <c r="K21" s="913"/>
      <c r="L21" s="724" t="s">
        <v>500</v>
      </c>
      <c r="M21" s="725" t="s">
        <v>501</v>
      </c>
      <c r="N21" s="821" t="s">
        <v>79</v>
      </c>
      <c r="O21" s="921" t="s">
        <v>460</v>
      </c>
      <c r="P21" s="962" t="s">
        <v>461</v>
      </c>
      <c r="Q21" s="726" t="s">
        <v>80</v>
      </c>
      <c r="R21" s="964" t="s">
        <v>460</v>
      </c>
      <c r="S21" s="962" t="s">
        <v>461</v>
      </c>
      <c r="T21" s="910" t="s">
        <v>506</v>
      </c>
      <c r="U21" s="895" t="s">
        <v>507</v>
      </c>
      <c r="V21" s="910" t="s">
        <v>286</v>
      </c>
      <c r="W21" s="895" t="s">
        <v>285</v>
      </c>
      <c r="X21" s="455"/>
      <c r="Y21" s="455"/>
      <c r="Z21" s="435"/>
      <c r="AA21" s="435"/>
      <c r="AB21" s="960"/>
      <c r="AC21" s="435"/>
      <c r="AD21" s="435"/>
      <c r="AE21" s="435"/>
      <c r="AF21" s="435"/>
      <c r="AG21" s="435"/>
      <c r="AH21" s="435"/>
      <c r="AI21" s="462"/>
      <c r="AJ21" s="446"/>
      <c r="AK21" s="444"/>
      <c r="AL21" s="439"/>
      <c r="AM21" s="438"/>
      <c r="AN21" s="459"/>
      <c r="AO21" s="441"/>
      <c r="AP21" s="441"/>
      <c r="AQ21" s="441"/>
      <c r="AR21" s="441"/>
      <c r="AS21" s="441"/>
      <c r="AT21" s="441"/>
      <c r="AU21" s="441"/>
      <c r="AV21" s="450"/>
      <c r="AW21" s="435"/>
      <c r="AX21" s="454"/>
      <c r="AY21" s="443"/>
      <c r="AZ21" s="438"/>
      <c r="BA21" s="438"/>
      <c r="BB21" s="438"/>
      <c r="BC21" s="448"/>
      <c r="BD21" s="438"/>
      <c r="BE21" s="87" t="s">
        <v>59</v>
      </c>
      <c r="BF21" s="949" t="s">
        <v>82</v>
      </c>
      <c r="BG21" s="950"/>
      <c r="BH21" s="950"/>
      <c r="BI21" s="948"/>
      <c r="BJ21" s="943" t="s">
        <v>45</v>
      </c>
      <c r="BK21" s="944"/>
      <c r="BL21" s="776"/>
      <c r="BM21" s="435"/>
      <c r="BN21" s="466"/>
      <c r="BO21" s="441"/>
      <c r="BP21" s="459"/>
      <c r="BQ21" s="134"/>
      <c r="BT21" s="11">
        <f>SUBTOTAL(2,BT24:BT523)</f>
        <v>5</v>
      </c>
      <c r="BW21" s="333"/>
      <c r="BX21" s="333"/>
      <c r="BY21" s="333"/>
      <c r="BZ21" s="333"/>
      <c r="CA21" s="333"/>
      <c r="CB21" s="333"/>
      <c r="CC21" s="333"/>
      <c r="CD21" s="333"/>
      <c r="CE21" s="333"/>
      <c r="CF21" s="668"/>
      <c r="CG21" s="941"/>
      <c r="CH21" s="857"/>
      <c r="CI21" s="817"/>
      <c r="CJ21" s="817"/>
      <c r="CK21" s="817"/>
      <c r="CL21" s="933"/>
      <c r="CM21" s="817"/>
      <c r="CN21" s="817"/>
      <c r="CO21" s="817"/>
      <c r="CP21" s="817"/>
      <c r="CQ21" s="936"/>
      <c r="CR21" s="333"/>
      <c r="CS21" s="333"/>
      <c r="CT21" s="333"/>
      <c r="CU21" s="333"/>
      <c r="CV21" s="333"/>
      <c r="CW21" s="333"/>
      <c r="CX21" s="333"/>
      <c r="CY21" s="333"/>
      <c r="DA21" s="150" t="s">
        <v>279</v>
      </c>
      <c r="DB21" s="150"/>
      <c r="DC21" s="150"/>
      <c r="DD21" s="150"/>
      <c r="DE21" s="150"/>
      <c r="DF21" s="150"/>
      <c r="DG21" s="150" t="s">
        <v>512</v>
      </c>
      <c r="DH21" s="150"/>
      <c r="DI21" s="150" t="s">
        <v>278</v>
      </c>
      <c r="DJ21" s="150"/>
      <c r="DK21" s="150"/>
      <c r="DL21" s="150"/>
      <c r="DM21" s="150"/>
      <c r="DN21" s="150"/>
      <c r="DO21" s="150"/>
      <c r="DP21" s="150" t="s">
        <v>280</v>
      </c>
      <c r="DQ21" s="150"/>
      <c r="DR21" s="150"/>
      <c r="DS21" s="150"/>
      <c r="DT21" s="150"/>
      <c r="DU21" s="150"/>
      <c r="DV21" s="150"/>
      <c r="DW21" s="150"/>
      <c r="DX21" s="142">
        <f>SUM(DX24:DX523)</f>
        <v>0</v>
      </c>
      <c r="DY21" s="143" t="s">
        <v>272</v>
      </c>
    </row>
    <row r="22" spans="1:129" ht="48" customHeight="1" x14ac:dyDescent="0.3">
      <c r="A22" s="333"/>
      <c r="B22" s="333"/>
      <c r="C22" s="722"/>
      <c r="D22" s="658"/>
      <c r="E22" s="818"/>
      <c r="F22" s="823"/>
      <c r="G22" s="826"/>
      <c r="H22" s="826"/>
      <c r="I22" s="817"/>
      <c r="J22" s="919"/>
      <c r="K22" s="913"/>
      <c r="L22" s="921" t="s">
        <v>505</v>
      </c>
      <c r="M22" s="922"/>
      <c r="N22" s="821"/>
      <c r="O22" s="921"/>
      <c r="P22" s="962"/>
      <c r="Q22" s="966"/>
      <c r="R22" s="964"/>
      <c r="S22" s="962"/>
      <c r="T22" s="910"/>
      <c r="U22" s="895"/>
      <c r="V22" s="910"/>
      <c r="W22" s="895"/>
      <c r="X22" s="455"/>
      <c r="Y22" s="455"/>
      <c r="Z22" s="435"/>
      <c r="AA22" s="435"/>
      <c r="AB22" s="960"/>
      <c r="AC22" s="435"/>
      <c r="AD22" s="435"/>
      <c r="AE22" s="435"/>
      <c r="AF22" s="435"/>
      <c r="AG22" s="435"/>
      <c r="AH22" s="435"/>
      <c r="AI22" s="462"/>
      <c r="AJ22" s="446"/>
      <c r="AK22" s="444"/>
      <c r="AL22" s="439"/>
      <c r="AM22" s="438"/>
      <c r="AN22" s="459"/>
      <c r="AO22" s="441"/>
      <c r="AP22" s="441"/>
      <c r="AQ22" s="441"/>
      <c r="AR22" s="441"/>
      <c r="AS22" s="441"/>
      <c r="AT22" s="441"/>
      <c r="AU22" s="441"/>
      <c r="AV22" s="450"/>
      <c r="AW22" s="435"/>
      <c r="AX22" s="958" t="s">
        <v>252</v>
      </c>
      <c r="AY22" s="956" t="s">
        <v>253</v>
      </c>
      <c r="AZ22" s="438"/>
      <c r="BA22" s="438"/>
      <c r="BB22" s="438"/>
      <c r="BC22" s="448"/>
      <c r="BD22" s="438"/>
      <c r="BE22" s="951" t="s">
        <v>349</v>
      </c>
      <c r="BF22" s="929" t="s">
        <v>274</v>
      </c>
      <c r="BG22" s="929" t="s">
        <v>275</v>
      </c>
      <c r="BH22" s="929" t="s">
        <v>276</v>
      </c>
      <c r="BI22" s="929" t="s">
        <v>277</v>
      </c>
      <c r="BJ22" s="929" t="s">
        <v>275</v>
      </c>
      <c r="BK22" s="929" t="s">
        <v>276</v>
      </c>
      <c r="BL22" s="929" t="s">
        <v>336</v>
      </c>
      <c r="BM22" s="435"/>
      <c r="BN22" s="466"/>
      <c r="BO22" s="441"/>
      <c r="BP22" s="459"/>
      <c r="BQ22" s="938"/>
      <c r="BT22" s="229" t="s">
        <v>347</v>
      </c>
      <c r="BW22" s="333"/>
      <c r="BX22" s="333"/>
      <c r="BY22" s="333"/>
      <c r="BZ22" s="333"/>
      <c r="CA22" s="333"/>
      <c r="CB22" s="333"/>
      <c r="CC22" s="333"/>
      <c r="CD22" s="333"/>
      <c r="CE22" s="333"/>
      <c r="CF22" s="668"/>
      <c r="CG22" s="941"/>
      <c r="CH22" s="857"/>
      <c r="CI22" s="817"/>
      <c r="CJ22" s="817"/>
      <c r="CK22" s="817"/>
      <c r="CL22" s="933"/>
      <c r="CM22" s="817"/>
      <c r="CN22" s="817"/>
      <c r="CO22" s="817"/>
      <c r="CP22" s="817"/>
      <c r="CQ22" s="936"/>
      <c r="CR22" s="333"/>
      <c r="CS22" s="333"/>
      <c r="CT22" s="333"/>
      <c r="CU22" s="333"/>
      <c r="CV22" s="333"/>
      <c r="CW22" s="333"/>
      <c r="CX22" s="340"/>
      <c r="CY22" s="333"/>
      <c r="DA22" s="189" t="s">
        <v>16</v>
      </c>
      <c r="DB22" s="189" t="s">
        <v>185</v>
      </c>
      <c r="DC22" s="189" t="s">
        <v>310</v>
      </c>
      <c r="DD22" s="189" t="s">
        <v>311</v>
      </c>
      <c r="DE22" s="189" t="s">
        <v>271</v>
      </c>
      <c r="DF22" s="190" t="s">
        <v>4</v>
      </c>
      <c r="DG22" s="481" t="s">
        <v>513</v>
      </c>
      <c r="DH22" s="481" t="s">
        <v>514</v>
      </c>
      <c r="DI22" s="189" t="s">
        <v>313</v>
      </c>
      <c r="DJ22" s="189" t="s">
        <v>312</v>
      </c>
      <c r="DK22" s="189" t="s">
        <v>317</v>
      </c>
      <c r="DL22" s="189" t="s">
        <v>314</v>
      </c>
      <c r="DM22" s="189" t="s">
        <v>315</v>
      </c>
      <c r="DN22" s="189" t="s">
        <v>318</v>
      </c>
      <c r="DO22" s="192" t="s">
        <v>323</v>
      </c>
      <c r="DP22" s="189" t="s">
        <v>1</v>
      </c>
      <c r="DQ22" s="189" t="s">
        <v>313</v>
      </c>
      <c r="DR22" s="189" t="s">
        <v>316</v>
      </c>
      <c r="DS22" s="189" t="s">
        <v>317</v>
      </c>
      <c r="DT22" s="189" t="s">
        <v>314</v>
      </c>
      <c r="DU22" s="189" t="s">
        <v>315</v>
      </c>
      <c r="DV22" s="189" t="s">
        <v>318</v>
      </c>
      <c r="DW22" s="192" t="s">
        <v>323</v>
      </c>
      <c r="DX22" s="144" t="s">
        <v>273</v>
      </c>
      <c r="DY22" s="191" t="s">
        <v>308</v>
      </c>
    </row>
    <row r="23" spans="1:129" ht="42" customHeight="1" x14ac:dyDescent="0.3">
      <c r="A23" s="333"/>
      <c r="B23" s="333"/>
      <c r="C23" s="723"/>
      <c r="D23" s="661" t="s">
        <v>32</v>
      </c>
      <c r="E23" s="622"/>
      <c r="F23" s="665"/>
      <c r="G23" s="666"/>
      <c r="H23" s="667"/>
      <c r="I23" s="859"/>
      <c r="J23" s="920"/>
      <c r="K23" s="914"/>
      <c r="L23" s="923"/>
      <c r="M23" s="924"/>
      <c r="N23" s="822"/>
      <c r="O23" s="923"/>
      <c r="P23" s="963"/>
      <c r="Q23" s="967"/>
      <c r="R23" s="965"/>
      <c r="S23" s="963"/>
      <c r="T23" s="911"/>
      <c r="U23" s="896"/>
      <c r="V23" s="911"/>
      <c r="W23" s="896"/>
      <c r="X23" s="456"/>
      <c r="Y23" s="456"/>
      <c r="Z23" s="470"/>
      <c r="AA23" s="470"/>
      <c r="AB23" s="961"/>
      <c r="AC23" s="436"/>
      <c r="AD23" s="436"/>
      <c r="AE23" s="436"/>
      <c r="AF23" s="437"/>
      <c r="AG23" s="436"/>
      <c r="AH23" s="436"/>
      <c r="AI23" s="463"/>
      <c r="AJ23" s="447"/>
      <c r="AK23" s="445"/>
      <c r="AL23" s="440"/>
      <c r="AM23" s="431"/>
      <c r="AN23" s="460"/>
      <c r="AO23" s="436"/>
      <c r="AP23" s="436"/>
      <c r="AQ23" s="436"/>
      <c r="AR23" s="436"/>
      <c r="AS23" s="436"/>
      <c r="AT23" s="436"/>
      <c r="AU23" s="436"/>
      <c r="AV23" s="451"/>
      <c r="AW23" s="436"/>
      <c r="AX23" s="959"/>
      <c r="AY23" s="957"/>
      <c r="AZ23" s="431"/>
      <c r="BA23" s="431"/>
      <c r="BB23" s="431"/>
      <c r="BC23" s="433"/>
      <c r="BD23" s="431"/>
      <c r="BE23" s="930"/>
      <c r="BF23" s="931"/>
      <c r="BG23" s="930"/>
      <c r="BH23" s="930"/>
      <c r="BI23" s="930"/>
      <c r="BJ23" s="930"/>
      <c r="BK23" s="930"/>
      <c r="BL23" s="931"/>
      <c r="BM23" s="437"/>
      <c r="BN23" s="467"/>
      <c r="BO23" s="436"/>
      <c r="BP23" s="468"/>
      <c r="BQ23" s="939"/>
      <c r="BT23" s="16" t="s">
        <v>29</v>
      </c>
      <c r="BU23" s="138" t="s">
        <v>30</v>
      </c>
      <c r="BW23" s="333"/>
      <c r="BX23" s="333"/>
      <c r="BY23" s="333"/>
      <c r="BZ23" s="333"/>
      <c r="CA23" s="333"/>
      <c r="CB23" s="333"/>
      <c r="CC23" s="333"/>
      <c r="CD23" s="333"/>
      <c r="CE23" s="333"/>
      <c r="CF23" s="668"/>
      <c r="CG23" s="942"/>
      <c r="CH23" s="858"/>
      <c r="CI23" s="859"/>
      <c r="CJ23" s="859"/>
      <c r="CK23" s="859"/>
      <c r="CL23" s="934"/>
      <c r="CM23" s="859"/>
      <c r="CN23" s="859"/>
      <c r="CO23" s="859"/>
      <c r="CP23" s="859"/>
      <c r="CQ23" s="937"/>
      <c r="CR23" s="333"/>
      <c r="CS23" s="340"/>
      <c r="CT23" s="340"/>
      <c r="CU23" s="340"/>
      <c r="CV23" s="333"/>
      <c r="CW23" s="333"/>
      <c r="CX23" s="333"/>
      <c r="CY23" s="333"/>
      <c r="DF23" s="149"/>
      <c r="DG23" s="11"/>
      <c r="DH23" s="11"/>
      <c r="DO23" s="149"/>
      <c r="DP23" s="11"/>
      <c r="DQ23" s="11"/>
      <c r="DR23" s="11"/>
      <c r="DW23" s="149"/>
      <c r="DX23" s="149"/>
      <c r="DY23" s="155"/>
    </row>
    <row r="24" spans="1:129" s="312" customFormat="1" ht="13" x14ac:dyDescent="0.25">
      <c r="A24" s="351"/>
      <c r="B24" s="417"/>
      <c r="C24" s="675">
        <f>BU24</f>
        <v>5</v>
      </c>
      <c r="D24" s="677">
        <v>1</v>
      </c>
      <c r="E24" s="585"/>
      <c r="F24" s="586"/>
      <c r="G24" s="600"/>
      <c r="H24" s="587"/>
      <c r="I24" s="601"/>
      <c r="J24" s="585"/>
      <c r="K24" s="617"/>
      <c r="L24" s="602"/>
      <c r="M24" s="603"/>
      <c r="N24" s="588"/>
      <c r="O24" s="604"/>
      <c r="P24" s="605"/>
      <c r="Q24" s="588"/>
      <c r="R24" s="604"/>
      <c r="S24" s="605"/>
      <c r="T24" s="606"/>
      <c r="U24" s="606"/>
      <c r="V24" s="429" t="str">
        <f t="shared" ref="V24:V87" si="0">AV24</f>
        <v/>
      </c>
      <c r="W24" s="430" t="str">
        <f>AW24</f>
        <v/>
      </c>
      <c r="X24" s="66" t="str">
        <f>IF(AND(ISNUMBER(P24),N24=FixedDim),MAX('Adjustment factors'!$S$16,0.2+0.8*P24),IF(ISTEXT(N24),VLOOKUP(N24,Afactors,2,TRUE),""))</f>
        <v/>
      </c>
      <c r="Y24" s="17" t="str">
        <f>IF(AND(ISNUMBER(S24),Q24=FixedDim),MAX('Adjustment factors'!$S$16,0.2+0.8*S24),IF(ISTEXT(Q24),VLOOKUP(Q24,Afactors,2,TRUE),""))</f>
        <v/>
      </c>
      <c r="Z24" s="297" t="str">
        <f>IF(ISBLANK(T24),"",VLOOKUP(T24,'Adjustment factors'!$R$27:$S$30,2,TRUE))</f>
        <v/>
      </c>
      <c r="AA24" s="297" t="str">
        <f>IF(ISBLANK(U24),"",VLOOKUP(U24,'Adjustment factors'!$R$27:$S$30,2,TRUE))</f>
        <v/>
      </c>
      <c r="AB24" s="480">
        <f>IF(Z24="",1,IF(AA24="",Z24,Z24*AA24))</f>
        <v>1</v>
      </c>
      <c r="AC24" s="18" t="b">
        <f t="shared" ref="AC24:AC87" si="1">OR(ISNUMBER(X24),ISNUMBER(Y24))</f>
        <v>0</v>
      </c>
      <c r="AD24" s="18" t="b">
        <f t="shared" ref="AD24:AD87" si="2">AND(ISNUMBER(X24),ISNUMBER(Y24))</f>
        <v>0</v>
      </c>
      <c r="AE24" s="18" t="b">
        <f>ISNUMBER(CM24)</f>
        <v>0</v>
      </c>
      <c r="AF24" s="17" t="str">
        <f t="shared" ref="AF24:AF87" si="3">IF(OR(ISNUMBER(X24),ISNUMBER(Y24)),SMALL(X24:Y24,1),"")</f>
        <v/>
      </c>
      <c r="AG24" s="18" t="str">
        <f t="shared" ref="AG24:AG87" si="4">IF(AD24,SMALL(X24:Y24,2),"")</f>
        <v/>
      </c>
      <c r="AH24" s="17" t="str">
        <f>IF(AE24,CK24/CM24,"")</f>
        <v/>
      </c>
      <c r="AI24" s="297" t="e">
        <f>IF(AND(ISNUMBER(AB24),ISNUMBER(AH24)),AH24/AB24,CK24/AB24)</f>
        <v>#VALUE!</v>
      </c>
      <c r="AJ24" s="79" t="e">
        <f t="shared" ref="AJ24:AJ87" si="5">IF(AND(AC24,AE24,AR24),AI24/X24,IF(AE24,AI24,IF(AND(AC24,AR24),AI24/X24,IF(AND(NOT(AC24),NOT(AE24)),CK24/AB24,""))))</f>
        <v>#VALUE!</v>
      </c>
      <c r="AK24" s="17" t="str">
        <f>IF(AD24,(AF24*(AG24+((1-AG24)/2))),"")</f>
        <v/>
      </c>
      <c r="AL24" s="80" t="e">
        <f t="shared" ref="AL24:AL87" si="6">IF(AND(AD24,AE24),IF(Q24=FixedDim,IF(ISNUMBER(S24),AI24/AK24,""),AI24/AK24),IF(AND(AD24,Q24=FixedDim,ISNUMBER(S24)),CK24/AK24,IF(AND(AD24,Q24=FixedDim,ISBLANK(S24)),"",CK24/(AK24*AB24))))</f>
        <v>#VALUE!</v>
      </c>
      <c r="AM24" s="139" t="b">
        <f t="shared" ref="AM24:AM87" si="7">OR(AND(NOT(ISBLANK(E24)),AN24),COUNTA(E24:J24)+COUNTA(N24:S24)=0)</f>
        <v>1</v>
      </c>
      <c r="AN24" s="139" t="b">
        <f>AND(COUNTA(E24)&gt;0,ISNUMBER(F24),OR(COUNT(G24:H24)=0,COUNT(G24:H24)=2,AND(ISNUMBER(G24),ISNUMBER(VALUE(LEFT(H24,SUM(LEN(H24)-LEN(SUBSTITUTE(H24,{"0","1","2","3","4","5","6","7","8","9","."},"")))))))),ISNUMBER(I24),ISTEXT(J24))</f>
        <v>0</v>
      </c>
      <c r="AO24" s="19" t="b">
        <f t="shared" ref="AO24:AO87" si="8">NOT(COUNTBLANK(E24:J24)=6)</f>
        <v>0</v>
      </c>
      <c r="AP24" s="19" t="b">
        <f t="shared" ref="AP24:AP87" si="9">COUNTBLANK(E24:J24)=6</f>
        <v>1</v>
      </c>
      <c r="AQ24" s="19" t="b">
        <f>IF(AND(COUNTBLANK(E24:J24)=6,OR(AN25:AN$523)),NOT(AN24))</f>
        <v>0</v>
      </c>
      <c r="AR24" s="19" t="str">
        <f t="shared" ref="AR24:AR87" si="10">IF(COUNTBLANK(N24)&lt;=0,OR(AND(VLOOKUP(N24,Afactors,3,TRUE),NOT(ISNUMBER(O24)),NOT(ISNUMBER(P24))),AND(N24=FixedDim,NOT(ISNUMBER(O24)),(ISNUMBER(P24))),AND(N24=ProgDim,NOT(ISNUMBER(P24)),(ISNUMBER(O24)),O24&gt;=0.75)),IF(AS24,"",FALSE))</f>
        <v/>
      </c>
      <c r="AS24" s="19" t="b">
        <f t="shared" ref="AS24:AS87" si="11">AND(ISBLANK(O24),ISBLANK(P24))</f>
        <v>1</v>
      </c>
      <c r="AT24" s="19" t="str">
        <f t="shared" ref="AT24:AT87" si="12">IF(COUNTBLANK(Q24)&lt;=0,OR(AND(VLOOKUP(Q24,Afactors,3,TRUE),NOT(ISNUMBER(R24)),NOT(ISNUMBER(S24))),AND(Q24=FixedDim,NOT(ISNUMBER(R24)),(ISNUMBER(S24))),AND(Q24=ProgDim,NOT(ISNUMBER(S24)),(ISNUMBER(R24)),R24&gt;=0.75)),IF(AU24,"",FALSE))</f>
        <v/>
      </c>
      <c r="AU24" s="19" t="b">
        <f t="shared" ref="AU24:AU87" si="13">AND(ISBLANK(R24),ISBLANK(S24))</f>
        <v>1</v>
      </c>
      <c r="AV24" s="140" t="str">
        <f>IF(AND(AM24,AN24,AR24,AT24),IF(ISNUMBER(AG24),ROUND(AL24,0),ROUND(AJ24,0)),"")</f>
        <v/>
      </c>
      <c r="AW24" s="19" t="str">
        <f t="shared" ref="AW24:AW87" si="14">IF(AND(AM24,AN24,AR24,AT24),BP24,"")</f>
        <v/>
      </c>
      <c r="AX24" s="81">
        <f t="shared" ref="AX24:AX87" si="15">I24</f>
        <v>0</v>
      </c>
      <c r="AY24" s="81" t="str">
        <f t="shared" ref="AY24:AY87" si="16">V24</f>
        <v/>
      </c>
      <c r="AZ24" s="307" t="str">
        <f>IF(DA24&lt;&gt;"OK",DA24,IF(DB24&lt;&gt;"OK",DB24,IF(DC24&lt;&gt;"OK",DC24,IF(DD24&lt;&gt;"OK",DD24,IF(DE24&lt;&gt;"OK",DE24,IF(DF24&lt;&gt;"OK",DF24,IF(DG24&lt;&gt;"OK",DG24,IF(DH24&lt;&gt;"OK",DH24,BA24))))))))</f>
        <v/>
      </c>
      <c r="BA24" s="307" t="str">
        <f>IF(DI24&lt;&gt;"OK",DI24,IF(DJ24&lt;&gt;"OK",DJ24,IF(DK24&lt;&gt;"OK",DK24,IF(DL24&lt;&gt;"OK",DL24,IF(DM24&lt;&gt;"OK",DM24,IF(DN24&lt;&gt;"OK",DN24,IF(DO24&lt;&gt;"OK",DO24,BB24)))))))</f>
        <v/>
      </c>
      <c r="BB24" s="307" t="str">
        <f>IF(DP24&lt;&gt;"OK",DP24,IF(DQ24&lt;&gt;"OK",DQ24,IF(DR24&lt;&gt;"OK",DR24,IF(DS24&lt;&gt;"OK",DS24,IF(DT24&lt;&gt;"OK",DT24,IF(DU24&lt;&gt;"OK",DU24,IF(DV24&lt;&gt;"OK",DV24,IF(DW24&lt;&gt;"OK",DW24,IF(DY24&lt;&gt;"OK",DY24,"")))))))))</f>
        <v/>
      </c>
      <c r="BC24" s="952" t="str">
        <f>IF(AND(COUNTA(DescriptionOne,ClassificationOne)=2,COUNTIF(AD24:AD523,TRUE)&gt;0),"Two adjustment factors have been used. Ensure that they are for different but compatible control devices.","")</f>
        <v/>
      </c>
      <c r="BD24" s="954" t="str">
        <f>IF(AND(COUNTA(DescriptionOne,ClassificationOne)=2,COUNTIF(AD24:AD523,TRUE)&gt;0),"Advisory Note","")</f>
        <v/>
      </c>
      <c r="BE24" s="308" t="str">
        <f t="shared" ref="BE24:BE87" si="17">IF(G24=0,"n/a",G24&gt;=2*PI()*(F24/PI())^0.5)</f>
        <v>n/a</v>
      </c>
      <c r="BF24" s="309" t="b">
        <f t="shared" ref="BF24:BF87" si="18">AND(AM24,AN24,I24&gt;CQ24,Passcheck,InputIssuesOne=0,TopInputsOKOne)</f>
        <v>0</v>
      </c>
      <c r="BG24" s="310" t="b">
        <f t="shared" ref="BG24:BG87" si="19">AND(AM24,AN24,AR24,AT24,I24&lt;=CQ24,Passcheck,InputIssuesOne=0,TopInputsOKOne)</f>
        <v>0</v>
      </c>
      <c r="BH24" s="310" t="b">
        <f t="shared" ref="BH24:BH87" si="20">AND(AM24,AN24,AR24,AT24,I24&gt;CQ24,FailCheck,InputIssuesOne=0,TopInputsOKOne)</f>
        <v>0</v>
      </c>
      <c r="BI24" s="311" t="b">
        <f t="shared" ref="BI24:BI87" si="21">AND(AM24,AN24,I24&lt;=CQ24,InputIssuesOne=0,TopInputsOKOne)</f>
        <v>0</v>
      </c>
      <c r="BJ24" s="309" t="b">
        <f t="shared" ref="BJ24:BJ55" si="22">AND(AM24,AN24,AR24,AT24,Passcheck,InputIssuesOne=0,TopInputsOKOne)</f>
        <v>0</v>
      </c>
      <c r="BK24" s="310" t="b">
        <f t="shared" ref="BK24:BK55" si="23">AND(AM24,AN24,AR24,AT24,FailCheck,InputIssuesOne=0,TopInputsOKOne)</f>
        <v>0</v>
      </c>
      <c r="BL24" s="311" t="b">
        <f t="shared" ref="BL24:BL55" si="24">DX24&gt;0</f>
        <v>0</v>
      </c>
      <c r="BM24" s="217" t="str">
        <f>IF(AN24,AX24/ADIPLone,"")</f>
        <v/>
      </c>
      <c r="BN24" s="146" t="str">
        <f>IF(AN24,percentage,"")</f>
        <v/>
      </c>
      <c r="BO24" s="147" t="str">
        <f>IF(AN24,MIPDLONE&gt;=ADIPLone,"")</f>
        <v/>
      </c>
      <c r="BP24" s="148" t="str">
        <f>IF(AND(AN24,AR24,AT24),TEXT(BM24,"0%")&amp;" of "&amp;TEXT(BN24*100,"General")&amp;"%","")</f>
        <v/>
      </c>
      <c r="BT24" s="49">
        <v>1</v>
      </c>
      <c r="BU24" s="49">
        <f t="shared" ref="BU24:BU87" si="25">IF(RowsPreferredOne&gt;=BT24,RowsPreferredOne,"-")</f>
        <v>5</v>
      </c>
      <c r="BW24" s="352"/>
      <c r="BX24" s="333"/>
      <c r="BY24" s="333"/>
      <c r="BZ24" s="333"/>
      <c r="CA24" s="333"/>
      <c r="CB24" s="333"/>
      <c r="CC24" s="333"/>
      <c r="CD24" s="333"/>
      <c r="CE24" s="333"/>
      <c r="CF24" s="352"/>
      <c r="CG24" s="353">
        <f t="shared" ref="CG24:CG87" si="26">D24</f>
        <v>1</v>
      </c>
      <c r="CH24" s="607">
        <f t="shared" ref="CH24:CH87" si="27">E24</f>
        <v>0</v>
      </c>
      <c r="CI24" s="607">
        <f t="shared" ref="CI24:CI87" si="28">J24</f>
        <v>0</v>
      </c>
      <c r="CJ24" s="608" t="str">
        <f t="shared" ref="CJ24:CJ87" si="29">IF(ISBLANK(J24),"",VLOOKUP(J24,SpaceS1,5,FALSE))</f>
        <v/>
      </c>
      <c r="CK24" s="609" t="str">
        <f t="shared" ref="CK24:CK87" si="30">IF(ISBLANK(J24),"",ROUND(VLOOKUP(J24,SpaceS1,5,FALSE)*F24,0))</f>
        <v/>
      </c>
      <c r="CL24" s="610" t="str">
        <f>IF(ISBLANK(H24),"",IF(AND(ISNUMBER(F24),ISNUMBER(G24),ISNUMBER(H24)),ROUND(F24/(H24*G24),2),ROUND(F24/(VALUE(LEFT(H24,SUM(LEN(H24)-LEN(SUBSTITUTE(H24,{"0","1","2","3","4","5","6","7","8","9","."},"")))))*G24),2)))</f>
        <v/>
      </c>
      <c r="CM24" s="611" t="str">
        <f>IF(CL24&lt;1.5,ROUND(0.5+CL24/3,2),"")</f>
        <v/>
      </c>
      <c r="CN24" s="611" t="str">
        <f>IF(ISNUMBER(P24),MAX('Adjustment factors'!$S$16,(0.2+0.8*P24)),IF(ISTEXT(N24),VLOOKUP(N24,Afactors,2,FALSE),""))</f>
        <v/>
      </c>
      <c r="CO24" s="611" t="str">
        <f>IF(ISNUMBER(S24),MAX('Adjustment factors'!$S$16,0.2+0.8*S24),IF(ISTEXT(Q24),VLOOKUP(Q24,Afactors,2,FALSE),""))</f>
        <v/>
      </c>
      <c r="CP24" s="611" t="str">
        <f>IF(AB24&lt;&gt;1,AB24,"")</f>
        <v/>
      </c>
      <c r="CQ24" s="612" t="str">
        <f>IFERROR(IF(AO24=TRUE,IF(ISNUMBER(AG24),ROUND(AL24,0),ROUND(AJ24,0)),""),"")</f>
        <v/>
      </c>
      <c r="CR24" s="351"/>
      <c r="CS24" s="351"/>
      <c r="CT24" s="351"/>
      <c r="CU24" s="351"/>
      <c r="CV24" s="352"/>
      <c r="CW24" s="352"/>
      <c r="CX24" s="352"/>
      <c r="CY24" s="352"/>
      <c r="DA24" s="313" t="str">
        <f t="shared" ref="DA24:DA87" si="31">IF(AND(COUNTA(DescriptionOne,ClassificationOne)=2,ISBLANK(E24),COUNTA(F24:J24)+COUNTA(N24:S24)&gt;0),"Enter Description","OK")</f>
        <v>OK</v>
      </c>
      <c r="DB24" s="313" t="str">
        <f t="shared" ref="DB24:DB87" si="32">IF(AND(COUNTA(DescriptionOne,ClassificationOne)=2,COUNTA(E24:J24)+COUNTA(N24:S24)&gt;0,ISBLANK(F24)),"Enter Floor area of the space","OK")</f>
        <v>OK</v>
      </c>
      <c r="DC24" s="313" t="str">
        <f t="shared" ref="DC24:DC87" si="33">IF(AND(COUNTA(DescriptionOne,ClassificationOne)=2,COUNTA(E24:J24)+COUNTA(N24:S24)&gt;0,ISBLANK(G24),H24&gt;0),"Enter Perimeter or clear height","OK")</f>
        <v>OK</v>
      </c>
      <c r="DD24" s="313" t="str">
        <f t="shared" ref="DD24:DD87" si="34">IF(AND(COUNTA(DescriptionOne,ClassificationOne)=2,COUNTA(E24:J24)+COUNTA(N24:S24)&gt;0,G24&gt;0,ISBLANK(H24)),"Enter Floor to ceiling height","OK")</f>
        <v>OK</v>
      </c>
      <c r="DE24" s="313" t="str">
        <f t="shared" ref="DE24:DE87" si="35">IF(AND(COUNTA(DescriptionOne,ClassificationOne)=2,COUNTA(E24:H24)&gt;1,ISBLANK(I24)),"Enter Design Illumination Power","OK")</f>
        <v>OK</v>
      </c>
      <c r="DF24" s="314" t="str">
        <f t="shared" ref="DF24:DF87" si="36">IF(AND(COUNTA(DescriptionOne,ClassificationOne)=2,COUNTA(E24:J24)+COUNTA(N24:S24)&gt;0,ISBLANK(J24)),"Enter Space","OK")</f>
        <v>OK</v>
      </c>
      <c r="DG24" s="482" t="str">
        <f>IF(AND(COUNTBLANK(T24)=1,COUNTBLANK(U24)=0),"Second Colour Factor entered without First","OK")</f>
        <v>OK</v>
      </c>
      <c r="DH24" s="482" t="str">
        <f>IF(OR(AND(T24='Adjustment factors'!$R$28,'Class 3, 5-9'!U24='Adjustment factors'!$R$29),AND('Class 3, 5-9'!T24='Adjustment factors'!$R$29,'Class 3, 5-9'!U24='Adjustment factors'!$R$28)),"Invalid combination of adjustment factors",IF(AND(T24=U24,NOT(ISBLANK(T24)),NOT(ISBLANK(U24))),"Same colour factor selected twice","OK"))</f>
        <v>OK</v>
      </c>
      <c r="DI24" s="313" t="str">
        <f t="shared" ref="DI24:DI87" si="37">IF(AND(COUNTA(DescriptionOne,ClassificationOne)=2,COUNTA(E24:J24)+COUNTA(N24:S24)&gt;0,OR(N24=ProgDim),ISBLANK(O24)),"Enter % of floor area controlled","OK")</f>
        <v>OK</v>
      </c>
      <c r="DJ24" s="313" t="str">
        <f>"OK"</f>
        <v>OK</v>
      </c>
      <c r="DK24" s="313" t="str">
        <f t="shared" ref="DK24:DK87" si="38">IF(AND(COUNTA(O24)&gt;0, NOT(OR(N24=ProgDim))), "Adjustment factor is missing", "OK")</f>
        <v>OK</v>
      </c>
      <c r="DL24" s="313" t="str">
        <f t="shared" ref="DL24:DL87" si="39">IF(AND(ISNUMBER(P24),N24&lt;&gt;FixedDim),"Illuminance turndown is only valid for Fixed Dimming","OK")</f>
        <v>OK</v>
      </c>
      <c r="DM24" s="313" t="str">
        <f t="shared" ref="DM24:DM87" si="40">IF(AND(NOT(ISNUMBER(P24)),N24=FixedDim),"Enter an illuminance factor","OK")</f>
        <v>OK</v>
      </c>
      <c r="DN24" s="313" t="str">
        <f>IF(ISNUMBER(FIND("NA",$N24)),"Adjustment Factor not applicable","OK")</f>
        <v>OK</v>
      </c>
      <c r="DO24" s="314" t="str">
        <f>"OK"</f>
        <v>OK</v>
      </c>
      <c r="DP24" s="313" t="str">
        <f t="shared" ref="DP24:DP87" si="41">IF(AND(ISTEXT(Q24),NOT(ISTEXT(N24))),"Adjustment Factor 1 is missing","OK")</f>
        <v>OK</v>
      </c>
      <c r="DQ24" s="313" t="str">
        <f t="shared" ref="DQ24:DQ87" si="42">IF(AND(COUNTA(DescriptionOne,ClassificationOne)=2,COUNTA(E24:J24)+COUNTA(N24:S24)&gt;0,OR(Q24=ProgDim),ISBLANK(R24)),"Enter % of floor area controlled","OK")</f>
        <v>OK</v>
      </c>
      <c r="DR24" s="313" t="str">
        <f>"OK"</f>
        <v>OK</v>
      </c>
      <c r="DS24" s="313" t="str">
        <f t="shared" ref="DS24:DS87" si="43">IF(AND(COUNTA(R24)&gt;0, NOT(OR(Q24=ProgDim))), "Adjustment factor is missing", "OK")</f>
        <v>OK</v>
      </c>
      <c r="DT24" s="313" t="str">
        <f t="shared" ref="DT24:DT38" si="44">IF(AND(ISNUMBER(S24),Q24&lt;&gt;FixedDim),"Illuminance turndown is only valid for Fixed Dimming","OK")</f>
        <v>OK</v>
      </c>
      <c r="DU24" s="313" t="str">
        <f t="shared" ref="DU24:DU87" si="45">IF(AND(NOT(ISNUMBER(S24)),Q24=FixedDim),"Enter an illuminance factor","OK")</f>
        <v>OK</v>
      </c>
      <c r="DV24" s="313" t="str">
        <f>IF(ISNUMBER(FIND("NA",$Q24)),"Adjustment Factor not applicable","OK")</f>
        <v>OK</v>
      </c>
      <c r="DW24" s="314" t="str">
        <f>"OK"</f>
        <v>OK</v>
      </c>
      <c r="DX24" s="315">
        <f>COUNTIF(DA24:DW24,"&lt;&gt;OK")</f>
        <v>0</v>
      </c>
      <c r="DY24" s="316" t="str">
        <f>IF(AQ24,"ROW SKIPPED (OK if intentional)","OK")</f>
        <v>OK</v>
      </c>
    </row>
    <row r="25" spans="1:129" ht="13" x14ac:dyDescent="0.3">
      <c r="A25" s="333"/>
      <c r="B25" s="333"/>
      <c r="C25" s="676">
        <f t="shared" ref="C25:C88" si="46">BU25</f>
        <v>5</v>
      </c>
      <c r="D25" s="677">
        <v>2</v>
      </c>
      <c r="E25" s="585"/>
      <c r="F25" s="586"/>
      <c r="G25" s="600"/>
      <c r="H25" s="587"/>
      <c r="I25" s="601"/>
      <c r="J25" s="585"/>
      <c r="K25" s="617"/>
      <c r="L25" s="602"/>
      <c r="M25" s="603"/>
      <c r="N25" s="588"/>
      <c r="O25" s="604"/>
      <c r="P25" s="605"/>
      <c r="Q25" s="588"/>
      <c r="R25" s="604"/>
      <c r="S25" s="605"/>
      <c r="T25" s="606"/>
      <c r="U25" s="606"/>
      <c r="V25" s="429" t="str">
        <f t="shared" si="0"/>
        <v/>
      </c>
      <c r="W25" s="430" t="str">
        <f t="shared" ref="W25:W88" si="47">AW25</f>
        <v/>
      </c>
      <c r="X25" s="66" t="str">
        <f>IF(AND(ISNUMBER(P25),N25=FixedDim),MAX('Adjustment factors'!$S$16,0.2+0.8*P25),IF(ISTEXT(N25),VLOOKUP(N25,Afactors,2,TRUE),""))</f>
        <v/>
      </c>
      <c r="Y25" s="17" t="str">
        <f>IF(AND(ISNUMBER(S25),Q25=FixedDim),MAX('Adjustment factors'!$S$16,0.2+0.8*S25),IF(ISTEXT(Q25),VLOOKUP(Q25,Afactors,2,TRUE),""))</f>
        <v/>
      </c>
      <c r="Z25" s="297" t="str">
        <f>IF(ISBLANK(T25),"",VLOOKUP(T25,'Adjustment factors'!$R$27:$S$30,2,TRUE))</f>
        <v/>
      </c>
      <c r="AA25" s="297" t="str">
        <f>IF(ISBLANK(U25),"",VLOOKUP(U25,'Adjustment factors'!$R$27:$S$30,2,TRUE))</f>
        <v/>
      </c>
      <c r="AB25" s="480">
        <f t="shared" ref="AB25:AB88" si="48">IF(Z25="",1,IF(AA25="",Z25,Z25*AA25))</f>
        <v>1</v>
      </c>
      <c r="AC25" s="18" t="b">
        <f t="shared" si="1"/>
        <v>0</v>
      </c>
      <c r="AD25" s="18" t="b">
        <f t="shared" si="2"/>
        <v>0</v>
      </c>
      <c r="AE25" s="18" t="b">
        <f>ISNUMBER(CM25)</f>
        <v>0</v>
      </c>
      <c r="AF25" s="17" t="str">
        <f t="shared" si="3"/>
        <v/>
      </c>
      <c r="AG25" s="18" t="str">
        <f t="shared" si="4"/>
        <v/>
      </c>
      <c r="AH25" s="17" t="str">
        <f>IF(AE25,CK25/CM25,"")</f>
        <v/>
      </c>
      <c r="AI25" s="297" t="e">
        <f t="shared" ref="AI25:AI88" si="49">IF(AND(ISNUMBER(AB25),ISNUMBER(AH25)),AH25/AB25,CK25/AB25)</f>
        <v>#VALUE!</v>
      </c>
      <c r="AJ25" s="79" t="e">
        <f t="shared" si="5"/>
        <v>#VALUE!</v>
      </c>
      <c r="AK25" s="17" t="str">
        <f>IF(AD25,(AF25*(AG25+((1-AG25)/2))),"")</f>
        <v/>
      </c>
      <c r="AL25" s="80" t="e">
        <f t="shared" si="6"/>
        <v>#VALUE!</v>
      </c>
      <c r="AM25" s="139" t="b">
        <f t="shared" si="7"/>
        <v>1</v>
      </c>
      <c r="AN25" s="139" t="b">
        <f>AND(COUNTA(E25)&gt;0,ISNUMBER(F25),OR(COUNT(G25:H25)=0,COUNT(G25:H25)=2,AND(ISNUMBER(G25),ISNUMBER(VALUE(LEFT(H25,SUM(LEN(H25)-LEN(SUBSTITUTE(H25,{"0","1","2","3","4","5","6","7","8","9","."},"")))))))),ISNUMBER(I25),ISTEXT(J25))</f>
        <v>0</v>
      </c>
      <c r="AO25" s="19" t="b">
        <f t="shared" si="8"/>
        <v>0</v>
      </c>
      <c r="AP25" s="19" t="b">
        <f t="shared" si="9"/>
        <v>1</v>
      </c>
      <c r="AQ25" s="19" t="b">
        <f>IF(AND(COUNTBLANK(E25:J25)=6,OR(AN26:AN$523)),NOT(AN25))</f>
        <v>0</v>
      </c>
      <c r="AR25" s="19" t="str">
        <f t="shared" si="10"/>
        <v/>
      </c>
      <c r="AS25" s="19" t="b">
        <f t="shared" si="11"/>
        <v>1</v>
      </c>
      <c r="AT25" s="19" t="str">
        <f t="shared" si="12"/>
        <v/>
      </c>
      <c r="AU25" s="19" t="b">
        <f t="shared" si="13"/>
        <v>1</v>
      </c>
      <c r="AV25" s="140" t="str">
        <f t="shared" ref="AV25:AV88" si="50">IF(AND(AM25,AN25,AR25,AT25),IF(ISNUMBER(AG25),ROUND(AL25,0),ROUND(AJ25,0)),"")</f>
        <v/>
      </c>
      <c r="AW25" s="19" t="str">
        <f t="shared" si="14"/>
        <v/>
      </c>
      <c r="AX25" s="81">
        <f t="shared" si="15"/>
        <v>0</v>
      </c>
      <c r="AY25" s="81" t="str">
        <f t="shared" si="16"/>
        <v/>
      </c>
      <c r="AZ25" s="307" t="str">
        <f t="shared" ref="AZ25:AZ88" si="51">IF(DA25&lt;&gt;"OK",DA25,IF(DB25&lt;&gt;"OK",DB25,IF(DC25&lt;&gt;"OK",DC25,IF(DD25&lt;&gt;"OK",DD25,IF(DE25&lt;&gt;"OK",DE25,IF(DF25&lt;&gt;"OK",DF25,IF(DG25&lt;&gt;"OK",DG25,IF(DH25&lt;&gt;"OK",DH25,BA25))))))))</f>
        <v/>
      </c>
      <c r="BA25" s="281" t="str">
        <f t="shared" ref="BA25:BA88" si="52">IF(DI25&lt;&gt;"OK",DI25,IF(DJ25&lt;&gt;"OK",DJ25,IF(DK25&lt;&gt;"OK",DK25,IF(DL25&lt;&gt;"OK",DL25,IF(DM25&lt;&gt;"OK",DM25,IF(DN25&lt;&gt;"OK",DN25,IF(DO25&lt;&gt;"OK",DO25,BB25)))))))</f>
        <v/>
      </c>
      <c r="BB25" s="281" t="str">
        <f t="shared" ref="BB25:BB88" si="53">IF(DP25&lt;&gt;"OK",DP25,IF(DQ25&lt;&gt;"OK",DQ25,IF(DR25&lt;&gt;"OK",DR25,IF(DS25&lt;&gt;"OK",DS25,IF(DT25&lt;&gt;"OK",DT25,IF(DU25&lt;&gt;"OK",DU25,IF(DV25&lt;&gt;"OK",DV25,IF(DW25&lt;&gt;"OK",DW25,IF(DY25&lt;&gt;"OK",DY25,"")))))))))</f>
        <v/>
      </c>
      <c r="BC25" s="953"/>
      <c r="BD25" s="955"/>
      <c r="BE25" s="219" t="str">
        <f t="shared" si="17"/>
        <v>n/a</v>
      </c>
      <c r="BF25" s="215" t="b">
        <f t="shared" si="18"/>
        <v>0</v>
      </c>
      <c r="BG25" s="145" t="b">
        <f t="shared" si="19"/>
        <v>0</v>
      </c>
      <c r="BH25" s="145" t="b">
        <f t="shared" si="20"/>
        <v>0</v>
      </c>
      <c r="BI25" s="216" t="b">
        <f t="shared" si="21"/>
        <v>0</v>
      </c>
      <c r="BJ25" s="215" t="b">
        <f t="shared" si="22"/>
        <v>0</v>
      </c>
      <c r="BK25" s="145" t="b">
        <f t="shared" si="23"/>
        <v>0</v>
      </c>
      <c r="BL25" s="216" t="b">
        <f t="shared" si="24"/>
        <v>0</v>
      </c>
      <c r="BM25" s="217" t="str">
        <f t="shared" ref="BM25:BM88" si="54">IF(AN25,AX25/ADIPLone,"")</f>
        <v/>
      </c>
      <c r="BN25" s="146" t="str">
        <f t="shared" ref="BN25:BN88" si="55">IF(AN25,percentage,"")</f>
        <v/>
      </c>
      <c r="BO25" s="147" t="str">
        <f t="shared" ref="BO25:BO88" si="56">IF(AN25,MIPDLONE&gt;=ADIPLone,"")</f>
        <v/>
      </c>
      <c r="BP25" s="148" t="str">
        <f t="shared" ref="BP25:BP88" si="57">IF(AND(AN25,AR25,AT25),TEXT(BM25,"0%")&amp;" of "&amp;TEXT(BN25*100,"General")&amp;"%","")</f>
        <v/>
      </c>
      <c r="BT25" s="50">
        <v>2</v>
      </c>
      <c r="BU25" s="50">
        <f t="shared" si="25"/>
        <v>5</v>
      </c>
      <c r="BW25" s="333"/>
      <c r="BX25" s="333"/>
      <c r="BY25" s="333"/>
      <c r="BZ25" s="333"/>
      <c r="CA25" s="333"/>
      <c r="CB25" s="333"/>
      <c r="CC25" s="333"/>
      <c r="CD25" s="333"/>
      <c r="CE25" s="333"/>
      <c r="CF25" s="333"/>
      <c r="CG25" s="354">
        <f t="shared" si="26"/>
        <v>2</v>
      </c>
      <c r="CH25" s="613">
        <f t="shared" si="27"/>
        <v>0</v>
      </c>
      <c r="CI25" s="613">
        <f t="shared" si="28"/>
        <v>0</v>
      </c>
      <c r="CJ25" s="614" t="str">
        <f t="shared" si="29"/>
        <v/>
      </c>
      <c r="CK25" s="615" t="str">
        <f t="shared" si="30"/>
        <v/>
      </c>
      <c r="CL25" s="610" t="str">
        <f>IF(ISBLANK(H25),"",IF(AND(ISNUMBER(F25),ISNUMBER(G25),ISNUMBER(H25)),ROUND(F25/(H25*G25),2),ROUND(F25/(VALUE(LEFT(H25,SUM(LEN(H25)-LEN(SUBSTITUTE(H25,{"0","1","2","3","4","5","6","7","8","9","."},"")))))*G25),2)))</f>
        <v/>
      </c>
      <c r="CM25" s="616" t="str">
        <f t="shared" ref="CM25:CM88" si="58">IF(CL25&lt;1.5,ROUND(0.5+CL25/3,2),"")</f>
        <v/>
      </c>
      <c r="CN25" s="616" t="str">
        <f>IF(ISNUMBER(P25),MAX('Adjustment factors'!$S$16,(0.2+0.8*P25)),IF(ISTEXT(N25),VLOOKUP(N25,Afactors,2,FALSE),""))</f>
        <v/>
      </c>
      <c r="CO25" s="616" t="str">
        <f>IF(ISNUMBER(S25),MAX('Adjustment factors'!$S$16,0.2+0.8*S25),IF(ISTEXT(Q25),VLOOKUP(Q25,Afactors,2,FALSE),""))</f>
        <v/>
      </c>
      <c r="CP25" s="611" t="str">
        <f t="shared" ref="CP25:CP88" si="59">IF(AB25&lt;&gt;1,AB25,"")</f>
        <v/>
      </c>
      <c r="CQ25" s="612" t="str">
        <f t="shared" ref="CQ25:CQ88" si="60">IFERROR(IF(AO25=TRUE,IF(ISNUMBER(AG25),ROUND(AL25,0),ROUND(AJ25,0)),""),"")</f>
        <v/>
      </c>
      <c r="CR25" s="340"/>
      <c r="CS25" s="340"/>
      <c r="CT25" s="340"/>
      <c r="CU25" s="340"/>
      <c r="CV25" s="333"/>
      <c r="CW25" s="333"/>
      <c r="CX25" s="333"/>
      <c r="CY25" s="333"/>
      <c r="DA25" s="313" t="str">
        <f t="shared" si="31"/>
        <v>OK</v>
      </c>
      <c r="DB25" s="313" t="str">
        <f t="shared" si="32"/>
        <v>OK</v>
      </c>
      <c r="DC25" s="313" t="str">
        <f t="shared" si="33"/>
        <v>OK</v>
      </c>
      <c r="DD25" s="313" t="str">
        <f t="shared" si="34"/>
        <v>OK</v>
      </c>
      <c r="DE25" s="153" t="str">
        <f t="shared" si="35"/>
        <v>OK</v>
      </c>
      <c r="DF25" s="314" t="str">
        <f t="shared" si="36"/>
        <v>OK</v>
      </c>
      <c r="DG25" s="482" t="str">
        <f t="shared" ref="DG25:DG88" si="61">IF(AND(COUNTBLANK(T25)=1,COUNTBLANK(U25)=0),"Second Colour Factor entered without First","OK")</f>
        <v>OK</v>
      </c>
      <c r="DH25" s="482" t="str">
        <f>IF(OR(AND(T25='Adjustment factors'!$R$28,'Class 3, 5-9'!U25='Adjustment factors'!$R$29),AND('Class 3, 5-9'!T25='Adjustment factors'!$R$29,'Class 3, 5-9'!U25='Adjustment factors'!$R$28)),"Invalid combination of adjustment factors",IF(AND(T25=U25,NOT(ISBLANK(T25)),NOT(ISBLANK(U25))),"Same colour factor selected twice","OK"))</f>
        <v>OK</v>
      </c>
      <c r="DI25" s="313" t="str">
        <f t="shared" si="37"/>
        <v>OK</v>
      </c>
      <c r="DJ25" s="153" t="str">
        <f t="shared" ref="DJ25:DJ88" si="62">"OK"</f>
        <v>OK</v>
      </c>
      <c r="DK25" s="153" t="str">
        <f t="shared" si="38"/>
        <v>OK</v>
      </c>
      <c r="DL25" s="313" t="str">
        <f t="shared" si="39"/>
        <v>OK</v>
      </c>
      <c r="DM25" s="153" t="str">
        <f t="shared" si="40"/>
        <v>OK</v>
      </c>
      <c r="DN25" s="153" t="str">
        <f t="shared" ref="DN25:DN88" si="63">IF(ISNUMBER(FIND("NA",$N25)),"Adjustment Factor not applicable","OK")</f>
        <v>OK</v>
      </c>
      <c r="DO25" s="154" t="str">
        <f t="shared" ref="DO25:DO88" si="64">"OK"</f>
        <v>OK</v>
      </c>
      <c r="DP25" s="153" t="str">
        <f t="shared" si="41"/>
        <v>OK</v>
      </c>
      <c r="DQ25" s="313" t="str">
        <f t="shared" si="42"/>
        <v>OK</v>
      </c>
      <c r="DR25" s="153" t="str">
        <f t="shared" ref="DR25:DR88" si="65">"OK"</f>
        <v>OK</v>
      </c>
      <c r="DS25" s="153" t="str">
        <f t="shared" si="43"/>
        <v>OK</v>
      </c>
      <c r="DT25" s="313" t="str">
        <f t="shared" si="44"/>
        <v>OK</v>
      </c>
      <c r="DU25" s="153" t="str">
        <f t="shared" si="45"/>
        <v>OK</v>
      </c>
      <c r="DV25" s="153" t="str">
        <f t="shared" ref="DV25:DV88" si="66">IF(ISNUMBER(FIND("NA",$Q25)),"Adjustment Factor not applicable","OK")</f>
        <v>OK</v>
      </c>
      <c r="DW25" s="154" t="str">
        <f t="shared" ref="DW25:DW88" si="67">"OK"</f>
        <v>OK</v>
      </c>
      <c r="DX25" s="157">
        <f t="shared" ref="DX25:DX88" si="68">COUNTIF(DA25:DW25,"&lt;&gt;OK")</f>
        <v>0</v>
      </c>
      <c r="DY25" s="156" t="str">
        <f t="shared" ref="DY25:DY88" si="69">IF(AQ25,"ROW SKIPPED (OK if intentional)","OK")</f>
        <v>OK</v>
      </c>
    </row>
    <row r="26" spans="1:129" ht="13" x14ac:dyDescent="0.3">
      <c r="A26" s="333"/>
      <c r="B26" s="333"/>
      <c r="C26" s="676">
        <f t="shared" si="46"/>
        <v>5</v>
      </c>
      <c r="D26" s="677">
        <v>3</v>
      </c>
      <c r="E26" s="585"/>
      <c r="F26" s="586"/>
      <c r="G26" s="600"/>
      <c r="H26" s="587"/>
      <c r="I26" s="601"/>
      <c r="J26" s="585"/>
      <c r="K26" s="617"/>
      <c r="L26" s="602"/>
      <c r="M26" s="603"/>
      <c r="N26" s="588"/>
      <c r="O26" s="604"/>
      <c r="P26" s="605"/>
      <c r="Q26" s="588"/>
      <c r="R26" s="604"/>
      <c r="S26" s="605"/>
      <c r="T26" s="606"/>
      <c r="U26" s="606"/>
      <c r="V26" s="429" t="str">
        <f t="shared" si="0"/>
        <v/>
      </c>
      <c r="W26" s="430" t="str">
        <f t="shared" si="47"/>
        <v/>
      </c>
      <c r="X26" s="66" t="str">
        <f>IF(AND(ISNUMBER(P26),N26=FixedDim),MAX('Adjustment factors'!$S$16,0.2+0.8*P26),IF(ISTEXT(N26),VLOOKUP(N26,Afactors,2,TRUE),""))</f>
        <v/>
      </c>
      <c r="Y26" s="17" t="str">
        <f>IF(AND(ISNUMBER(S26),Q26=FixedDim),MAX('Adjustment factors'!$S$16,0.2+0.8*S26),IF(ISTEXT(Q26),VLOOKUP(Q26,Afactors,2,TRUE),""))</f>
        <v/>
      </c>
      <c r="Z26" s="297" t="str">
        <f>IF(ISBLANK(T26),"",VLOOKUP(T26,'Adjustment factors'!$R$27:$S$30,2,TRUE))</f>
        <v/>
      </c>
      <c r="AA26" s="297" t="str">
        <f>IF(ISBLANK(U26),"",VLOOKUP(U26,'Adjustment factors'!$R$27:$S$30,2,TRUE))</f>
        <v/>
      </c>
      <c r="AB26" s="480">
        <f t="shared" si="48"/>
        <v>1</v>
      </c>
      <c r="AC26" s="18" t="b">
        <f t="shared" si="1"/>
        <v>0</v>
      </c>
      <c r="AD26" s="18" t="b">
        <f t="shared" si="2"/>
        <v>0</v>
      </c>
      <c r="AE26" s="18" t="b">
        <f t="shared" ref="AE26:AE88" si="70">ISNUMBER(CM26)</f>
        <v>0</v>
      </c>
      <c r="AF26" s="17" t="str">
        <f t="shared" si="3"/>
        <v/>
      </c>
      <c r="AG26" s="18" t="str">
        <f t="shared" si="4"/>
        <v/>
      </c>
      <c r="AH26" s="17" t="str">
        <f t="shared" ref="AH26:AH87" si="71">IF(AE26,CK26/CM26,"")</f>
        <v/>
      </c>
      <c r="AI26" s="297" t="e">
        <f t="shared" si="49"/>
        <v>#VALUE!</v>
      </c>
      <c r="AJ26" s="79" t="e">
        <f t="shared" si="5"/>
        <v>#VALUE!</v>
      </c>
      <c r="AK26" s="17" t="str">
        <f>IF(AD26,(AF26*(AG26+((1-AG26)/2))),"")</f>
        <v/>
      </c>
      <c r="AL26" s="80" t="e">
        <f t="shared" si="6"/>
        <v>#VALUE!</v>
      </c>
      <c r="AM26" s="139" t="b">
        <f t="shared" si="7"/>
        <v>1</v>
      </c>
      <c r="AN26" s="139" t="b">
        <f>AND(COUNTA(E26)&gt;0,ISNUMBER(F26),OR(COUNT(G26:H26)=0,COUNT(G26:H26)=2,AND(ISNUMBER(G26),ISNUMBER(VALUE(LEFT(H26,SUM(LEN(H26)-LEN(SUBSTITUTE(H26,{"0","1","2","3","4","5","6","7","8","9","."},"")))))))),ISNUMBER(I26),ISTEXT(J26))</f>
        <v>0</v>
      </c>
      <c r="AO26" s="19" t="b">
        <f t="shared" si="8"/>
        <v>0</v>
      </c>
      <c r="AP26" s="19" t="b">
        <f t="shared" si="9"/>
        <v>1</v>
      </c>
      <c r="AQ26" s="19" t="b">
        <f>IF(AND(COUNTBLANK(E26:J26)=6,OR(AN27:AN$523)),NOT(AN26))</f>
        <v>0</v>
      </c>
      <c r="AR26" s="19" t="str">
        <f t="shared" si="10"/>
        <v/>
      </c>
      <c r="AS26" s="19" t="b">
        <f t="shared" si="11"/>
        <v>1</v>
      </c>
      <c r="AT26" s="19" t="str">
        <f t="shared" si="12"/>
        <v/>
      </c>
      <c r="AU26" s="19" t="b">
        <f t="shared" si="13"/>
        <v>1</v>
      </c>
      <c r="AV26" s="140" t="str">
        <f t="shared" si="50"/>
        <v/>
      </c>
      <c r="AW26" s="19" t="str">
        <f t="shared" si="14"/>
        <v/>
      </c>
      <c r="AX26" s="81">
        <f t="shared" si="15"/>
        <v>0</v>
      </c>
      <c r="AY26" s="81" t="str">
        <f t="shared" si="16"/>
        <v/>
      </c>
      <c r="AZ26" s="307" t="str">
        <f t="shared" si="51"/>
        <v/>
      </c>
      <c r="BA26" s="281" t="str">
        <f t="shared" si="52"/>
        <v/>
      </c>
      <c r="BB26" s="281" t="str">
        <f t="shared" si="53"/>
        <v/>
      </c>
      <c r="BC26" s="953"/>
      <c r="BD26" s="955"/>
      <c r="BE26" s="219" t="str">
        <f t="shared" si="17"/>
        <v>n/a</v>
      </c>
      <c r="BF26" s="215" t="b">
        <f t="shared" si="18"/>
        <v>0</v>
      </c>
      <c r="BG26" s="145" t="b">
        <f t="shared" si="19"/>
        <v>0</v>
      </c>
      <c r="BH26" s="145" t="b">
        <f t="shared" si="20"/>
        <v>0</v>
      </c>
      <c r="BI26" s="216" t="b">
        <f t="shared" si="21"/>
        <v>0</v>
      </c>
      <c r="BJ26" s="215" t="b">
        <f t="shared" si="22"/>
        <v>0</v>
      </c>
      <c r="BK26" s="145" t="b">
        <f t="shared" si="23"/>
        <v>0</v>
      </c>
      <c r="BL26" s="216" t="b">
        <f t="shared" si="24"/>
        <v>0</v>
      </c>
      <c r="BM26" s="217" t="str">
        <f t="shared" si="54"/>
        <v/>
      </c>
      <c r="BN26" s="146" t="str">
        <f t="shared" si="55"/>
        <v/>
      </c>
      <c r="BO26" s="147" t="str">
        <f t="shared" si="56"/>
        <v/>
      </c>
      <c r="BP26" s="148" t="str">
        <f t="shared" si="57"/>
        <v/>
      </c>
      <c r="BT26" s="50">
        <v>3</v>
      </c>
      <c r="BU26" s="50">
        <f t="shared" si="25"/>
        <v>5</v>
      </c>
      <c r="BW26" s="333"/>
      <c r="BX26" s="333"/>
      <c r="BY26" s="333"/>
      <c r="BZ26" s="333"/>
      <c r="CA26" s="333"/>
      <c r="CB26" s="333"/>
      <c r="CC26" s="333"/>
      <c r="CD26" s="333"/>
      <c r="CE26" s="333"/>
      <c r="CF26" s="333"/>
      <c r="CG26" s="354">
        <f t="shared" si="26"/>
        <v>3</v>
      </c>
      <c r="CH26" s="613">
        <f t="shared" si="27"/>
        <v>0</v>
      </c>
      <c r="CI26" s="613">
        <f t="shared" si="28"/>
        <v>0</v>
      </c>
      <c r="CJ26" s="614" t="str">
        <f t="shared" si="29"/>
        <v/>
      </c>
      <c r="CK26" s="615" t="str">
        <f t="shared" si="30"/>
        <v/>
      </c>
      <c r="CL26" s="610" t="str">
        <f>IF(ISBLANK(H26),"",IF(AND(ISNUMBER(F26),ISNUMBER(G26),ISNUMBER(H26)),ROUND(F26/(H26*G26),2),ROUND(F26/(VALUE(LEFT(H26,SUM(LEN(H26)-LEN(SUBSTITUTE(H26,{"0","1","2","3","4","5","6","7","8","9","."},"")))))*G26),2)))</f>
        <v/>
      </c>
      <c r="CM26" s="616" t="str">
        <f t="shared" si="58"/>
        <v/>
      </c>
      <c r="CN26" s="616" t="str">
        <f>IF(ISNUMBER(P26),MAX('Adjustment factors'!$S$16,(0.2+0.8*P26)),IF(ISTEXT(N26),VLOOKUP(N26,Afactors,2,FALSE),""))</f>
        <v/>
      </c>
      <c r="CO26" s="616" t="str">
        <f>IF(ISNUMBER(S26),MAX('Adjustment factors'!$S$16,0.2+0.8*S26),IF(ISTEXT(Q26),VLOOKUP(Q26,Afactors,2,FALSE),""))</f>
        <v/>
      </c>
      <c r="CP26" s="611" t="str">
        <f t="shared" si="59"/>
        <v/>
      </c>
      <c r="CQ26" s="612" t="str">
        <f t="shared" si="60"/>
        <v/>
      </c>
      <c r="CR26" s="340"/>
      <c r="CS26" s="340"/>
      <c r="CT26" s="340"/>
      <c r="CU26" s="340"/>
      <c r="CV26" s="333"/>
      <c r="CW26" s="333"/>
      <c r="CX26" s="333"/>
      <c r="CY26" s="333"/>
      <c r="DA26" s="313" t="str">
        <f t="shared" si="31"/>
        <v>OK</v>
      </c>
      <c r="DB26" s="313" t="str">
        <f t="shared" si="32"/>
        <v>OK</v>
      </c>
      <c r="DC26" s="313" t="str">
        <f t="shared" si="33"/>
        <v>OK</v>
      </c>
      <c r="DD26" s="313" t="str">
        <f t="shared" si="34"/>
        <v>OK</v>
      </c>
      <c r="DE26" s="153" t="str">
        <f t="shared" si="35"/>
        <v>OK</v>
      </c>
      <c r="DF26" s="314" t="str">
        <f t="shared" si="36"/>
        <v>OK</v>
      </c>
      <c r="DG26" s="482" t="str">
        <f t="shared" si="61"/>
        <v>OK</v>
      </c>
      <c r="DH26" s="482" t="str">
        <f>IF(OR(AND(T26='Adjustment factors'!$R$28,'Class 3, 5-9'!U26='Adjustment factors'!$R$29),AND('Class 3, 5-9'!T26='Adjustment factors'!$R$29,'Class 3, 5-9'!U26='Adjustment factors'!$R$28)),"Invalid combination of adjustment factors",IF(AND(T26=U26,NOT(ISBLANK(T26)),NOT(ISBLANK(U26))),"Same colour factor selected twice","OK"))</f>
        <v>OK</v>
      </c>
      <c r="DI26" s="313" t="str">
        <f t="shared" si="37"/>
        <v>OK</v>
      </c>
      <c r="DJ26" s="153" t="str">
        <f t="shared" si="62"/>
        <v>OK</v>
      </c>
      <c r="DK26" s="153" t="str">
        <f t="shared" si="38"/>
        <v>OK</v>
      </c>
      <c r="DL26" s="313" t="str">
        <f t="shared" si="39"/>
        <v>OK</v>
      </c>
      <c r="DM26" s="153" t="str">
        <f t="shared" si="40"/>
        <v>OK</v>
      </c>
      <c r="DN26" s="153" t="str">
        <f t="shared" si="63"/>
        <v>OK</v>
      </c>
      <c r="DO26" s="154" t="str">
        <f t="shared" si="64"/>
        <v>OK</v>
      </c>
      <c r="DP26" s="153" t="str">
        <f t="shared" si="41"/>
        <v>OK</v>
      </c>
      <c r="DQ26" s="313" t="str">
        <f t="shared" si="42"/>
        <v>OK</v>
      </c>
      <c r="DR26" s="153" t="str">
        <f t="shared" si="65"/>
        <v>OK</v>
      </c>
      <c r="DS26" s="153" t="str">
        <f t="shared" si="43"/>
        <v>OK</v>
      </c>
      <c r="DT26" s="313" t="str">
        <f t="shared" si="44"/>
        <v>OK</v>
      </c>
      <c r="DU26" s="153" t="str">
        <f t="shared" si="45"/>
        <v>OK</v>
      </c>
      <c r="DV26" s="153" t="str">
        <f t="shared" si="66"/>
        <v>OK</v>
      </c>
      <c r="DW26" s="154" t="str">
        <f t="shared" si="67"/>
        <v>OK</v>
      </c>
      <c r="DX26" s="157">
        <f t="shared" si="68"/>
        <v>0</v>
      </c>
      <c r="DY26" s="156" t="str">
        <f t="shared" si="69"/>
        <v>OK</v>
      </c>
    </row>
    <row r="27" spans="1:129" ht="13" x14ac:dyDescent="0.3">
      <c r="A27" s="333"/>
      <c r="B27" s="333"/>
      <c r="C27" s="676">
        <f t="shared" si="46"/>
        <v>5</v>
      </c>
      <c r="D27" s="677">
        <v>4</v>
      </c>
      <c r="E27" s="585"/>
      <c r="F27" s="586"/>
      <c r="G27" s="600"/>
      <c r="H27" s="587"/>
      <c r="I27" s="601"/>
      <c r="J27" s="585"/>
      <c r="K27" s="617"/>
      <c r="L27" s="602"/>
      <c r="M27" s="603"/>
      <c r="N27" s="588"/>
      <c r="O27" s="604"/>
      <c r="P27" s="605"/>
      <c r="Q27" s="588"/>
      <c r="R27" s="604"/>
      <c r="S27" s="605"/>
      <c r="T27" s="606"/>
      <c r="U27" s="606"/>
      <c r="V27" s="429" t="str">
        <f t="shared" si="0"/>
        <v/>
      </c>
      <c r="W27" s="430" t="str">
        <f>AW27</f>
        <v/>
      </c>
      <c r="X27" s="66" t="str">
        <f>IF(AND(ISNUMBER(P27),N27=FixedDim),MAX('Adjustment factors'!$S$16,0.2+0.8*P27),IF(ISTEXT(N27),VLOOKUP(N27,Afactors,2,TRUE),""))</f>
        <v/>
      </c>
      <c r="Y27" s="17" t="str">
        <f>IF(AND(ISNUMBER(S27),Q27=FixedDim),MAX('Adjustment factors'!$S$16,0.2+0.8*S27),IF(ISTEXT(Q27),VLOOKUP(Q27,Afactors,2,TRUE),""))</f>
        <v/>
      </c>
      <c r="Z27" s="297" t="str">
        <f>IF(ISBLANK(T27),"",VLOOKUP(T27,'Adjustment factors'!$R$27:$S$30,2,TRUE))</f>
        <v/>
      </c>
      <c r="AA27" s="297" t="str">
        <f>IF(ISBLANK(U27),"",VLOOKUP(U27,'Adjustment factors'!$R$27:$S$30,2,TRUE))</f>
        <v/>
      </c>
      <c r="AB27" s="480">
        <f t="shared" si="48"/>
        <v>1</v>
      </c>
      <c r="AC27" s="18" t="b">
        <f t="shared" si="1"/>
        <v>0</v>
      </c>
      <c r="AD27" s="18" t="b">
        <f t="shared" si="2"/>
        <v>0</v>
      </c>
      <c r="AE27" s="18" t="b">
        <f t="shared" si="70"/>
        <v>0</v>
      </c>
      <c r="AF27" s="17" t="str">
        <f t="shared" si="3"/>
        <v/>
      </c>
      <c r="AG27" s="18" t="str">
        <f t="shared" si="4"/>
        <v/>
      </c>
      <c r="AH27" s="17" t="str">
        <f t="shared" si="71"/>
        <v/>
      </c>
      <c r="AI27" s="297" t="e">
        <f t="shared" si="49"/>
        <v>#VALUE!</v>
      </c>
      <c r="AJ27" s="79" t="e">
        <f t="shared" si="5"/>
        <v>#VALUE!</v>
      </c>
      <c r="AK27" s="17" t="str">
        <f t="shared" ref="AK27:AK90" si="72">IF(AD27,(AF27*(AG27+((1-AG27)/2))),"")</f>
        <v/>
      </c>
      <c r="AL27" s="80" t="e">
        <f t="shared" si="6"/>
        <v>#VALUE!</v>
      </c>
      <c r="AM27" s="139" t="b">
        <f t="shared" si="7"/>
        <v>1</v>
      </c>
      <c r="AN27" s="139" t="b">
        <f>AND(COUNTA(E27)&gt;0,ISNUMBER(F27),OR(COUNT(G27:H27)=0,COUNT(G27:H27)=2,AND(ISNUMBER(G27),ISNUMBER(VALUE(LEFT(H27,SUM(LEN(H27)-LEN(SUBSTITUTE(H27,{"0","1","2","3","4","5","6","7","8","9","."},"")))))))),ISNUMBER(I27),ISTEXT(J27))</f>
        <v>0</v>
      </c>
      <c r="AO27" s="19" t="b">
        <f t="shared" si="8"/>
        <v>0</v>
      </c>
      <c r="AP27" s="19" t="b">
        <f t="shared" si="9"/>
        <v>1</v>
      </c>
      <c r="AQ27" s="19" t="b">
        <f>IF(AND(COUNTBLANK(E27:J27)=6,OR(AN28:AN$523)),NOT(AN27))</f>
        <v>0</v>
      </c>
      <c r="AR27" s="19" t="str">
        <f t="shared" si="10"/>
        <v/>
      </c>
      <c r="AS27" s="19" t="b">
        <f t="shared" si="11"/>
        <v>1</v>
      </c>
      <c r="AT27" s="19" t="str">
        <f t="shared" si="12"/>
        <v/>
      </c>
      <c r="AU27" s="19" t="b">
        <f t="shared" si="13"/>
        <v>1</v>
      </c>
      <c r="AV27" s="140" t="str">
        <f t="shared" si="50"/>
        <v/>
      </c>
      <c r="AW27" s="19" t="str">
        <f t="shared" si="14"/>
        <v/>
      </c>
      <c r="AX27" s="81">
        <f t="shared" si="15"/>
        <v>0</v>
      </c>
      <c r="AY27" s="81" t="str">
        <f t="shared" si="16"/>
        <v/>
      </c>
      <c r="AZ27" s="307" t="str">
        <f t="shared" si="51"/>
        <v/>
      </c>
      <c r="BA27" s="281" t="str">
        <f t="shared" si="52"/>
        <v/>
      </c>
      <c r="BB27" s="281" t="str">
        <f t="shared" si="53"/>
        <v/>
      </c>
      <c r="BC27" s="953"/>
      <c r="BD27" s="955"/>
      <c r="BE27" s="219" t="str">
        <f t="shared" si="17"/>
        <v>n/a</v>
      </c>
      <c r="BF27" s="215" t="b">
        <f t="shared" si="18"/>
        <v>0</v>
      </c>
      <c r="BG27" s="145" t="b">
        <f t="shared" si="19"/>
        <v>0</v>
      </c>
      <c r="BH27" s="145" t="b">
        <f t="shared" si="20"/>
        <v>0</v>
      </c>
      <c r="BI27" s="216" t="b">
        <f t="shared" si="21"/>
        <v>0</v>
      </c>
      <c r="BJ27" s="215" t="b">
        <f t="shared" si="22"/>
        <v>0</v>
      </c>
      <c r="BK27" s="145" t="b">
        <f t="shared" si="23"/>
        <v>0</v>
      </c>
      <c r="BL27" s="216" t="b">
        <f t="shared" si="24"/>
        <v>0</v>
      </c>
      <c r="BM27" s="217" t="str">
        <f t="shared" si="54"/>
        <v/>
      </c>
      <c r="BN27" s="146" t="str">
        <f t="shared" si="55"/>
        <v/>
      </c>
      <c r="BO27" s="147" t="str">
        <f t="shared" si="56"/>
        <v/>
      </c>
      <c r="BP27" s="148" t="str">
        <f t="shared" si="57"/>
        <v/>
      </c>
      <c r="BT27" s="50">
        <v>4</v>
      </c>
      <c r="BU27" s="50">
        <f t="shared" si="25"/>
        <v>5</v>
      </c>
      <c r="BW27" s="333"/>
      <c r="BX27" s="333"/>
      <c r="BY27" s="333"/>
      <c r="BZ27" s="333"/>
      <c r="CA27" s="333"/>
      <c r="CB27" s="333"/>
      <c r="CC27" s="333"/>
      <c r="CD27" s="333"/>
      <c r="CE27" s="333"/>
      <c r="CF27" s="333"/>
      <c r="CG27" s="354">
        <f t="shared" si="26"/>
        <v>4</v>
      </c>
      <c r="CH27" s="613">
        <f t="shared" si="27"/>
        <v>0</v>
      </c>
      <c r="CI27" s="613">
        <f t="shared" si="28"/>
        <v>0</v>
      </c>
      <c r="CJ27" s="614" t="str">
        <f t="shared" si="29"/>
        <v/>
      </c>
      <c r="CK27" s="615" t="str">
        <f t="shared" si="30"/>
        <v/>
      </c>
      <c r="CL27" s="610" t="str">
        <f>IF(ISBLANK(H27),"",IF(AND(ISNUMBER(F27),ISNUMBER(G27),ISNUMBER(H27)),ROUND(F27/(H27*G27),2),ROUND(F27/(VALUE(LEFT(H27,SUM(LEN(H27)-LEN(SUBSTITUTE(H27,{"0","1","2","3","4","5","6","7","8","9","."},"")))))*G27),2)))</f>
        <v/>
      </c>
      <c r="CM27" s="616" t="str">
        <f t="shared" si="58"/>
        <v/>
      </c>
      <c r="CN27" s="616" t="str">
        <f>IF(ISNUMBER(P27),MAX('Adjustment factors'!$S$16,(0.2+0.8*P27)),IF(ISTEXT(N27),VLOOKUP(N27,Afactors,2,FALSE),""))</f>
        <v/>
      </c>
      <c r="CO27" s="616" t="str">
        <f>IF(ISNUMBER(S27),MAX('Adjustment factors'!$S$16,0.2+0.8*S27),IF(ISTEXT(Q27),VLOOKUP(Q27,Afactors,2,FALSE),""))</f>
        <v/>
      </c>
      <c r="CP27" s="611" t="str">
        <f t="shared" si="59"/>
        <v/>
      </c>
      <c r="CQ27" s="612" t="str">
        <f t="shared" si="60"/>
        <v/>
      </c>
      <c r="CR27" s="340"/>
      <c r="CS27" s="340"/>
      <c r="CT27" s="340"/>
      <c r="CU27" s="340"/>
      <c r="CV27" s="333"/>
      <c r="CW27" s="333"/>
      <c r="CX27" s="333"/>
      <c r="CY27" s="333"/>
      <c r="DA27" s="313" t="str">
        <f t="shared" si="31"/>
        <v>OK</v>
      </c>
      <c r="DB27" s="313" t="str">
        <f t="shared" si="32"/>
        <v>OK</v>
      </c>
      <c r="DC27" s="313" t="str">
        <f t="shared" si="33"/>
        <v>OK</v>
      </c>
      <c r="DD27" s="313" t="str">
        <f t="shared" si="34"/>
        <v>OK</v>
      </c>
      <c r="DE27" s="153" t="str">
        <f t="shared" si="35"/>
        <v>OK</v>
      </c>
      <c r="DF27" s="314" t="str">
        <f t="shared" si="36"/>
        <v>OK</v>
      </c>
      <c r="DG27" s="482" t="str">
        <f t="shared" si="61"/>
        <v>OK</v>
      </c>
      <c r="DH27" s="482" t="str">
        <f>IF(OR(AND(T27='Adjustment factors'!$R$28,'Class 3, 5-9'!U27='Adjustment factors'!$R$29),AND('Class 3, 5-9'!T27='Adjustment factors'!$R$29,'Class 3, 5-9'!U27='Adjustment factors'!$R$28)),"Invalid combination of adjustment factors",IF(AND(T27=U27,NOT(ISBLANK(T27)),NOT(ISBLANK(U27))),"Same colour factor selected twice","OK"))</f>
        <v>OK</v>
      </c>
      <c r="DI27" s="313" t="str">
        <f t="shared" si="37"/>
        <v>OK</v>
      </c>
      <c r="DJ27" s="153" t="str">
        <f t="shared" si="62"/>
        <v>OK</v>
      </c>
      <c r="DK27" s="153" t="str">
        <f t="shared" si="38"/>
        <v>OK</v>
      </c>
      <c r="DL27" s="313" t="str">
        <f t="shared" si="39"/>
        <v>OK</v>
      </c>
      <c r="DM27" s="153" t="str">
        <f t="shared" si="40"/>
        <v>OK</v>
      </c>
      <c r="DN27" s="153" t="str">
        <f t="shared" si="63"/>
        <v>OK</v>
      </c>
      <c r="DO27" s="154" t="str">
        <f t="shared" si="64"/>
        <v>OK</v>
      </c>
      <c r="DP27" s="153" t="str">
        <f t="shared" si="41"/>
        <v>OK</v>
      </c>
      <c r="DQ27" s="313" t="str">
        <f t="shared" si="42"/>
        <v>OK</v>
      </c>
      <c r="DR27" s="153" t="str">
        <f t="shared" si="65"/>
        <v>OK</v>
      </c>
      <c r="DS27" s="153" t="str">
        <f t="shared" si="43"/>
        <v>OK</v>
      </c>
      <c r="DT27" s="313" t="str">
        <f t="shared" si="44"/>
        <v>OK</v>
      </c>
      <c r="DU27" s="153" t="str">
        <f t="shared" si="45"/>
        <v>OK</v>
      </c>
      <c r="DV27" s="153" t="str">
        <f t="shared" si="66"/>
        <v>OK</v>
      </c>
      <c r="DW27" s="154" t="str">
        <f t="shared" si="67"/>
        <v>OK</v>
      </c>
      <c r="DX27" s="157">
        <f t="shared" si="68"/>
        <v>0</v>
      </c>
      <c r="DY27" s="156" t="str">
        <f t="shared" si="69"/>
        <v>OK</v>
      </c>
    </row>
    <row r="28" spans="1:129" ht="13" x14ac:dyDescent="0.3">
      <c r="A28" s="333"/>
      <c r="B28" s="333"/>
      <c r="C28" s="676">
        <f t="shared" si="46"/>
        <v>5</v>
      </c>
      <c r="D28" s="677">
        <v>5</v>
      </c>
      <c r="E28" s="585"/>
      <c r="F28" s="586"/>
      <c r="G28" s="600"/>
      <c r="H28" s="587"/>
      <c r="I28" s="601"/>
      <c r="J28" s="585"/>
      <c r="K28" s="617"/>
      <c r="L28" s="602"/>
      <c r="M28" s="603"/>
      <c r="N28" s="588"/>
      <c r="O28" s="604"/>
      <c r="P28" s="605"/>
      <c r="Q28" s="588"/>
      <c r="R28" s="604"/>
      <c r="S28" s="605"/>
      <c r="T28" s="606"/>
      <c r="U28" s="606"/>
      <c r="V28" s="429" t="str">
        <f t="shared" si="0"/>
        <v/>
      </c>
      <c r="W28" s="430" t="str">
        <f t="shared" si="47"/>
        <v/>
      </c>
      <c r="X28" s="66" t="str">
        <f>IF(AND(ISNUMBER(P28),N28=FixedDim),MAX('Adjustment factors'!$S$16,0.2+0.8*P28),IF(ISTEXT(N28),VLOOKUP(N28,Afactors,2,TRUE),""))</f>
        <v/>
      </c>
      <c r="Y28" s="17" t="str">
        <f>IF(AND(ISNUMBER(S28),Q28=FixedDim),MAX('Adjustment factors'!$S$16,0.2+0.8*S28),IF(ISTEXT(Q28),VLOOKUP(Q28,Afactors,2,TRUE),""))</f>
        <v/>
      </c>
      <c r="Z28" s="297" t="str">
        <f>IF(ISBLANK(T28),"",VLOOKUP(T28,'Adjustment factors'!$R$27:$S$30,2,TRUE))</f>
        <v/>
      </c>
      <c r="AA28" s="297" t="str">
        <f>IF(ISBLANK(U28),"",VLOOKUP(U28,'Adjustment factors'!$R$27:$S$30,2,TRUE))</f>
        <v/>
      </c>
      <c r="AB28" s="480">
        <f t="shared" si="48"/>
        <v>1</v>
      </c>
      <c r="AC28" s="18" t="b">
        <f t="shared" si="1"/>
        <v>0</v>
      </c>
      <c r="AD28" s="18" t="b">
        <f t="shared" si="2"/>
        <v>0</v>
      </c>
      <c r="AE28" s="18" t="b">
        <f t="shared" si="70"/>
        <v>0</v>
      </c>
      <c r="AF28" s="17" t="str">
        <f t="shared" si="3"/>
        <v/>
      </c>
      <c r="AG28" s="18" t="str">
        <f t="shared" si="4"/>
        <v/>
      </c>
      <c r="AH28" s="17" t="str">
        <f t="shared" si="71"/>
        <v/>
      </c>
      <c r="AI28" s="297" t="e">
        <f t="shared" si="49"/>
        <v>#VALUE!</v>
      </c>
      <c r="AJ28" s="79" t="e">
        <f t="shared" si="5"/>
        <v>#VALUE!</v>
      </c>
      <c r="AK28" s="17" t="str">
        <f t="shared" si="72"/>
        <v/>
      </c>
      <c r="AL28" s="80" t="e">
        <f t="shared" si="6"/>
        <v>#VALUE!</v>
      </c>
      <c r="AM28" s="139" t="b">
        <f t="shared" si="7"/>
        <v>1</v>
      </c>
      <c r="AN28" s="139" t="b">
        <f>AND(COUNTA(E28)&gt;0,ISNUMBER(F28),OR(COUNT(G28:H28)=0,COUNT(G28:H28)=2,AND(ISNUMBER(G28),ISNUMBER(VALUE(LEFT(H28,SUM(LEN(H28)-LEN(SUBSTITUTE(H28,{"0","1","2","3","4","5","6","7","8","9","."},"")))))))),ISNUMBER(I28),ISTEXT(J28))</f>
        <v>0</v>
      </c>
      <c r="AO28" s="19" t="b">
        <f t="shared" si="8"/>
        <v>0</v>
      </c>
      <c r="AP28" s="19" t="b">
        <f t="shared" si="9"/>
        <v>1</v>
      </c>
      <c r="AQ28" s="19" t="b">
        <f>IF(AND(COUNTBLANK(E28:J28)=6,OR(AN29:AN$523)),NOT(AN28))</f>
        <v>0</v>
      </c>
      <c r="AR28" s="19" t="str">
        <f t="shared" si="10"/>
        <v/>
      </c>
      <c r="AS28" s="19" t="b">
        <f t="shared" si="11"/>
        <v>1</v>
      </c>
      <c r="AT28" s="19" t="str">
        <f t="shared" si="12"/>
        <v/>
      </c>
      <c r="AU28" s="19" t="b">
        <f t="shared" si="13"/>
        <v>1</v>
      </c>
      <c r="AV28" s="140" t="str">
        <f t="shared" si="50"/>
        <v/>
      </c>
      <c r="AW28" s="19" t="str">
        <f t="shared" si="14"/>
        <v/>
      </c>
      <c r="AX28" s="81">
        <f t="shared" si="15"/>
        <v>0</v>
      </c>
      <c r="AY28" s="81" t="str">
        <f t="shared" si="16"/>
        <v/>
      </c>
      <c r="AZ28" s="307" t="str">
        <f t="shared" si="51"/>
        <v/>
      </c>
      <c r="BA28" s="281" t="str">
        <f t="shared" si="52"/>
        <v/>
      </c>
      <c r="BB28" s="281" t="str">
        <f t="shared" si="53"/>
        <v/>
      </c>
      <c r="BC28" s="953"/>
      <c r="BD28" s="955"/>
      <c r="BE28" s="219" t="str">
        <f t="shared" si="17"/>
        <v>n/a</v>
      </c>
      <c r="BF28" s="215" t="b">
        <f t="shared" si="18"/>
        <v>0</v>
      </c>
      <c r="BG28" s="145" t="b">
        <f t="shared" si="19"/>
        <v>0</v>
      </c>
      <c r="BH28" s="145" t="b">
        <f t="shared" si="20"/>
        <v>0</v>
      </c>
      <c r="BI28" s="216" t="b">
        <f t="shared" si="21"/>
        <v>0</v>
      </c>
      <c r="BJ28" s="215" t="b">
        <f t="shared" si="22"/>
        <v>0</v>
      </c>
      <c r="BK28" s="145" t="b">
        <f t="shared" si="23"/>
        <v>0</v>
      </c>
      <c r="BL28" s="216" t="b">
        <f t="shared" si="24"/>
        <v>0</v>
      </c>
      <c r="BM28" s="217" t="str">
        <f t="shared" si="54"/>
        <v/>
      </c>
      <c r="BN28" s="146" t="str">
        <f t="shared" si="55"/>
        <v/>
      </c>
      <c r="BO28" s="147" t="str">
        <f t="shared" si="56"/>
        <v/>
      </c>
      <c r="BP28" s="148" t="str">
        <f t="shared" si="57"/>
        <v/>
      </c>
      <c r="BT28" s="50">
        <v>5</v>
      </c>
      <c r="BU28" s="50">
        <f t="shared" si="25"/>
        <v>5</v>
      </c>
      <c r="BW28" s="333"/>
      <c r="BX28" s="333"/>
      <c r="BY28" s="333"/>
      <c r="BZ28" s="333"/>
      <c r="CA28" s="333"/>
      <c r="CB28" s="333"/>
      <c r="CC28" s="333"/>
      <c r="CD28" s="333"/>
      <c r="CE28" s="333"/>
      <c r="CF28" s="333"/>
      <c r="CG28" s="354">
        <f t="shared" si="26"/>
        <v>5</v>
      </c>
      <c r="CH28" s="613">
        <f t="shared" si="27"/>
        <v>0</v>
      </c>
      <c r="CI28" s="613">
        <f t="shared" si="28"/>
        <v>0</v>
      </c>
      <c r="CJ28" s="614" t="str">
        <f t="shared" si="29"/>
        <v/>
      </c>
      <c r="CK28" s="615" t="str">
        <f t="shared" si="30"/>
        <v/>
      </c>
      <c r="CL28" s="610" t="str">
        <f>IF(ISBLANK(H28),"",IF(AND(ISNUMBER(F28),ISNUMBER(G28),ISNUMBER(H28)),ROUND(F28/(H28*G28),2),ROUND(F28/(VALUE(LEFT(H28,SUM(LEN(H28)-LEN(SUBSTITUTE(H28,{"0","1","2","3","4","5","6","7","8","9","."},"")))))*G28),2)))</f>
        <v/>
      </c>
      <c r="CM28" s="616" t="str">
        <f t="shared" si="58"/>
        <v/>
      </c>
      <c r="CN28" s="616" t="str">
        <f>IF(ISNUMBER(P28),MAX('Adjustment factors'!$S$16,(0.2+0.8*P28)),IF(ISTEXT(N28),VLOOKUP(N28,Afactors,2,FALSE),""))</f>
        <v/>
      </c>
      <c r="CO28" s="616" t="str">
        <f>IF(ISNUMBER(S28),MAX('Adjustment factors'!$S$16,0.2+0.8*S28),IF(ISTEXT(Q28),VLOOKUP(Q28,Afactors,2,FALSE),""))</f>
        <v/>
      </c>
      <c r="CP28" s="611" t="str">
        <f t="shared" si="59"/>
        <v/>
      </c>
      <c r="CQ28" s="612" t="str">
        <f t="shared" si="60"/>
        <v/>
      </c>
      <c r="CR28" s="340"/>
      <c r="CS28" s="340"/>
      <c r="CT28" s="340"/>
      <c r="CU28" s="340"/>
      <c r="CV28" s="333"/>
      <c r="CW28" s="333"/>
      <c r="CX28" s="333"/>
      <c r="CY28" s="333"/>
      <c r="DA28" s="313" t="str">
        <f t="shared" si="31"/>
        <v>OK</v>
      </c>
      <c r="DB28" s="313" t="str">
        <f t="shared" si="32"/>
        <v>OK</v>
      </c>
      <c r="DC28" s="313" t="str">
        <f t="shared" si="33"/>
        <v>OK</v>
      </c>
      <c r="DD28" s="313" t="str">
        <f t="shared" si="34"/>
        <v>OK</v>
      </c>
      <c r="DE28" s="153" t="str">
        <f t="shared" si="35"/>
        <v>OK</v>
      </c>
      <c r="DF28" s="314" t="str">
        <f t="shared" si="36"/>
        <v>OK</v>
      </c>
      <c r="DG28" s="482" t="str">
        <f t="shared" si="61"/>
        <v>OK</v>
      </c>
      <c r="DH28" s="482" t="str">
        <f>IF(OR(AND(T28='Adjustment factors'!$R$28,'Class 3, 5-9'!U28='Adjustment factors'!$R$29),AND('Class 3, 5-9'!T28='Adjustment factors'!$R$29,'Class 3, 5-9'!U28='Adjustment factors'!$R$28)),"Invalid combination of adjustment factors",IF(AND(T28=U28,NOT(ISBLANK(T28)),NOT(ISBLANK(U28))),"Same colour factor selected twice","OK"))</f>
        <v>OK</v>
      </c>
      <c r="DI28" s="313" t="str">
        <f t="shared" si="37"/>
        <v>OK</v>
      </c>
      <c r="DJ28" s="153" t="str">
        <f t="shared" si="62"/>
        <v>OK</v>
      </c>
      <c r="DK28" s="153" t="str">
        <f t="shared" si="38"/>
        <v>OK</v>
      </c>
      <c r="DL28" s="313" t="str">
        <f t="shared" si="39"/>
        <v>OK</v>
      </c>
      <c r="DM28" s="153" t="str">
        <f t="shared" si="40"/>
        <v>OK</v>
      </c>
      <c r="DN28" s="153" t="str">
        <f t="shared" si="63"/>
        <v>OK</v>
      </c>
      <c r="DO28" s="154" t="str">
        <f t="shared" si="64"/>
        <v>OK</v>
      </c>
      <c r="DP28" s="153" t="str">
        <f t="shared" si="41"/>
        <v>OK</v>
      </c>
      <c r="DQ28" s="313" t="str">
        <f t="shared" si="42"/>
        <v>OK</v>
      </c>
      <c r="DR28" s="153" t="str">
        <f t="shared" si="65"/>
        <v>OK</v>
      </c>
      <c r="DS28" s="153" t="str">
        <f t="shared" si="43"/>
        <v>OK</v>
      </c>
      <c r="DT28" s="313" t="str">
        <f t="shared" si="44"/>
        <v>OK</v>
      </c>
      <c r="DU28" s="153" t="str">
        <f t="shared" si="45"/>
        <v>OK</v>
      </c>
      <c r="DV28" s="153" t="str">
        <f t="shared" si="66"/>
        <v>OK</v>
      </c>
      <c r="DW28" s="154" t="str">
        <f t="shared" si="67"/>
        <v>OK</v>
      </c>
      <c r="DX28" s="157">
        <f t="shared" si="68"/>
        <v>0</v>
      </c>
      <c r="DY28" s="156" t="str">
        <f t="shared" si="69"/>
        <v>OK</v>
      </c>
    </row>
    <row r="29" spans="1:129" ht="13" hidden="1" x14ac:dyDescent="0.3">
      <c r="A29" s="333"/>
      <c r="B29" s="333"/>
      <c r="C29" s="331" t="str">
        <f t="shared" si="46"/>
        <v>-</v>
      </c>
      <c r="D29" s="584">
        <v>6</v>
      </c>
      <c r="E29" s="585"/>
      <c r="F29" s="586"/>
      <c r="G29" s="600"/>
      <c r="H29" s="587"/>
      <c r="I29" s="601"/>
      <c r="J29" s="585"/>
      <c r="K29" s="617"/>
      <c r="L29" s="602"/>
      <c r="M29" s="603"/>
      <c r="N29" s="588"/>
      <c r="O29" s="604"/>
      <c r="P29" s="605"/>
      <c r="Q29" s="588"/>
      <c r="R29" s="604"/>
      <c r="S29" s="605"/>
      <c r="T29" s="606"/>
      <c r="U29" s="606"/>
      <c r="V29" s="429" t="str">
        <f>AV29</f>
        <v/>
      </c>
      <c r="W29" s="430" t="str">
        <f t="shared" si="47"/>
        <v/>
      </c>
      <c r="X29" s="66" t="str">
        <f>IF(AND(ISNUMBER(P29),N29=FixedDim),MAX('Adjustment factors'!$S$16,0.2+0.8*P29),IF(ISTEXT(N29),VLOOKUP(N29,Afactors,2,TRUE),""))</f>
        <v/>
      </c>
      <c r="Y29" s="17" t="str">
        <f>IF(AND(ISNUMBER(S29),Q29=FixedDim),MAX('Adjustment factors'!$S$16,0.2+0.8*S29),IF(ISTEXT(Q29),VLOOKUP(Q29,Afactors,2,TRUE),""))</f>
        <v/>
      </c>
      <c r="Z29" s="297" t="str">
        <f>IF(ISBLANK(T29),"",VLOOKUP(T29,'Adjustment factors'!$R$27:$S$30,2,TRUE))</f>
        <v/>
      </c>
      <c r="AA29" s="297" t="str">
        <f>IF(ISBLANK(U29),"",VLOOKUP(U29,'Adjustment factors'!$R$27:$S$30,2,TRUE))</f>
        <v/>
      </c>
      <c r="AB29" s="480">
        <f t="shared" si="48"/>
        <v>1</v>
      </c>
      <c r="AC29" s="18" t="b">
        <f t="shared" si="1"/>
        <v>0</v>
      </c>
      <c r="AD29" s="18" t="b">
        <f t="shared" si="2"/>
        <v>0</v>
      </c>
      <c r="AE29" s="18" t="b">
        <f t="shared" si="70"/>
        <v>0</v>
      </c>
      <c r="AF29" s="17" t="str">
        <f t="shared" si="3"/>
        <v/>
      </c>
      <c r="AG29" s="18" t="str">
        <f t="shared" si="4"/>
        <v/>
      </c>
      <c r="AH29" s="17" t="str">
        <f t="shared" si="71"/>
        <v/>
      </c>
      <c r="AI29" s="297" t="e">
        <f t="shared" si="49"/>
        <v>#VALUE!</v>
      </c>
      <c r="AJ29" s="79" t="e">
        <f t="shared" si="5"/>
        <v>#VALUE!</v>
      </c>
      <c r="AK29" s="17" t="str">
        <f t="shared" si="72"/>
        <v/>
      </c>
      <c r="AL29" s="80" t="e">
        <f t="shared" si="6"/>
        <v>#VALUE!</v>
      </c>
      <c r="AM29" s="139" t="b">
        <f t="shared" si="7"/>
        <v>1</v>
      </c>
      <c r="AN29" s="139" t="b">
        <f>AND(COUNTA(E29)&gt;0,ISNUMBER(F29),OR(COUNT(G29:H29)=0,COUNT(G29:H29)=2,AND(ISNUMBER(G29),ISNUMBER(VALUE(LEFT(H29,SUM(LEN(H29)-LEN(SUBSTITUTE(H29,{"0","1","2","3","4","5","6","7","8","9","."},"")))))))),ISNUMBER(I29),ISTEXT(J29))</f>
        <v>0</v>
      </c>
      <c r="AO29" s="19" t="b">
        <f t="shared" si="8"/>
        <v>0</v>
      </c>
      <c r="AP29" s="19" t="b">
        <f t="shared" si="9"/>
        <v>1</v>
      </c>
      <c r="AQ29" s="19" t="b">
        <f>IF(AND(COUNTBLANK(E29:J29)=6,OR(AN30:AN$523)),NOT(AN29))</f>
        <v>0</v>
      </c>
      <c r="AR29" s="19" t="str">
        <f t="shared" si="10"/>
        <v/>
      </c>
      <c r="AS29" s="19" t="b">
        <f t="shared" si="11"/>
        <v>1</v>
      </c>
      <c r="AT29" s="19" t="str">
        <f t="shared" si="12"/>
        <v/>
      </c>
      <c r="AU29" s="19" t="b">
        <f t="shared" si="13"/>
        <v>1</v>
      </c>
      <c r="AV29" s="140" t="str">
        <f t="shared" si="50"/>
        <v/>
      </c>
      <c r="AW29" s="19" t="str">
        <f t="shared" si="14"/>
        <v/>
      </c>
      <c r="AX29" s="81">
        <f t="shared" si="15"/>
        <v>0</v>
      </c>
      <c r="AY29" s="81" t="str">
        <f t="shared" si="16"/>
        <v/>
      </c>
      <c r="AZ29" s="307" t="str">
        <f t="shared" si="51"/>
        <v/>
      </c>
      <c r="BA29" s="281" t="str">
        <f t="shared" si="52"/>
        <v/>
      </c>
      <c r="BB29" s="281" t="str">
        <f t="shared" si="53"/>
        <v/>
      </c>
      <c r="BC29" s="953"/>
      <c r="BD29" s="955"/>
      <c r="BE29" s="219" t="str">
        <f t="shared" si="17"/>
        <v>n/a</v>
      </c>
      <c r="BF29" s="215" t="b">
        <f t="shared" si="18"/>
        <v>0</v>
      </c>
      <c r="BG29" s="145" t="b">
        <f t="shared" si="19"/>
        <v>0</v>
      </c>
      <c r="BH29" s="145" t="b">
        <f t="shared" si="20"/>
        <v>0</v>
      </c>
      <c r="BI29" s="216" t="b">
        <f t="shared" si="21"/>
        <v>0</v>
      </c>
      <c r="BJ29" s="215" t="b">
        <f t="shared" si="22"/>
        <v>0</v>
      </c>
      <c r="BK29" s="145" t="b">
        <f t="shared" si="23"/>
        <v>0</v>
      </c>
      <c r="BL29" s="216" t="b">
        <f t="shared" si="24"/>
        <v>0</v>
      </c>
      <c r="BM29" s="217" t="str">
        <f t="shared" si="54"/>
        <v/>
      </c>
      <c r="BN29" s="146" t="str">
        <f t="shared" si="55"/>
        <v/>
      </c>
      <c r="BO29" s="147" t="str">
        <f t="shared" si="56"/>
        <v/>
      </c>
      <c r="BP29" s="148" t="str">
        <f t="shared" si="57"/>
        <v/>
      </c>
      <c r="BT29" s="50">
        <v>6</v>
      </c>
      <c r="BU29" s="50" t="str">
        <f>IF(RowsPreferredOne&gt;=BT29,RowsPreferredOne,"-")</f>
        <v>-</v>
      </c>
      <c r="BW29" s="333"/>
      <c r="BX29" s="333"/>
      <c r="BY29" s="333"/>
      <c r="BZ29" s="333"/>
      <c r="CA29" s="333"/>
      <c r="CB29" s="333"/>
      <c r="CC29" s="333"/>
      <c r="CD29" s="333"/>
      <c r="CE29" s="333"/>
      <c r="CF29" s="333"/>
      <c r="CG29" s="354">
        <f t="shared" si="26"/>
        <v>6</v>
      </c>
      <c r="CH29" s="613">
        <f t="shared" si="27"/>
        <v>0</v>
      </c>
      <c r="CI29" s="613">
        <f t="shared" si="28"/>
        <v>0</v>
      </c>
      <c r="CJ29" s="614" t="str">
        <f t="shared" si="29"/>
        <v/>
      </c>
      <c r="CK29" s="615" t="str">
        <f t="shared" si="30"/>
        <v/>
      </c>
      <c r="CL29" s="610" t="str">
        <f>IF(ISBLANK(H29),"",IF(AND(ISNUMBER(F29),ISNUMBER(G29),ISNUMBER(H29)),ROUND(F29/(H29*G29),2),ROUND(F29/(VALUE(LEFT(H29,SUM(LEN(H29)-LEN(SUBSTITUTE(H29,{"0","1","2","3","4","5","6","7","8","9","."},"")))))*G29),2)))</f>
        <v/>
      </c>
      <c r="CM29" s="616" t="str">
        <f t="shared" si="58"/>
        <v/>
      </c>
      <c r="CN29" s="616" t="str">
        <f>IF(ISNUMBER(P29),MAX('Adjustment factors'!$S$16,(0.2+0.8*P29)),IF(ISTEXT(N29),VLOOKUP(N29,Afactors,2,FALSE),""))</f>
        <v/>
      </c>
      <c r="CO29" s="616" t="str">
        <f>IF(ISNUMBER(S29),MAX('Adjustment factors'!$S$16,0.2+0.8*S29),IF(ISTEXT(Q29),VLOOKUP(Q29,Afactors,2,FALSE),""))</f>
        <v/>
      </c>
      <c r="CP29" s="611" t="str">
        <f t="shared" si="59"/>
        <v/>
      </c>
      <c r="CQ29" s="612" t="str">
        <f t="shared" si="60"/>
        <v/>
      </c>
      <c r="CR29" s="340"/>
      <c r="CS29" s="416"/>
      <c r="CT29" s="416"/>
      <c r="CU29" s="340"/>
      <c r="CV29" s="333"/>
      <c r="CW29" s="333"/>
      <c r="CX29" s="333"/>
      <c r="CY29" s="333"/>
      <c r="DA29" s="313" t="str">
        <f t="shared" si="31"/>
        <v>OK</v>
      </c>
      <c r="DB29" s="313" t="str">
        <f t="shared" si="32"/>
        <v>OK</v>
      </c>
      <c r="DC29" s="313" t="str">
        <f t="shared" si="33"/>
        <v>OK</v>
      </c>
      <c r="DD29" s="313" t="str">
        <f t="shared" si="34"/>
        <v>OK</v>
      </c>
      <c r="DE29" s="153" t="str">
        <f t="shared" si="35"/>
        <v>OK</v>
      </c>
      <c r="DF29" s="314" t="str">
        <f t="shared" si="36"/>
        <v>OK</v>
      </c>
      <c r="DG29" s="482" t="str">
        <f t="shared" si="61"/>
        <v>OK</v>
      </c>
      <c r="DH29" s="482" t="str">
        <f>IF(OR(AND(T29='Adjustment factors'!$R$28,'Class 3, 5-9'!U29='Adjustment factors'!$R$29),AND('Class 3, 5-9'!T29='Adjustment factors'!$R$29,'Class 3, 5-9'!U29='Adjustment factors'!$R$28)),"Invalid combination of adjustment factors",IF(AND(T29=U29,NOT(ISBLANK(T29)),NOT(ISBLANK(U29))),"Same colour factor selected twice","OK"))</f>
        <v>OK</v>
      </c>
      <c r="DI29" s="313" t="str">
        <f t="shared" si="37"/>
        <v>OK</v>
      </c>
      <c r="DJ29" s="153" t="str">
        <f t="shared" si="62"/>
        <v>OK</v>
      </c>
      <c r="DK29" s="153" t="str">
        <f t="shared" si="38"/>
        <v>OK</v>
      </c>
      <c r="DL29" s="313" t="str">
        <f t="shared" si="39"/>
        <v>OK</v>
      </c>
      <c r="DM29" s="153" t="str">
        <f t="shared" si="40"/>
        <v>OK</v>
      </c>
      <c r="DN29" s="153" t="str">
        <f t="shared" si="63"/>
        <v>OK</v>
      </c>
      <c r="DO29" s="154" t="str">
        <f t="shared" si="64"/>
        <v>OK</v>
      </c>
      <c r="DP29" s="153" t="str">
        <f t="shared" si="41"/>
        <v>OK</v>
      </c>
      <c r="DQ29" s="313" t="str">
        <f t="shared" si="42"/>
        <v>OK</v>
      </c>
      <c r="DR29" s="153" t="str">
        <f t="shared" si="65"/>
        <v>OK</v>
      </c>
      <c r="DS29" s="153" t="str">
        <f t="shared" si="43"/>
        <v>OK</v>
      </c>
      <c r="DT29" s="313" t="str">
        <f t="shared" si="44"/>
        <v>OK</v>
      </c>
      <c r="DU29" s="153" t="str">
        <f t="shared" si="45"/>
        <v>OK</v>
      </c>
      <c r="DV29" s="153" t="str">
        <f t="shared" si="66"/>
        <v>OK</v>
      </c>
      <c r="DW29" s="154" t="str">
        <f t="shared" si="67"/>
        <v>OK</v>
      </c>
      <c r="DX29" s="157">
        <f t="shared" si="68"/>
        <v>0</v>
      </c>
      <c r="DY29" s="156" t="str">
        <f t="shared" si="69"/>
        <v>OK</v>
      </c>
    </row>
    <row r="30" spans="1:129" ht="13" hidden="1" x14ac:dyDescent="0.3">
      <c r="A30" s="333"/>
      <c r="B30" s="333"/>
      <c r="C30" s="331" t="str">
        <f t="shared" si="46"/>
        <v>-</v>
      </c>
      <c r="D30" s="584">
        <v>7</v>
      </c>
      <c r="E30" s="585"/>
      <c r="F30" s="586"/>
      <c r="G30" s="600"/>
      <c r="H30" s="587"/>
      <c r="I30" s="601"/>
      <c r="J30" s="585"/>
      <c r="K30" s="617"/>
      <c r="L30" s="602"/>
      <c r="M30" s="603"/>
      <c r="N30" s="588"/>
      <c r="O30" s="604"/>
      <c r="P30" s="605"/>
      <c r="Q30" s="588"/>
      <c r="R30" s="604"/>
      <c r="S30" s="605"/>
      <c r="T30" s="606"/>
      <c r="U30" s="606"/>
      <c r="V30" s="429" t="str">
        <f t="shared" si="0"/>
        <v/>
      </c>
      <c r="W30" s="430" t="str">
        <f t="shared" si="47"/>
        <v/>
      </c>
      <c r="X30" s="66" t="str">
        <f>IF(AND(ISNUMBER(P30),N30=FixedDim),MAX('Adjustment factors'!$S$16,0.2+0.8*P30),IF(ISTEXT(N30),VLOOKUP(N30,Afactors,2,TRUE),""))</f>
        <v/>
      </c>
      <c r="Y30" s="17" t="str">
        <f>IF(AND(ISNUMBER(S30),Q30=FixedDim),MAX('Adjustment factors'!$S$16,0.2+0.8*S30),IF(ISTEXT(Q30),VLOOKUP(Q30,Afactors,2,TRUE),""))</f>
        <v/>
      </c>
      <c r="Z30" s="297" t="str">
        <f>IF(ISBLANK(T30),"",VLOOKUP(T30,'Adjustment factors'!$R$27:$S$30,2,TRUE))</f>
        <v/>
      </c>
      <c r="AA30" s="297" t="str">
        <f>IF(ISBLANK(U30),"",VLOOKUP(U30,'Adjustment factors'!$R$27:$S$30,2,TRUE))</f>
        <v/>
      </c>
      <c r="AB30" s="480">
        <f t="shared" si="48"/>
        <v>1</v>
      </c>
      <c r="AC30" s="18" t="b">
        <f t="shared" si="1"/>
        <v>0</v>
      </c>
      <c r="AD30" s="18" t="b">
        <f t="shared" si="2"/>
        <v>0</v>
      </c>
      <c r="AE30" s="18" t="b">
        <f t="shared" si="70"/>
        <v>0</v>
      </c>
      <c r="AF30" s="17" t="str">
        <f t="shared" si="3"/>
        <v/>
      </c>
      <c r="AG30" s="18" t="str">
        <f t="shared" si="4"/>
        <v/>
      </c>
      <c r="AH30" s="17" t="str">
        <f t="shared" si="71"/>
        <v/>
      </c>
      <c r="AI30" s="297" t="e">
        <f t="shared" si="49"/>
        <v>#VALUE!</v>
      </c>
      <c r="AJ30" s="79" t="e">
        <f t="shared" si="5"/>
        <v>#VALUE!</v>
      </c>
      <c r="AK30" s="17" t="str">
        <f t="shared" si="72"/>
        <v/>
      </c>
      <c r="AL30" s="80" t="e">
        <f t="shared" si="6"/>
        <v>#VALUE!</v>
      </c>
      <c r="AM30" s="139" t="b">
        <f t="shared" si="7"/>
        <v>1</v>
      </c>
      <c r="AN30" s="139" t="b">
        <f>AND(COUNTA(E30)&gt;0,ISNUMBER(F30),OR(COUNT(G30:H30)=0,COUNT(G30:H30)=2,AND(ISNUMBER(G30),ISNUMBER(VALUE(LEFT(H30,SUM(LEN(H30)-LEN(SUBSTITUTE(H30,{"0","1","2","3","4","5","6","7","8","9","."},"")))))))),ISNUMBER(I30),ISTEXT(J30))</f>
        <v>0</v>
      </c>
      <c r="AO30" s="19" t="b">
        <f t="shared" si="8"/>
        <v>0</v>
      </c>
      <c r="AP30" s="19" t="b">
        <f t="shared" si="9"/>
        <v>1</v>
      </c>
      <c r="AQ30" s="19" t="b">
        <f>IF(AND(COUNTBLANK(E30:J30)=6,OR(AN31:AN$523)),NOT(AN30))</f>
        <v>0</v>
      </c>
      <c r="AR30" s="19" t="str">
        <f t="shared" si="10"/>
        <v/>
      </c>
      <c r="AS30" s="19" t="b">
        <f t="shared" si="11"/>
        <v>1</v>
      </c>
      <c r="AT30" s="19" t="str">
        <f t="shared" si="12"/>
        <v/>
      </c>
      <c r="AU30" s="19" t="b">
        <f t="shared" si="13"/>
        <v>1</v>
      </c>
      <c r="AV30" s="140" t="str">
        <f t="shared" si="50"/>
        <v/>
      </c>
      <c r="AW30" s="19" t="str">
        <f t="shared" si="14"/>
        <v/>
      </c>
      <c r="AX30" s="81">
        <f t="shared" si="15"/>
        <v>0</v>
      </c>
      <c r="AY30" s="81" t="str">
        <f t="shared" si="16"/>
        <v/>
      </c>
      <c r="AZ30" s="307" t="str">
        <f t="shared" si="51"/>
        <v/>
      </c>
      <c r="BA30" s="281" t="str">
        <f t="shared" si="52"/>
        <v/>
      </c>
      <c r="BB30" s="281" t="str">
        <f t="shared" si="53"/>
        <v/>
      </c>
      <c r="BC30" s="953"/>
      <c r="BD30" s="955"/>
      <c r="BE30" s="219" t="str">
        <f t="shared" si="17"/>
        <v>n/a</v>
      </c>
      <c r="BF30" s="215" t="b">
        <f t="shared" si="18"/>
        <v>0</v>
      </c>
      <c r="BG30" s="145" t="b">
        <f t="shared" si="19"/>
        <v>0</v>
      </c>
      <c r="BH30" s="145" t="b">
        <f t="shared" si="20"/>
        <v>0</v>
      </c>
      <c r="BI30" s="216" t="b">
        <f t="shared" si="21"/>
        <v>0</v>
      </c>
      <c r="BJ30" s="215" t="b">
        <f t="shared" si="22"/>
        <v>0</v>
      </c>
      <c r="BK30" s="145" t="b">
        <f t="shared" si="23"/>
        <v>0</v>
      </c>
      <c r="BL30" s="216" t="b">
        <f t="shared" si="24"/>
        <v>0</v>
      </c>
      <c r="BM30" s="217" t="str">
        <f t="shared" si="54"/>
        <v/>
      </c>
      <c r="BN30" s="146" t="str">
        <f t="shared" si="55"/>
        <v/>
      </c>
      <c r="BO30" s="147" t="str">
        <f t="shared" si="56"/>
        <v/>
      </c>
      <c r="BP30" s="148" t="str">
        <f t="shared" si="57"/>
        <v/>
      </c>
      <c r="BT30" s="50">
        <v>7</v>
      </c>
      <c r="BU30" s="50" t="str">
        <f t="shared" si="25"/>
        <v>-</v>
      </c>
      <c r="BW30" s="333"/>
      <c r="BX30" s="333"/>
      <c r="BY30" s="333"/>
      <c r="BZ30" s="333"/>
      <c r="CA30" s="333"/>
      <c r="CB30" s="333"/>
      <c r="CC30" s="333"/>
      <c r="CD30" s="333"/>
      <c r="CE30" s="333"/>
      <c r="CF30" s="333"/>
      <c r="CG30" s="354">
        <f t="shared" si="26"/>
        <v>7</v>
      </c>
      <c r="CH30" s="613">
        <f t="shared" si="27"/>
        <v>0</v>
      </c>
      <c r="CI30" s="613">
        <f t="shared" si="28"/>
        <v>0</v>
      </c>
      <c r="CJ30" s="614" t="str">
        <f t="shared" si="29"/>
        <v/>
      </c>
      <c r="CK30" s="615" t="str">
        <f t="shared" si="30"/>
        <v/>
      </c>
      <c r="CL30" s="610" t="str">
        <f>IF(ISBLANK(H30),"",IF(AND(ISNUMBER(F30),ISNUMBER(G30),ISNUMBER(H30)),ROUND(F30/(H30*G30),2),ROUND(F30/(VALUE(LEFT(H30,SUM(LEN(H30)-LEN(SUBSTITUTE(H30,{"0","1","2","3","4","5","6","7","8","9","."},"")))))*G30),2)))</f>
        <v/>
      </c>
      <c r="CM30" s="616" t="str">
        <f t="shared" si="58"/>
        <v/>
      </c>
      <c r="CN30" s="616" t="str">
        <f>IF(ISNUMBER(P30),MAX('Adjustment factors'!$S$16,(0.2+0.8*P30)),IF(ISTEXT(N30),VLOOKUP(N30,Afactors,2,FALSE),""))</f>
        <v/>
      </c>
      <c r="CO30" s="616" t="str">
        <f>IF(ISNUMBER(S30),MAX('Adjustment factors'!$S$16,0.2+0.8*S30),IF(ISTEXT(Q30),VLOOKUP(Q30,Afactors,2,FALSE),""))</f>
        <v/>
      </c>
      <c r="CP30" s="611" t="str">
        <f t="shared" si="59"/>
        <v/>
      </c>
      <c r="CQ30" s="612" t="str">
        <f t="shared" si="60"/>
        <v/>
      </c>
      <c r="CR30" s="340"/>
      <c r="CS30" s="340"/>
      <c r="CT30" s="340"/>
      <c r="CU30" s="340"/>
      <c r="CV30" s="333"/>
      <c r="CW30" s="333"/>
      <c r="CX30" s="333"/>
      <c r="CY30" s="333"/>
      <c r="DA30" s="313" t="str">
        <f t="shared" si="31"/>
        <v>OK</v>
      </c>
      <c r="DB30" s="313" t="str">
        <f t="shared" si="32"/>
        <v>OK</v>
      </c>
      <c r="DC30" s="313" t="str">
        <f t="shared" si="33"/>
        <v>OK</v>
      </c>
      <c r="DD30" s="313" t="str">
        <f t="shared" si="34"/>
        <v>OK</v>
      </c>
      <c r="DE30" s="153" t="str">
        <f t="shared" si="35"/>
        <v>OK</v>
      </c>
      <c r="DF30" s="314" t="str">
        <f t="shared" si="36"/>
        <v>OK</v>
      </c>
      <c r="DG30" s="482" t="str">
        <f t="shared" si="61"/>
        <v>OK</v>
      </c>
      <c r="DH30" s="482" t="str">
        <f>IF(OR(AND(T30='Adjustment factors'!$R$28,'Class 3, 5-9'!U30='Adjustment factors'!$R$29),AND('Class 3, 5-9'!T30='Adjustment factors'!$R$29,'Class 3, 5-9'!U30='Adjustment factors'!$R$28)),"Invalid combination of adjustment factors",IF(AND(T30=U30,NOT(ISBLANK(T30)),NOT(ISBLANK(U30))),"Same colour factor selected twice","OK"))</f>
        <v>OK</v>
      </c>
      <c r="DI30" s="313" t="str">
        <f t="shared" si="37"/>
        <v>OK</v>
      </c>
      <c r="DJ30" s="153" t="str">
        <f t="shared" si="62"/>
        <v>OK</v>
      </c>
      <c r="DK30" s="153" t="str">
        <f t="shared" si="38"/>
        <v>OK</v>
      </c>
      <c r="DL30" s="313" t="str">
        <f t="shared" si="39"/>
        <v>OK</v>
      </c>
      <c r="DM30" s="153" t="str">
        <f t="shared" si="40"/>
        <v>OK</v>
      </c>
      <c r="DN30" s="153" t="str">
        <f t="shared" si="63"/>
        <v>OK</v>
      </c>
      <c r="DO30" s="154" t="str">
        <f t="shared" si="64"/>
        <v>OK</v>
      </c>
      <c r="DP30" s="153" t="str">
        <f t="shared" si="41"/>
        <v>OK</v>
      </c>
      <c r="DQ30" s="313" t="str">
        <f t="shared" si="42"/>
        <v>OK</v>
      </c>
      <c r="DR30" s="153" t="str">
        <f t="shared" si="65"/>
        <v>OK</v>
      </c>
      <c r="DS30" s="153" t="str">
        <f t="shared" si="43"/>
        <v>OK</v>
      </c>
      <c r="DT30" s="313" t="str">
        <f t="shared" si="44"/>
        <v>OK</v>
      </c>
      <c r="DU30" s="153" t="str">
        <f t="shared" si="45"/>
        <v>OK</v>
      </c>
      <c r="DV30" s="153" t="str">
        <f t="shared" si="66"/>
        <v>OK</v>
      </c>
      <c r="DW30" s="154" t="str">
        <f t="shared" si="67"/>
        <v>OK</v>
      </c>
      <c r="DX30" s="157">
        <f t="shared" si="68"/>
        <v>0</v>
      </c>
      <c r="DY30" s="156" t="str">
        <f t="shared" si="69"/>
        <v>OK</v>
      </c>
    </row>
    <row r="31" spans="1:129" ht="13" hidden="1" x14ac:dyDescent="0.3">
      <c r="A31" s="333"/>
      <c r="B31" s="333"/>
      <c r="C31" s="331" t="str">
        <f t="shared" si="46"/>
        <v>-</v>
      </c>
      <c r="D31" s="584">
        <v>8</v>
      </c>
      <c r="E31" s="585"/>
      <c r="F31" s="586"/>
      <c r="G31" s="600"/>
      <c r="H31" s="587"/>
      <c r="I31" s="601"/>
      <c r="J31" s="585"/>
      <c r="K31" s="617"/>
      <c r="L31" s="602"/>
      <c r="M31" s="603"/>
      <c r="N31" s="588"/>
      <c r="O31" s="604"/>
      <c r="P31" s="605"/>
      <c r="Q31" s="588"/>
      <c r="R31" s="604"/>
      <c r="S31" s="605"/>
      <c r="T31" s="606"/>
      <c r="U31" s="606"/>
      <c r="V31" s="429" t="str">
        <f t="shared" si="0"/>
        <v/>
      </c>
      <c r="W31" s="430" t="str">
        <f t="shared" si="47"/>
        <v/>
      </c>
      <c r="X31" s="66" t="str">
        <f>IF(AND(ISNUMBER(P31),N31=FixedDim),MAX('Adjustment factors'!$S$16,0.2+0.8*P31),IF(ISTEXT(N31),VLOOKUP(N31,Afactors,2,TRUE),""))</f>
        <v/>
      </c>
      <c r="Y31" s="17" t="str">
        <f>IF(AND(ISNUMBER(S31),Q31=FixedDim),MAX('Adjustment factors'!$S$16,0.2+0.8*S31),IF(ISTEXT(Q31),VLOOKUP(Q31,Afactors,2,TRUE),""))</f>
        <v/>
      </c>
      <c r="Z31" s="297" t="str">
        <f>IF(ISBLANK(T31),"",VLOOKUP(T31,'Adjustment factors'!$R$27:$S$30,2,TRUE))</f>
        <v/>
      </c>
      <c r="AA31" s="297" t="str">
        <f>IF(ISBLANK(U31),"",VLOOKUP(U31,'Adjustment factors'!$R$27:$S$30,2,TRUE))</f>
        <v/>
      </c>
      <c r="AB31" s="480">
        <f t="shared" si="48"/>
        <v>1</v>
      </c>
      <c r="AC31" s="18" t="b">
        <f t="shared" si="1"/>
        <v>0</v>
      </c>
      <c r="AD31" s="18" t="b">
        <f t="shared" si="2"/>
        <v>0</v>
      </c>
      <c r="AE31" s="18" t="b">
        <f t="shared" si="70"/>
        <v>0</v>
      </c>
      <c r="AF31" s="17" t="str">
        <f t="shared" si="3"/>
        <v/>
      </c>
      <c r="AG31" s="18" t="str">
        <f t="shared" si="4"/>
        <v/>
      </c>
      <c r="AH31" s="17" t="str">
        <f t="shared" si="71"/>
        <v/>
      </c>
      <c r="AI31" s="297" t="e">
        <f t="shared" si="49"/>
        <v>#VALUE!</v>
      </c>
      <c r="AJ31" s="79" t="e">
        <f t="shared" si="5"/>
        <v>#VALUE!</v>
      </c>
      <c r="AK31" s="17" t="str">
        <f t="shared" si="72"/>
        <v/>
      </c>
      <c r="AL31" s="80" t="e">
        <f t="shared" si="6"/>
        <v>#VALUE!</v>
      </c>
      <c r="AM31" s="139" t="b">
        <f t="shared" si="7"/>
        <v>1</v>
      </c>
      <c r="AN31" s="139" t="b">
        <f>AND(COUNTA(E31)&gt;0,ISNUMBER(F31),OR(COUNT(G31:H31)=0,COUNT(G31:H31)=2,AND(ISNUMBER(G31),ISNUMBER(VALUE(LEFT(H31,SUM(LEN(H31)-LEN(SUBSTITUTE(H31,{"0","1","2","3","4","5","6","7","8","9","."},"")))))))),ISNUMBER(I31),ISTEXT(J31))</f>
        <v>0</v>
      </c>
      <c r="AO31" s="19" t="b">
        <f t="shared" si="8"/>
        <v>0</v>
      </c>
      <c r="AP31" s="19" t="b">
        <f t="shared" si="9"/>
        <v>1</v>
      </c>
      <c r="AQ31" s="19" t="b">
        <f>IF(AND(COUNTBLANK(E31:J31)=6,OR(AN32:AN$523)),NOT(AN31))</f>
        <v>0</v>
      </c>
      <c r="AR31" s="19" t="str">
        <f t="shared" si="10"/>
        <v/>
      </c>
      <c r="AS31" s="19" t="b">
        <f t="shared" si="11"/>
        <v>1</v>
      </c>
      <c r="AT31" s="19" t="str">
        <f t="shared" si="12"/>
        <v/>
      </c>
      <c r="AU31" s="19" t="b">
        <f t="shared" si="13"/>
        <v>1</v>
      </c>
      <c r="AV31" s="140" t="str">
        <f t="shared" si="50"/>
        <v/>
      </c>
      <c r="AW31" s="19" t="str">
        <f t="shared" si="14"/>
        <v/>
      </c>
      <c r="AX31" s="81">
        <f t="shared" si="15"/>
        <v>0</v>
      </c>
      <c r="AY31" s="81" t="str">
        <f t="shared" si="16"/>
        <v/>
      </c>
      <c r="AZ31" s="307" t="str">
        <f t="shared" si="51"/>
        <v/>
      </c>
      <c r="BA31" s="281" t="str">
        <f t="shared" si="52"/>
        <v/>
      </c>
      <c r="BB31" s="281" t="str">
        <f t="shared" si="53"/>
        <v/>
      </c>
      <c r="BC31" s="953"/>
      <c r="BD31" s="955"/>
      <c r="BE31" s="219" t="str">
        <f t="shared" si="17"/>
        <v>n/a</v>
      </c>
      <c r="BF31" s="215" t="b">
        <f t="shared" si="18"/>
        <v>0</v>
      </c>
      <c r="BG31" s="145" t="b">
        <f t="shared" si="19"/>
        <v>0</v>
      </c>
      <c r="BH31" s="145" t="b">
        <f t="shared" si="20"/>
        <v>0</v>
      </c>
      <c r="BI31" s="216" t="b">
        <f t="shared" si="21"/>
        <v>0</v>
      </c>
      <c r="BJ31" s="215" t="b">
        <f t="shared" si="22"/>
        <v>0</v>
      </c>
      <c r="BK31" s="145" t="b">
        <f t="shared" si="23"/>
        <v>0</v>
      </c>
      <c r="BL31" s="216" t="b">
        <f t="shared" si="24"/>
        <v>0</v>
      </c>
      <c r="BM31" s="217" t="str">
        <f t="shared" si="54"/>
        <v/>
      </c>
      <c r="BN31" s="146" t="str">
        <f t="shared" si="55"/>
        <v/>
      </c>
      <c r="BO31" s="147" t="str">
        <f t="shared" si="56"/>
        <v/>
      </c>
      <c r="BP31" s="148" t="str">
        <f t="shared" si="57"/>
        <v/>
      </c>
      <c r="BT31" s="50">
        <v>8</v>
      </c>
      <c r="BU31" s="50" t="str">
        <f t="shared" si="25"/>
        <v>-</v>
      </c>
      <c r="BW31" s="333"/>
      <c r="BX31" s="333"/>
      <c r="BY31" s="333"/>
      <c r="BZ31" s="333"/>
      <c r="CA31" s="333"/>
      <c r="CB31" s="333"/>
      <c r="CC31" s="333"/>
      <c r="CD31" s="333"/>
      <c r="CE31" s="333"/>
      <c r="CF31" s="333"/>
      <c r="CG31" s="354">
        <f t="shared" si="26"/>
        <v>8</v>
      </c>
      <c r="CH31" s="613">
        <f t="shared" si="27"/>
        <v>0</v>
      </c>
      <c r="CI31" s="613">
        <f t="shared" si="28"/>
        <v>0</v>
      </c>
      <c r="CJ31" s="614" t="str">
        <f t="shared" si="29"/>
        <v/>
      </c>
      <c r="CK31" s="615" t="str">
        <f t="shared" si="30"/>
        <v/>
      </c>
      <c r="CL31" s="610" t="str">
        <f>IF(ISBLANK(H31),"",IF(AND(ISNUMBER(F31),ISNUMBER(G31),ISNUMBER(H31)),ROUND(F31/(H31*G31),2),ROUND(F31/(VALUE(LEFT(H31,SUM(LEN(H31)-LEN(SUBSTITUTE(H31,{"0","1","2","3","4","5","6","7","8","9","."},"")))))*G31),2)))</f>
        <v/>
      </c>
      <c r="CM31" s="616" t="str">
        <f t="shared" si="58"/>
        <v/>
      </c>
      <c r="CN31" s="616" t="str">
        <f>IF(ISNUMBER(P31),MAX('Adjustment factors'!$S$16,(0.2+0.8*P31)),IF(ISTEXT(N31),VLOOKUP(N31,Afactors,2,FALSE),""))</f>
        <v/>
      </c>
      <c r="CO31" s="616" t="str">
        <f>IF(ISNUMBER(S31),MAX('Adjustment factors'!$S$16,0.2+0.8*S31),IF(ISTEXT(Q31),VLOOKUP(Q31,Afactors,2,FALSE),""))</f>
        <v/>
      </c>
      <c r="CP31" s="611" t="str">
        <f t="shared" si="59"/>
        <v/>
      </c>
      <c r="CQ31" s="612" t="str">
        <f t="shared" si="60"/>
        <v/>
      </c>
      <c r="CR31" s="340"/>
      <c r="CS31" s="340"/>
      <c r="CT31" s="340"/>
      <c r="CU31" s="340"/>
      <c r="CV31" s="333"/>
      <c r="CW31" s="333"/>
      <c r="CX31" s="333"/>
      <c r="CY31" s="333"/>
      <c r="DA31" s="313" t="str">
        <f t="shared" si="31"/>
        <v>OK</v>
      </c>
      <c r="DB31" s="313" t="str">
        <f t="shared" si="32"/>
        <v>OK</v>
      </c>
      <c r="DC31" s="313" t="str">
        <f t="shared" si="33"/>
        <v>OK</v>
      </c>
      <c r="DD31" s="313" t="str">
        <f t="shared" si="34"/>
        <v>OK</v>
      </c>
      <c r="DE31" s="153" t="str">
        <f t="shared" si="35"/>
        <v>OK</v>
      </c>
      <c r="DF31" s="314" t="str">
        <f t="shared" si="36"/>
        <v>OK</v>
      </c>
      <c r="DG31" s="482" t="str">
        <f t="shared" si="61"/>
        <v>OK</v>
      </c>
      <c r="DH31" s="482" t="str">
        <f>IF(OR(AND(T31='Adjustment factors'!$R$28,'Class 3, 5-9'!U31='Adjustment factors'!$R$29),AND('Class 3, 5-9'!T31='Adjustment factors'!$R$29,'Class 3, 5-9'!U31='Adjustment factors'!$R$28)),"Invalid combination of adjustment factors",IF(AND(T31=U31,NOT(ISBLANK(T31)),NOT(ISBLANK(U31))),"Same colour factor selected twice","OK"))</f>
        <v>OK</v>
      </c>
      <c r="DI31" s="313" t="str">
        <f t="shared" si="37"/>
        <v>OK</v>
      </c>
      <c r="DJ31" s="153" t="str">
        <f t="shared" si="62"/>
        <v>OK</v>
      </c>
      <c r="DK31" s="153" t="str">
        <f t="shared" si="38"/>
        <v>OK</v>
      </c>
      <c r="DL31" s="313" t="str">
        <f t="shared" si="39"/>
        <v>OK</v>
      </c>
      <c r="DM31" s="153" t="str">
        <f t="shared" si="40"/>
        <v>OK</v>
      </c>
      <c r="DN31" s="153" t="str">
        <f t="shared" si="63"/>
        <v>OK</v>
      </c>
      <c r="DO31" s="154" t="str">
        <f t="shared" si="64"/>
        <v>OK</v>
      </c>
      <c r="DP31" s="153" t="str">
        <f t="shared" si="41"/>
        <v>OK</v>
      </c>
      <c r="DQ31" s="313" t="str">
        <f t="shared" si="42"/>
        <v>OK</v>
      </c>
      <c r="DR31" s="153" t="str">
        <f t="shared" si="65"/>
        <v>OK</v>
      </c>
      <c r="DS31" s="153" t="str">
        <f t="shared" si="43"/>
        <v>OK</v>
      </c>
      <c r="DT31" s="313" t="str">
        <f t="shared" si="44"/>
        <v>OK</v>
      </c>
      <c r="DU31" s="153" t="str">
        <f t="shared" si="45"/>
        <v>OK</v>
      </c>
      <c r="DV31" s="153" t="str">
        <f t="shared" si="66"/>
        <v>OK</v>
      </c>
      <c r="DW31" s="154" t="str">
        <f t="shared" si="67"/>
        <v>OK</v>
      </c>
      <c r="DX31" s="157">
        <f t="shared" si="68"/>
        <v>0</v>
      </c>
      <c r="DY31" s="156" t="str">
        <f t="shared" si="69"/>
        <v>OK</v>
      </c>
    </row>
    <row r="32" spans="1:129" ht="13" hidden="1" x14ac:dyDescent="0.3">
      <c r="A32" s="333"/>
      <c r="B32" s="333"/>
      <c r="C32" s="331" t="str">
        <f t="shared" si="46"/>
        <v>-</v>
      </c>
      <c r="D32" s="584">
        <v>9</v>
      </c>
      <c r="E32" s="585"/>
      <c r="F32" s="586"/>
      <c r="G32" s="600"/>
      <c r="H32" s="587"/>
      <c r="I32" s="601"/>
      <c r="J32" s="585"/>
      <c r="K32" s="617"/>
      <c r="L32" s="602"/>
      <c r="M32" s="603"/>
      <c r="N32" s="588"/>
      <c r="O32" s="604"/>
      <c r="P32" s="605"/>
      <c r="Q32" s="588"/>
      <c r="R32" s="604"/>
      <c r="S32" s="605"/>
      <c r="T32" s="606"/>
      <c r="U32" s="606"/>
      <c r="V32" s="429" t="str">
        <f t="shared" si="0"/>
        <v/>
      </c>
      <c r="W32" s="430" t="str">
        <f t="shared" si="47"/>
        <v/>
      </c>
      <c r="X32" s="66" t="str">
        <f>IF(AND(ISNUMBER(P32),N32=FixedDim),MAX('Adjustment factors'!$S$16,0.2+0.8*P32),IF(ISTEXT(N32),VLOOKUP(N32,Afactors,2,TRUE),""))</f>
        <v/>
      </c>
      <c r="Y32" s="17" t="str">
        <f>IF(AND(ISNUMBER(S32),Q32=FixedDim),MAX('Adjustment factors'!$S$16,0.2+0.8*S32),IF(ISTEXT(Q32),VLOOKUP(Q32,Afactors,2,TRUE),""))</f>
        <v/>
      </c>
      <c r="Z32" s="297" t="str">
        <f>IF(ISBLANK(T32),"",VLOOKUP(T32,'Adjustment factors'!$R$27:$S$30,2,TRUE))</f>
        <v/>
      </c>
      <c r="AA32" s="297" t="str">
        <f>IF(ISBLANK(U32),"",VLOOKUP(U32,'Adjustment factors'!$R$27:$S$30,2,TRUE))</f>
        <v/>
      </c>
      <c r="AB32" s="480">
        <f t="shared" si="48"/>
        <v>1</v>
      </c>
      <c r="AC32" s="18" t="b">
        <f t="shared" si="1"/>
        <v>0</v>
      </c>
      <c r="AD32" s="18" t="b">
        <f t="shared" si="2"/>
        <v>0</v>
      </c>
      <c r="AE32" s="18" t="b">
        <f t="shared" si="70"/>
        <v>0</v>
      </c>
      <c r="AF32" s="17" t="str">
        <f t="shared" si="3"/>
        <v/>
      </c>
      <c r="AG32" s="18" t="str">
        <f t="shared" si="4"/>
        <v/>
      </c>
      <c r="AH32" s="17" t="str">
        <f t="shared" si="71"/>
        <v/>
      </c>
      <c r="AI32" s="297" t="e">
        <f t="shared" si="49"/>
        <v>#VALUE!</v>
      </c>
      <c r="AJ32" s="79" t="e">
        <f t="shared" si="5"/>
        <v>#VALUE!</v>
      </c>
      <c r="AK32" s="17" t="str">
        <f t="shared" si="72"/>
        <v/>
      </c>
      <c r="AL32" s="80" t="e">
        <f t="shared" si="6"/>
        <v>#VALUE!</v>
      </c>
      <c r="AM32" s="139" t="b">
        <f t="shared" si="7"/>
        <v>1</v>
      </c>
      <c r="AN32" s="139" t="b">
        <f>AND(COUNTA(E32)&gt;0,ISNUMBER(F32),OR(COUNT(G32:H32)=0,COUNT(G32:H32)=2,AND(ISNUMBER(G32),ISNUMBER(VALUE(LEFT(H32,SUM(LEN(H32)-LEN(SUBSTITUTE(H32,{"0","1","2","3","4","5","6","7","8","9","."},"")))))))),ISNUMBER(I32),ISTEXT(J32))</f>
        <v>0</v>
      </c>
      <c r="AO32" s="19" t="b">
        <f t="shared" si="8"/>
        <v>0</v>
      </c>
      <c r="AP32" s="19" t="b">
        <f t="shared" si="9"/>
        <v>1</v>
      </c>
      <c r="AQ32" s="19" t="b">
        <f>IF(AND(COUNTBLANK(E32:J32)=6,OR(AN33:AN$523)),NOT(AN32))</f>
        <v>0</v>
      </c>
      <c r="AR32" s="19" t="str">
        <f t="shared" si="10"/>
        <v/>
      </c>
      <c r="AS32" s="19" t="b">
        <f t="shared" si="11"/>
        <v>1</v>
      </c>
      <c r="AT32" s="19" t="str">
        <f t="shared" si="12"/>
        <v/>
      </c>
      <c r="AU32" s="19" t="b">
        <f t="shared" si="13"/>
        <v>1</v>
      </c>
      <c r="AV32" s="140" t="str">
        <f t="shared" si="50"/>
        <v/>
      </c>
      <c r="AW32" s="19" t="str">
        <f t="shared" si="14"/>
        <v/>
      </c>
      <c r="AX32" s="81">
        <f t="shared" si="15"/>
        <v>0</v>
      </c>
      <c r="AY32" s="81" t="str">
        <f t="shared" si="16"/>
        <v/>
      </c>
      <c r="AZ32" s="307" t="str">
        <f t="shared" si="51"/>
        <v/>
      </c>
      <c r="BA32" s="281" t="str">
        <f t="shared" si="52"/>
        <v/>
      </c>
      <c r="BB32" s="281" t="str">
        <f t="shared" si="53"/>
        <v/>
      </c>
      <c r="BC32" s="953"/>
      <c r="BD32" s="955"/>
      <c r="BE32" s="219" t="str">
        <f t="shared" si="17"/>
        <v>n/a</v>
      </c>
      <c r="BF32" s="215" t="b">
        <f t="shared" si="18"/>
        <v>0</v>
      </c>
      <c r="BG32" s="145" t="b">
        <f t="shared" si="19"/>
        <v>0</v>
      </c>
      <c r="BH32" s="145" t="b">
        <f t="shared" si="20"/>
        <v>0</v>
      </c>
      <c r="BI32" s="216" t="b">
        <f t="shared" si="21"/>
        <v>0</v>
      </c>
      <c r="BJ32" s="215" t="b">
        <f t="shared" si="22"/>
        <v>0</v>
      </c>
      <c r="BK32" s="145" t="b">
        <f t="shared" si="23"/>
        <v>0</v>
      </c>
      <c r="BL32" s="216" t="b">
        <f t="shared" si="24"/>
        <v>0</v>
      </c>
      <c r="BM32" s="217" t="str">
        <f t="shared" si="54"/>
        <v/>
      </c>
      <c r="BN32" s="146" t="str">
        <f t="shared" si="55"/>
        <v/>
      </c>
      <c r="BO32" s="147" t="str">
        <f t="shared" si="56"/>
        <v/>
      </c>
      <c r="BP32" s="148" t="str">
        <f t="shared" si="57"/>
        <v/>
      </c>
      <c r="BT32" s="50">
        <v>9</v>
      </c>
      <c r="BU32" s="50" t="str">
        <f t="shared" si="25"/>
        <v>-</v>
      </c>
      <c r="BW32" s="333"/>
      <c r="BX32" s="333"/>
      <c r="BY32" s="333"/>
      <c r="BZ32" s="333"/>
      <c r="CA32" s="333"/>
      <c r="CB32" s="333"/>
      <c r="CC32" s="333"/>
      <c r="CD32" s="333"/>
      <c r="CE32" s="333"/>
      <c r="CF32" s="333"/>
      <c r="CG32" s="354">
        <f t="shared" si="26"/>
        <v>9</v>
      </c>
      <c r="CH32" s="613">
        <f t="shared" si="27"/>
        <v>0</v>
      </c>
      <c r="CI32" s="613">
        <f t="shared" si="28"/>
        <v>0</v>
      </c>
      <c r="CJ32" s="614" t="str">
        <f t="shared" si="29"/>
        <v/>
      </c>
      <c r="CK32" s="615" t="str">
        <f t="shared" si="30"/>
        <v/>
      </c>
      <c r="CL32" s="610" t="str">
        <f>IF(ISBLANK(H32),"",IF(AND(ISNUMBER(F32),ISNUMBER(G32),ISNUMBER(H32)),ROUND(F32/(H32*G32),2),ROUND(F32/(VALUE(LEFT(H32,SUM(LEN(H32)-LEN(SUBSTITUTE(H32,{"0","1","2","3","4","5","6","7","8","9","."},"")))))*G32),2)))</f>
        <v/>
      </c>
      <c r="CM32" s="616" t="str">
        <f t="shared" si="58"/>
        <v/>
      </c>
      <c r="CN32" s="616" t="str">
        <f>IF(ISNUMBER(P32),MAX('Adjustment factors'!$S$16,(0.2+0.8*P32)),IF(ISTEXT(N32),VLOOKUP(N32,Afactors,2,FALSE),""))</f>
        <v/>
      </c>
      <c r="CO32" s="616" t="str">
        <f>IF(ISNUMBER(S32),MAX('Adjustment factors'!$S$16,0.2+0.8*S32),IF(ISTEXT(Q32),VLOOKUP(Q32,Afactors,2,FALSE),""))</f>
        <v/>
      </c>
      <c r="CP32" s="611" t="str">
        <f t="shared" si="59"/>
        <v/>
      </c>
      <c r="CQ32" s="612" t="str">
        <f t="shared" si="60"/>
        <v/>
      </c>
      <c r="CR32" s="340"/>
      <c r="CS32" s="340"/>
      <c r="CT32" s="340"/>
      <c r="CU32" s="340"/>
      <c r="CV32" s="333"/>
      <c r="CW32" s="333"/>
      <c r="CX32" s="333"/>
      <c r="CY32" s="333"/>
      <c r="DA32" s="313" t="str">
        <f t="shared" si="31"/>
        <v>OK</v>
      </c>
      <c r="DB32" s="313" t="str">
        <f t="shared" si="32"/>
        <v>OK</v>
      </c>
      <c r="DC32" s="313" t="str">
        <f t="shared" si="33"/>
        <v>OK</v>
      </c>
      <c r="DD32" s="313" t="str">
        <f t="shared" si="34"/>
        <v>OK</v>
      </c>
      <c r="DE32" s="153" t="str">
        <f t="shared" si="35"/>
        <v>OK</v>
      </c>
      <c r="DF32" s="314" t="str">
        <f t="shared" si="36"/>
        <v>OK</v>
      </c>
      <c r="DG32" s="482" t="str">
        <f t="shared" si="61"/>
        <v>OK</v>
      </c>
      <c r="DH32" s="482" t="str">
        <f>IF(OR(AND(T32='Adjustment factors'!$R$28,'Class 3, 5-9'!U32='Adjustment factors'!$R$29),AND('Class 3, 5-9'!T32='Adjustment factors'!$R$29,'Class 3, 5-9'!U32='Adjustment factors'!$R$28)),"Invalid combination of adjustment factors",IF(AND(T32=U32,NOT(ISBLANK(T32)),NOT(ISBLANK(U32))),"Same colour factor selected twice","OK"))</f>
        <v>OK</v>
      </c>
      <c r="DI32" s="313" t="str">
        <f t="shared" si="37"/>
        <v>OK</v>
      </c>
      <c r="DJ32" s="153" t="str">
        <f t="shared" si="62"/>
        <v>OK</v>
      </c>
      <c r="DK32" s="153" t="str">
        <f t="shared" si="38"/>
        <v>OK</v>
      </c>
      <c r="DL32" s="313" t="str">
        <f t="shared" si="39"/>
        <v>OK</v>
      </c>
      <c r="DM32" s="153" t="str">
        <f t="shared" si="40"/>
        <v>OK</v>
      </c>
      <c r="DN32" s="153" t="str">
        <f t="shared" si="63"/>
        <v>OK</v>
      </c>
      <c r="DO32" s="154" t="str">
        <f t="shared" si="64"/>
        <v>OK</v>
      </c>
      <c r="DP32" s="153" t="str">
        <f t="shared" si="41"/>
        <v>OK</v>
      </c>
      <c r="DQ32" s="313" t="str">
        <f t="shared" si="42"/>
        <v>OK</v>
      </c>
      <c r="DR32" s="153" t="str">
        <f t="shared" si="65"/>
        <v>OK</v>
      </c>
      <c r="DS32" s="153" t="str">
        <f t="shared" si="43"/>
        <v>OK</v>
      </c>
      <c r="DT32" s="313" t="str">
        <f t="shared" si="44"/>
        <v>OK</v>
      </c>
      <c r="DU32" s="153" t="str">
        <f t="shared" si="45"/>
        <v>OK</v>
      </c>
      <c r="DV32" s="153" t="str">
        <f t="shared" si="66"/>
        <v>OK</v>
      </c>
      <c r="DW32" s="154" t="str">
        <f t="shared" si="67"/>
        <v>OK</v>
      </c>
      <c r="DX32" s="157">
        <f t="shared" si="68"/>
        <v>0</v>
      </c>
      <c r="DY32" s="156" t="str">
        <f t="shared" si="69"/>
        <v>OK</v>
      </c>
    </row>
    <row r="33" spans="1:129" ht="13" hidden="1" x14ac:dyDescent="0.3">
      <c r="A33" s="333"/>
      <c r="B33" s="333"/>
      <c r="C33" s="331" t="str">
        <f t="shared" si="46"/>
        <v>-</v>
      </c>
      <c r="D33" s="584">
        <v>10</v>
      </c>
      <c r="E33" s="585"/>
      <c r="F33" s="586"/>
      <c r="G33" s="600"/>
      <c r="H33" s="587"/>
      <c r="I33" s="601"/>
      <c r="J33" s="585"/>
      <c r="K33" s="617"/>
      <c r="L33" s="602"/>
      <c r="M33" s="603"/>
      <c r="N33" s="588"/>
      <c r="O33" s="604"/>
      <c r="P33" s="605"/>
      <c r="Q33" s="588"/>
      <c r="R33" s="604"/>
      <c r="S33" s="605"/>
      <c r="T33" s="606"/>
      <c r="U33" s="606"/>
      <c r="V33" s="429" t="str">
        <f t="shared" si="0"/>
        <v/>
      </c>
      <c r="W33" s="430" t="str">
        <f t="shared" si="47"/>
        <v/>
      </c>
      <c r="X33" s="66" t="str">
        <f>IF(AND(ISNUMBER(P33),N33=FixedDim),MAX('Adjustment factors'!$S$16,0.2+0.8*P33),IF(ISTEXT(N33),VLOOKUP(N33,Afactors,2,TRUE),""))</f>
        <v/>
      </c>
      <c r="Y33" s="17" t="str">
        <f>IF(AND(ISNUMBER(S33),Q33=FixedDim),MAX('Adjustment factors'!$S$16,0.2+0.8*S33),IF(ISTEXT(Q33),VLOOKUP(Q33,Afactors,2,TRUE),""))</f>
        <v/>
      </c>
      <c r="Z33" s="297" t="str">
        <f>IF(ISBLANK(T33),"",VLOOKUP(T33,'Adjustment factors'!$R$27:$S$30,2,TRUE))</f>
        <v/>
      </c>
      <c r="AA33" s="297" t="str">
        <f>IF(ISBLANK(U33),"",VLOOKUP(U33,'Adjustment factors'!$R$27:$S$30,2,TRUE))</f>
        <v/>
      </c>
      <c r="AB33" s="480">
        <f t="shared" si="48"/>
        <v>1</v>
      </c>
      <c r="AC33" s="18" t="b">
        <f t="shared" si="1"/>
        <v>0</v>
      </c>
      <c r="AD33" s="18" t="b">
        <f t="shared" si="2"/>
        <v>0</v>
      </c>
      <c r="AE33" s="18" t="b">
        <f t="shared" si="70"/>
        <v>0</v>
      </c>
      <c r="AF33" s="17" t="str">
        <f t="shared" si="3"/>
        <v/>
      </c>
      <c r="AG33" s="18" t="str">
        <f t="shared" si="4"/>
        <v/>
      </c>
      <c r="AH33" s="17" t="str">
        <f t="shared" si="71"/>
        <v/>
      </c>
      <c r="AI33" s="297" t="e">
        <f t="shared" si="49"/>
        <v>#VALUE!</v>
      </c>
      <c r="AJ33" s="79" t="e">
        <f t="shared" si="5"/>
        <v>#VALUE!</v>
      </c>
      <c r="AK33" s="17" t="str">
        <f t="shared" si="72"/>
        <v/>
      </c>
      <c r="AL33" s="80" t="e">
        <f t="shared" si="6"/>
        <v>#VALUE!</v>
      </c>
      <c r="AM33" s="139" t="b">
        <f t="shared" si="7"/>
        <v>1</v>
      </c>
      <c r="AN33" s="139" t="b">
        <f>AND(COUNTA(E33)&gt;0,ISNUMBER(F33),OR(COUNT(G33:H33)=0,COUNT(G33:H33)=2,AND(ISNUMBER(G33),ISNUMBER(VALUE(LEFT(H33,SUM(LEN(H33)-LEN(SUBSTITUTE(H33,{"0","1","2","3","4","5","6","7","8","9","."},"")))))))),ISNUMBER(I33),ISTEXT(J33))</f>
        <v>0</v>
      </c>
      <c r="AO33" s="19" t="b">
        <f t="shared" si="8"/>
        <v>0</v>
      </c>
      <c r="AP33" s="19" t="b">
        <f t="shared" si="9"/>
        <v>1</v>
      </c>
      <c r="AQ33" s="19" t="b">
        <f>IF(AND(COUNTBLANK(E33:J33)=6,OR(AN34:AN$523)),NOT(AN33))</f>
        <v>0</v>
      </c>
      <c r="AR33" s="19" t="str">
        <f t="shared" si="10"/>
        <v/>
      </c>
      <c r="AS33" s="19" t="b">
        <f t="shared" si="11"/>
        <v>1</v>
      </c>
      <c r="AT33" s="19" t="str">
        <f t="shared" si="12"/>
        <v/>
      </c>
      <c r="AU33" s="19" t="b">
        <f t="shared" si="13"/>
        <v>1</v>
      </c>
      <c r="AV33" s="140" t="str">
        <f t="shared" si="50"/>
        <v/>
      </c>
      <c r="AW33" s="19" t="str">
        <f t="shared" si="14"/>
        <v/>
      </c>
      <c r="AX33" s="81">
        <f t="shared" si="15"/>
        <v>0</v>
      </c>
      <c r="AY33" s="81" t="str">
        <f t="shared" si="16"/>
        <v/>
      </c>
      <c r="AZ33" s="307" t="str">
        <f t="shared" si="51"/>
        <v/>
      </c>
      <c r="BA33" s="281" t="str">
        <f t="shared" si="52"/>
        <v/>
      </c>
      <c r="BB33" s="281" t="str">
        <f t="shared" si="53"/>
        <v/>
      </c>
      <c r="BC33" s="953"/>
      <c r="BD33" s="955"/>
      <c r="BE33" s="219" t="str">
        <f t="shared" si="17"/>
        <v>n/a</v>
      </c>
      <c r="BF33" s="215" t="b">
        <f t="shared" si="18"/>
        <v>0</v>
      </c>
      <c r="BG33" s="145" t="b">
        <f t="shared" si="19"/>
        <v>0</v>
      </c>
      <c r="BH33" s="145" t="b">
        <f t="shared" si="20"/>
        <v>0</v>
      </c>
      <c r="BI33" s="216" t="b">
        <f t="shared" si="21"/>
        <v>0</v>
      </c>
      <c r="BJ33" s="215" t="b">
        <f t="shared" si="22"/>
        <v>0</v>
      </c>
      <c r="BK33" s="145" t="b">
        <f t="shared" si="23"/>
        <v>0</v>
      </c>
      <c r="BL33" s="216" t="b">
        <f t="shared" si="24"/>
        <v>0</v>
      </c>
      <c r="BM33" s="217" t="str">
        <f t="shared" si="54"/>
        <v/>
      </c>
      <c r="BN33" s="146" t="str">
        <f t="shared" si="55"/>
        <v/>
      </c>
      <c r="BO33" s="147" t="str">
        <f t="shared" si="56"/>
        <v/>
      </c>
      <c r="BP33" s="148" t="str">
        <f t="shared" si="57"/>
        <v/>
      </c>
      <c r="BT33" s="50">
        <v>10</v>
      </c>
      <c r="BU33" s="50" t="str">
        <f>IF(RowsPreferredOne&gt;=BT33,RowsPreferredOne,"-")</f>
        <v>-</v>
      </c>
      <c r="BW33" s="333"/>
      <c r="BX33" s="333"/>
      <c r="BY33" s="333"/>
      <c r="BZ33" s="333"/>
      <c r="CA33" s="333"/>
      <c r="CB33" s="333"/>
      <c r="CC33" s="333"/>
      <c r="CD33" s="333"/>
      <c r="CE33" s="333"/>
      <c r="CF33" s="333"/>
      <c r="CG33" s="354">
        <f t="shared" si="26"/>
        <v>10</v>
      </c>
      <c r="CH33" s="613">
        <f t="shared" si="27"/>
        <v>0</v>
      </c>
      <c r="CI33" s="613">
        <f t="shared" si="28"/>
        <v>0</v>
      </c>
      <c r="CJ33" s="614" t="str">
        <f t="shared" si="29"/>
        <v/>
      </c>
      <c r="CK33" s="615" t="str">
        <f t="shared" si="30"/>
        <v/>
      </c>
      <c r="CL33" s="610" t="str">
        <f>IF(ISBLANK(H33),"",IF(AND(ISNUMBER(F33),ISNUMBER(G33),ISNUMBER(H33)),ROUND(F33/(H33*G33),2),ROUND(F33/(VALUE(LEFT(H33,SUM(LEN(H33)-LEN(SUBSTITUTE(H33,{"0","1","2","3","4","5","6","7","8","9","."},"")))))*G33),2)))</f>
        <v/>
      </c>
      <c r="CM33" s="616" t="str">
        <f t="shared" si="58"/>
        <v/>
      </c>
      <c r="CN33" s="616" t="str">
        <f>IF(ISNUMBER(P33),MAX('Adjustment factors'!$S$16,(0.2+0.8*P33)),IF(ISTEXT(N33),VLOOKUP(N33,Afactors,2,FALSE),""))</f>
        <v/>
      </c>
      <c r="CO33" s="616" t="str">
        <f>IF(ISNUMBER(S33),MAX('Adjustment factors'!$S$16,0.2+0.8*S33),IF(ISTEXT(Q33),VLOOKUP(Q33,Afactors,2,FALSE),""))</f>
        <v/>
      </c>
      <c r="CP33" s="611" t="str">
        <f t="shared" si="59"/>
        <v/>
      </c>
      <c r="CQ33" s="612" t="str">
        <f t="shared" si="60"/>
        <v/>
      </c>
      <c r="CR33" s="340"/>
      <c r="CS33" s="340"/>
      <c r="CT33" s="340"/>
      <c r="CU33" s="340"/>
      <c r="CV33" s="333"/>
      <c r="CW33" s="333"/>
      <c r="CX33" s="333"/>
      <c r="CY33" s="333"/>
      <c r="DA33" s="313" t="str">
        <f t="shared" si="31"/>
        <v>OK</v>
      </c>
      <c r="DB33" s="313" t="str">
        <f t="shared" si="32"/>
        <v>OK</v>
      </c>
      <c r="DC33" s="313" t="str">
        <f t="shared" si="33"/>
        <v>OK</v>
      </c>
      <c r="DD33" s="313" t="str">
        <f t="shared" si="34"/>
        <v>OK</v>
      </c>
      <c r="DE33" s="153" t="str">
        <f t="shared" si="35"/>
        <v>OK</v>
      </c>
      <c r="DF33" s="314" t="str">
        <f t="shared" si="36"/>
        <v>OK</v>
      </c>
      <c r="DG33" s="482" t="str">
        <f t="shared" si="61"/>
        <v>OK</v>
      </c>
      <c r="DH33" s="482" t="str">
        <f>IF(OR(AND(T33='Adjustment factors'!$R$28,'Class 3, 5-9'!U33='Adjustment factors'!$R$29),AND('Class 3, 5-9'!T33='Adjustment factors'!$R$29,'Class 3, 5-9'!U33='Adjustment factors'!$R$28)),"Invalid combination of adjustment factors",IF(AND(T33=U33,NOT(ISBLANK(T33)),NOT(ISBLANK(U33))),"Same colour factor selected twice","OK"))</f>
        <v>OK</v>
      </c>
      <c r="DI33" s="313" t="str">
        <f t="shared" si="37"/>
        <v>OK</v>
      </c>
      <c r="DJ33" s="153" t="str">
        <f t="shared" si="62"/>
        <v>OK</v>
      </c>
      <c r="DK33" s="153" t="str">
        <f t="shared" si="38"/>
        <v>OK</v>
      </c>
      <c r="DL33" s="313" t="str">
        <f t="shared" si="39"/>
        <v>OK</v>
      </c>
      <c r="DM33" s="153" t="str">
        <f t="shared" si="40"/>
        <v>OK</v>
      </c>
      <c r="DN33" s="153" t="str">
        <f t="shared" si="63"/>
        <v>OK</v>
      </c>
      <c r="DO33" s="154" t="str">
        <f t="shared" si="64"/>
        <v>OK</v>
      </c>
      <c r="DP33" s="153" t="str">
        <f t="shared" si="41"/>
        <v>OK</v>
      </c>
      <c r="DQ33" s="313" t="str">
        <f t="shared" si="42"/>
        <v>OK</v>
      </c>
      <c r="DR33" s="153" t="str">
        <f t="shared" si="65"/>
        <v>OK</v>
      </c>
      <c r="DS33" s="153" t="str">
        <f t="shared" si="43"/>
        <v>OK</v>
      </c>
      <c r="DT33" s="313" t="str">
        <f t="shared" si="44"/>
        <v>OK</v>
      </c>
      <c r="DU33" s="153" t="str">
        <f t="shared" si="45"/>
        <v>OK</v>
      </c>
      <c r="DV33" s="153" t="str">
        <f t="shared" si="66"/>
        <v>OK</v>
      </c>
      <c r="DW33" s="154" t="str">
        <f t="shared" si="67"/>
        <v>OK</v>
      </c>
      <c r="DX33" s="157">
        <f t="shared" si="68"/>
        <v>0</v>
      </c>
      <c r="DY33" s="156" t="str">
        <f t="shared" si="69"/>
        <v>OK</v>
      </c>
    </row>
    <row r="34" spans="1:129" ht="13" hidden="1" x14ac:dyDescent="0.3">
      <c r="A34" s="333"/>
      <c r="B34" s="333"/>
      <c r="C34" s="331" t="str">
        <f t="shared" si="46"/>
        <v>-</v>
      </c>
      <c r="D34" s="584">
        <v>11</v>
      </c>
      <c r="E34" s="585"/>
      <c r="F34" s="586"/>
      <c r="G34" s="600"/>
      <c r="H34" s="587"/>
      <c r="I34" s="601"/>
      <c r="J34" s="585"/>
      <c r="K34" s="617"/>
      <c r="L34" s="602"/>
      <c r="M34" s="603"/>
      <c r="N34" s="588"/>
      <c r="O34" s="604"/>
      <c r="P34" s="605"/>
      <c r="Q34" s="588"/>
      <c r="R34" s="604"/>
      <c r="S34" s="605"/>
      <c r="T34" s="606"/>
      <c r="U34" s="606"/>
      <c r="V34" s="429" t="str">
        <f t="shared" si="0"/>
        <v/>
      </c>
      <c r="W34" s="430" t="str">
        <f t="shared" si="47"/>
        <v/>
      </c>
      <c r="X34" s="66" t="str">
        <f>IF(AND(ISNUMBER(P34),N34=FixedDim),MAX('Adjustment factors'!$S$16,0.2+0.8*P34),IF(ISTEXT(N34),VLOOKUP(N34,Afactors,2,TRUE),""))</f>
        <v/>
      </c>
      <c r="Y34" s="17" t="str">
        <f>IF(AND(ISNUMBER(S34),Q34=FixedDim),MAX('Adjustment factors'!$S$16,0.2+0.8*S34),IF(ISTEXT(Q34),VLOOKUP(Q34,Afactors,2,TRUE),""))</f>
        <v/>
      </c>
      <c r="Z34" s="297" t="str">
        <f>IF(ISBLANK(T34),"",VLOOKUP(T34,'Adjustment factors'!$R$27:$S$30,2,TRUE))</f>
        <v/>
      </c>
      <c r="AA34" s="297" t="str">
        <f>IF(ISBLANK(U34),"",VLOOKUP(U34,'Adjustment factors'!$R$27:$S$30,2,TRUE))</f>
        <v/>
      </c>
      <c r="AB34" s="480">
        <f t="shared" si="48"/>
        <v>1</v>
      </c>
      <c r="AC34" s="18" t="b">
        <f t="shared" si="1"/>
        <v>0</v>
      </c>
      <c r="AD34" s="18" t="b">
        <f t="shared" si="2"/>
        <v>0</v>
      </c>
      <c r="AE34" s="18" t="b">
        <f t="shared" si="70"/>
        <v>0</v>
      </c>
      <c r="AF34" s="17" t="str">
        <f t="shared" si="3"/>
        <v/>
      </c>
      <c r="AG34" s="18" t="str">
        <f t="shared" si="4"/>
        <v/>
      </c>
      <c r="AH34" s="17" t="str">
        <f t="shared" si="71"/>
        <v/>
      </c>
      <c r="AI34" s="297" t="e">
        <f t="shared" si="49"/>
        <v>#VALUE!</v>
      </c>
      <c r="AJ34" s="79" t="e">
        <f t="shared" si="5"/>
        <v>#VALUE!</v>
      </c>
      <c r="AK34" s="17" t="str">
        <f t="shared" si="72"/>
        <v/>
      </c>
      <c r="AL34" s="80" t="e">
        <f t="shared" si="6"/>
        <v>#VALUE!</v>
      </c>
      <c r="AM34" s="139" t="b">
        <f t="shared" si="7"/>
        <v>1</v>
      </c>
      <c r="AN34" s="139" t="b">
        <f>AND(COUNTA(E34)&gt;0,ISNUMBER(F34),OR(COUNT(G34:H34)=0,COUNT(G34:H34)=2,AND(ISNUMBER(G34),ISNUMBER(VALUE(LEFT(H34,SUM(LEN(H34)-LEN(SUBSTITUTE(H34,{"0","1","2","3","4","5","6","7","8","9","."},"")))))))),ISNUMBER(I34),ISTEXT(J34))</f>
        <v>0</v>
      </c>
      <c r="AO34" s="19" t="b">
        <f t="shared" si="8"/>
        <v>0</v>
      </c>
      <c r="AP34" s="19" t="b">
        <f t="shared" si="9"/>
        <v>1</v>
      </c>
      <c r="AQ34" s="19" t="b">
        <f>IF(AND(COUNTBLANK(E34:J34)=6,OR(AN35:AN$523)),NOT(AN34))</f>
        <v>0</v>
      </c>
      <c r="AR34" s="19" t="str">
        <f t="shared" si="10"/>
        <v/>
      </c>
      <c r="AS34" s="19" t="b">
        <f t="shared" si="11"/>
        <v>1</v>
      </c>
      <c r="AT34" s="19" t="str">
        <f t="shared" si="12"/>
        <v/>
      </c>
      <c r="AU34" s="19" t="b">
        <f t="shared" si="13"/>
        <v>1</v>
      </c>
      <c r="AV34" s="140" t="str">
        <f t="shared" si="50"/>
        <v/>
      </c>
      <c r="AW34" s="19" t="str">
        <f t="shared" si="14"/>
        <v/>
      </c>
      <c r="AX34" s="81">
        <f t="shared" si="15"/>
        <v>0</v>
      </c>
      <c r="AY34" s="81" t="str">
        <f t="shared" si="16"/>
        <v/>
      </c>
      <c r="AZ34" s="307" t="str">
        <f t="shared" si="51"/>
        <v/>
      </c>
      <c r="BA34" s="281" t="str">
        <f t="shared" si="52"/>
        <v/>
      </c>
      <c r="BB34" s="281" t="str">
        <f t="shared" si="53"/>
        <v/>
      </c>
      <c r="BC34" s="953"/>
      <c r="BD34" s="955"/>
      <c r="BE34" s="219" t="str">
        <f t="shared" si="17"/>
        <v>n/a</v>
      </c>
      <c r="BF34" s="215" t="b">
        <f t="shared" si="18"/>
        <v>0</v>
      </c>
      <c r="BG34" s="145" t="b">
        <f t="shared" si="19"/>
        <v>0</v>
      </c>
      <c r="BH34" s="145" t="b">
        <f t="shared" si="20"/>
        <v>0</v>
      </c>
      <c r="BI34" s="216" t="b">
        <f t="shared" si="21"/>
        <v>0</v>
      </c>
      <c r="BJ34" s="215" t="b">
        <f t="shared" si="22"/>
        <v>0</v>
      </c>
      <c r="BK34" s="145" t="b">
        <f t="shared" si="23"/>
        <v>0</v>
      </c>
      <c r="BL34" s="216" t="b">
        <f t="shared" si="24"/>
        <v>0</v>
      </c>
      <c r="BM34" s="217" t="str">
        <f t="shared" si="54"/>
        <v/>
      </c>
      <c r="BN34" s="146" t="str">
        <f t="shared" si="55"/>
        <v/>
      </c>
      <c r="BO34" s="147" t="str">
        <f t="shared" si="56"/>
        <v/>
      </c>
      <c r="BP34" s="148" t="str">
        <f t="shared" si="57"/>
        <v/>
      </c>
      <c r="BT34" s="50">
        <v>11</v>
      </c>
      <c r="BU34" s="50" t="str">
        <f t="shared" si="25"/>
        <v>-</v>
      </c>
      <c r="BW34" s="333"/>
      <c r="BX34" s="333"/>
      <c r="BY34" s="333"/>
      <c r="BZ34" s="333"/>
      <c r="CA34" s="333"/>
      <c r="CB34" s="333"/>
      <c r="CC34" s="333"/>
      <c r="CD34" s="333"/>
      <c r="CE34" s="333"/>
      <c r="CF34" s="333"/>
      <c r="CG34" s="354">
        <f t="shared" si="26"/>
        <v>11</v>
      </c>
      <c r="CH34" s="613">
        <f t="shared" si="27"/>
        <v>0</v>
      </c>
      <c r="CI34" s="613">
        <f t="shared" si="28"/>
        <v>0</v>
      </c>
      <c r="CJ34" s="614" t="str">
        <f t="shared" si="29"/>
        <v/>
      </c>
      <c r="CK34" s="615" t="str">
        <f t="shared" si="30"/>
        <v/>
      </c>
      <c r="CL34" s="610" t="str">
        <f>IF(ISBLANK(H34),"",IF(AND(ISNUMBER(F34),ISNUMBER(G34),ISNUMBER(H34)),ROUND(F34/(H34*G34),2),ROUND(F34/(VALUE(LEFT(H34,SUM(LEN(H34)-LEN(SUBSTITUTE(H34,{"0","1","2","3","4","5","6","7","8","9","."},"")))))*G34),2)))</f>
        <v/>
      </c>
      <c r="CM34" s="616" t="str">
        <f t="shared" si="58"/>
        <v/>
      </c>
      <c r="CN34" s="616" t="str">
        <f>IF(ISNUMBER(P34),MAX('Adjustment factors'!$S$16,(0.2+0.8*P34)),IF(ISTEXT(N34),VLOOKUP(N34,Afactors,2,FALSE),""))</f>
        <v/>
      </c>
      <c r="CO34" s="616" t="str">
        <f>IF(ISNUMBER(S34),MAX('Adjustment factors'!$S$16,0.2+0.8*S34),IF(ISTEXT(Q34),VLOOKUP(Q34,Afactors,2,FALSE),""))</f>
        <v/>
      </c>
      <c r="CP34" s="611" t="str">
        <f t="shared" si="59"/>
        <v/>
      </c>
      <c r="CQ34" s="612" t="str">
        <f t="shared" si="60"/>
        <v/>
      </c>
      <c r="CR34" s="340"/>
      <c r="CS34" s="340"/>
      <c r="CT34" s="340"/>
      <c r="CU34" s="340"/>
      <c r="CV34" s="333"/>
      <c r="CW34" s="333"/>
      <c r="CX34" s="333"/>
      <c r="CY34" s="333"/>
      <c r="DA34" s="313" t="str">
        <f t="shared" si="31"/>
        <v>OK</v>
      </c>
      <c r="DB34" s="313" t="str">
        <f t="shared" si="32"/>
        <v>OK</v>
      </c>
      <c r="DC34" s="313" t="str">
        <f t="shared" si="33"/>
        <v>OK</v>
      </c>
      <c r="DD34" s="313" t="str">
        <f t="shared" si="34"/>
        <v>OK</v>
      </c>
      <c r="DE34" s="153" t="str">
        <f t="shared" si="35"/>
        <v>OK</v>
      </c>
      <c r="DF34" s="314" t="str">
        <f t="shared" si="36"/>
        <v>OK</v>
      </c>
      <c r="DG34" s="482" t="str">
        <f t="shared" si="61"/>
        <v>OK</v>
      </c>
      <c r="DH34" s="482" t="str">
        <f>IF(OR(AND(T34='Adjustment factors'!$R$28,'Class 3, 5-9'!U34='Adjustment factors'!$R$29),AND('Class 3, 5-9'!T34='Adjustment factors'!$R$29,'Class 3, 5-9'!U34='Adjustment factors'!$R$28)),"Invalid combination of adjustment factors",IF(AND(T34=U34,NOT(ISBLANK(T34)),NOT(ISBLANK(U34))),"Same colour factor selected twice","OK"))</f>
        <v>OK</v>
      </c>
      <c r="DI34" s="313" t="str">
        <f t="shared" si="37"/>
        <v>OK</v>
      </c>
      <c r="DJ34" s="153" t="str">
        <f t="shared" si="62"/>
        <v>OK</v>
      </c>
      <c r="DK34" s="153" t="str">
        <f t="shared" si="38"/>
        <v>OK</v>
      </c>
      <c r="DL34" s="313" t="str">
        <f t="shared" si="39"/>
        <v>OK</v>
      </c>
      <c r="DM34" s="153" t="str">
        <f t="shared" si="40"/>
        <v>OK</v>
      </c>
      <c r="DN34" s="153" t="str">
        <f t="shared" si="63"/>
        <v>OK</v>
      </c>
      <c r="DO34" s="154" t="str">
        <f t="shared" si="64"/>
        <v>OK</v>
      </c>
      <c r="DP34" s="153" t="str">
        <f t="shared" si="41"/>
        <v>OK</v>
      </c>
      <c r="DQ34" s="313" t="str">
        <f t="shared" si="42"/>
        <v>OK</v>
      </c>
      <c r="DR34" s="153" t="str">
        <f t="shared" si="65"/>
        <v>OK</v>
      </c>
      <c r="DS34" s="153" t="str">
        <f t="shared" si="43"/>
        <v>OK</v>
      </c>
      <c r="DT34" s="313" t="str">
        <f t="shared" si="44"/>
        <v>OK</v>
      </c>
      <c r="DU34" s="153" t="str">
        <f t="shared" si="45"/>
        <v>OK</v>
      </c>
      <c r="DV34" s="153" t="str">
        <f t="shared" si="66"/>
        <v>OK</v>
      </c>
      <c r="DW34" s="154" t="str">
        <f t="shared" si="67"/>
        <v>OK</v>
      </c>
      <c r="DX34" s="157">
        <f t="shared" si="68"/>
        <v>0</v>
      </c>
      <c r="DY34" s="156" t="str">
        <f t="shared" si="69"/>
        <v>OK</v>
      </c>
    </row>
    <row r="35" spans="1:129" ht="13" hidden="1" x14ac:dyDescent="0.3">
      <c r="A35" s="333"/>
      <c r="B35" s="333"/>
      <c r="C35" s="331" t="str">
        <f>BU35</f>
        <v>-</v>
      </c>
      <c r="D35" s="584">
        <v>12</v>
      </c>
      <c r="E35" s="585"/>
      <c r="F35" s="586"/>
      <c r="G35" s="600"/>
      <c r="H35" s="587"/>
      <c r="I35" s="601"/>
      <c r="J35" s="585"/>
      <c r="K35" s="617"/>
      <c r="L35" s="602"/>
      <c r="M35" s="603"/>
      <c r="N35" s="588"/>
      <c r="O35" s="604"/>
      <c r="P35" s="605"/>
      <c r="Q35" s="588"/>
      <c r="R35" s="604"/>
      <c r="S35" s="605"/>
      <c r="T35" s="606"/>
      <c r="U35" s="606"/>
      <c r="V35" s="429" t="str">
        <f t="shared" si="0"/>
        <v/>
      </c>
      <c r="W35" s="430" t="str">
        <f t="shared" si="47"/>
        <v/>
      </c>
      <c r="X35" s="66" t="str">
        <f>IF(AND(ISNUMBER(P35),N35=FixedDim),MAX('Adjustment factors'!$S$16,0.2+0.8*P35),IF(ISTEXT(N35),VLOOKUP(N35,Afactors,2,TRUE),""))</f>
        <v/>
      </c>
      <c r="Y35" s="17" t="str">
        <f>IF(AND(ISNUMBER(S35),Q35=FixedDim),MAX('Adjustment factors'!$S$16,0.2+0.8*S35),IF(ISTEXT(Q35),VLOOKUP(Q35,Afactors,2,TRUE),""))</f>
        <v/>
      </c>
      <c r="Z35" s="297" t="str">
        <f>IF(ISBLANK(T35),"",VLOOKUP(T35,'Adjustment factors'!$R$27:$S$30,2,TRUE))</f>
        <v/>
      </c>
      <c r="AA35" s="297" t="str">
        <f>IF(ISBLANK(U35),"",VLOOKUP(U35,'Adjustment factors'!$R$27:$S$30,2,TRUE))</f>
        <v/>
      </c>
      <c r="AB35" s="480">
        <f t="shared" si="48"/>
        <v>1</v>
      </c>
      <c r="AC35" s="18" t="b">
        <f t="shared" si="1"/>
        <v>0</v>
      </c>
      <c r="AD35" s="18" t="b">
        <f t="shared" si="2"/>
        <v>0</v>
      </c>
      <c r="AE35" s="18" t="b">
        <f t="shared" si="70"/>
        <v>0</v>
      </c>
      <c r="AF35" s="17" t="str">
        <f t="shared" si="3"/>
        <v/>
      </c>
      <c r="AG35" s="18" t="str">
        <f t="shared" si="4"/>
        <v/>
      </c>
      <c r="AH35" s="17" t="str">
        <f t="shared" si="71"/>
        <v/>
      </c>
      <c r="AI35" s="297" t="e">
        <f t="shared" si="49"/>
        <v>#VALUE!</v>
      </c>
      <c r="AJ35" s="79" t="e">
        <f t="shared" si="5"/>
        <v>#VALUE!</v>
      </c>
      <c r="AK35" s="17" t="str">
        <f t="shared" si="72"/>
        <v/>
      </c>
      <c r="AL35" s="80" t="e">
        <f t="shared" si="6"/>
        <v>#VALUE!</v>
      </c>
      <c r="AM35" s="139" t="b">
        <f t="shared" si="7"/>
        <v>1</v>
      </c>
      <c r="AN35" s="139" t="b">
        <f>AND(COUNTA(E35)&gt;0,ISNUMBER(F35),OR(COUNT(G35:H35)=0,COUNT(G35:H35)=2,AND(ISNUMBER(G35),ISNUMBER(VALUE(LEFT(H35,SUM(LEN(H35)-LEN(SUBSTITUTE(H35,{"0","1","2","3","4","5","6","7","8","9","."},"")))))))),ISNUMBER(I35),ISTEXT(J35))</f>
        <v>0</v>
      </c>
      <c r="AO35" s="19" t="b">
        <f t="shared" si="8"/>
        <v>0</v>
      </c>
      <c r="AP35" s="19" t="b">
        <f t="shared" si="9"/>
        <v>1</v>
      </c>
      <c r="AQ35" s="19" t="b">
        <f>IF(AND(COUNTBLANK(E35:J35)=6,OR(AN36:AN$523)),NOT(AN35))</f>
        <v>0</v>
      </c>
      <c r="AR35" s="19" t="str">
        <f t="shared" si="10"/>
        <v/>
      </c>
      <c r="AS35" s="19" t="b">
        <f t="shared" si="11"/>
        <v>1</v>
      </c>
      <c r="AT35" s="19" t="str">
        <f t="shared" si="12"/>
        <v/>
      </c>
      <c r="AU35" s="19" t="b">
        <f t="shared" si="13"/>
        <v>1</v>
      </c>
      <c r="AV35" s="140" t="str">
        <f t="shared" si="50"/>
        <v/>
      </c>
      <c r="AW35" s="19" t="str">
        <f t="shared" si="14"/>
        <v/>
      </c>
      <c r="AX35" s="81">
        <f t="shared" si="15"/>
        <v>0</v>
      </c>
      <c r="AY35" s="81" t="str">
        <f t="shared" si="16"/>
        <v/>
      </c>
      <c r="AZ35" s="307" t="str">
        <f t="shared" si="51"/>
        <v/>
      </c>
      <c r="BA35" s="281" t="str">
        <f t="shared" si="52"/>
        <v/>
      </c>
      <c r="BB35" s="281" t="str">
        <f t="shared" si="53"/>
        <v/>
      </c>
      <c r="BC35" s="953"/>
      <c r="BD35" s="955"/>
      <c r="BE35" s="219" t="str">
        <f t="shared" si="17"/>
        <v>n/a</v>
      </c>
      <c r="BF35" s="215" t="b">
        <f t="shared" si="18"/>
        <v>0</v>
      </c>
      <c r="BG35" s="145" t="b">
        <f t="shared" si="19"/>
        <v>0</v>
      </c>
      <c r="BH35" s="145" t="b">
        <f t="shared" si="20"/>
        <v>0</v>
      </c>
      <c r="BI35" s="216" t="b">
        <f t="shared" si="21"/>
        <v>0</v>
      </c>
      <c r="BJ35" s="215" t="b">
        <f t="shared" si="22"/>
        <v>0</v>
      </c>
      <c r="BK35" s="145" t="b">
        <f t="shared" si="23"/>
        <v>0</v>
      </c>
      <c r="BL35" s="216" t="b">
        <f t="shared" si="24"/>
        <v>0</v>
      </c>
      <c r="BM35" s="217" t="str">
        <f t="shared" si="54"/>
        <v/>
      </c>
      <c r="BN35" s="146" t="str">
        <f t="shared" si="55"/>
        <v/>
      </c>
      <c r="BO35" s="147" t="str">
        <f t="shared" si="56"/>
        <v/>
      </c>
      <c r="BP35" s="148" t="str">
        <f t="shared" si="57"/>
        <v/>
      </c>
      <c r="BT35" s="50">
        <v>12</v>
      </c>
      <c r="BU35" s="50" t="str">
        <f t="shared" si="25"/>
        <v>-</v>
      </c>
      <c r="BW35" s="333"/>
      <c r="BX35" s="333"/>
      <c r="BY35" s="333"/>
      <c r="BZ35" s="333"/>
      <c r="CA35" s="333"/>
      <c r="CB35" s="333"/>
      <c r="CC35" s="333"/>
      <c r="CD35" s="333"/>
      <c r="CE35" s="333"/>
      <c r="CF35" s="333"/>
      <c r="CG35" s="354">
        <f t="shared" si="26"/>
        <v>12</v>
      </c>
      <c r="CH35" s="613">
        <f t="shared" si="27"/>
        <v>0</v>
      </c>
      <c r="CI35" s="613">
        <f t="shared" si="28"/>
        <v>0</v>
      </c>
      <c r="CJ35" s="614" t="str">
        <f t="shared" si="29"/>
        <v/>
      </c>
      <c r="CK35" s="615" t="str">
        <f t="shared" si="30"/>
        <v/>
      </c>
      <c r="CL35" s="610" t="str">
        <f>IF(ISBLANK(H35),"",IF(AND(ISNUMBER(F35),ISNUMBER(G35),ISNUMBER(H35)),ROUND(F35/(H35*G35),2),ROUND(F35/(VALUE(LEFT(H35,SUM(LEN(H35)-LEN(SUBSTITUTE(H35,{"0","1","2","3","4","5","6","7","8","9","."},"")))))*G35),2)))</f>
        <v/>
      </c>
      <c r="CM35" s="616" t="str">
        <f t="shared" si="58"/>
        <v/>
      </c>
      <c r="CN35" s="616" t="str">
        <f>IF(ISNUMBER(P35),MAX('Adjustment factors'!$S$16,(0.2+0.8*P35)),IF(ISTEXT(N35),VLOOKUP(N35,Afactors,2,FALSE),""))</f>
        <v/>
      </c>
      <c r="CO35" s="616" t="str">
        <f>IF(ISNUMBER(S35),MAX('Adjustment factors'!$S$16,0.2+0.8*S35),IF(ISTEXT(Q35),VLOOKUP(Q35,Afactors,2,FALSE),""))</f>
        <v/>
      </c>
      <c r="CP35" s="611" t="str">
        <f t="shared" si="59"/>
        <v/>
      </c>
      <c r="CQ35" s="612" t="str">
        <f t="shared" si="60"/>
        <v/>
      </c>
      <c r="CR35" s="340"/>
      <c r="CS35" s="340"/>
      <c r="CT35" s="340"/>
      <c r="CU35" s="340"/>
      <c r="CV35" s="333"/>
      <c r="CW35" s="333"/>
      <c r="CX35" s="333"/>
      <c r="CY35" s="333"/>
      <c r="DA35" s="313" t="str">
        <f t="shared" si="31"/>
        <v>OK</v>
      </c>
      <c r="DB35" s="313" t="str">
        <f t="shared" si="32"/>
        <v>OK</v>
      </c>
      <c r="DC35" s="313" t="str">
        <f t="shared" si="33"/>
        <v>OK</v>
      </c>
      <c r="DD35" s="313" t="str">
        <f t="shared" si="34"/>
        <v>OK</v>
      </c>
      <c r="DE35" s="153" t="str">
        <f t="shared" si="35"/>
        <v>OK</v>
      </c>
      <c r="DF35" s="314" t="str">
        <f t="shared" si="36"/>
        <v>OK</v>
      </c>
      <c r="DG35" s="482" t="str">
        <f t="shared" si="61"/>
        <v>OK</v>
      </c>
      <c r="DH35" s="482" t="str">
        <f>IF(OR(AND(T35='Adjustment factors'!$R$28,'Class 3, 5-9'!U35='Adjustment factors'!$R$29),AND('Class 3, 5-9'!T35='Adjustment factors'!$R$29,'Class 3, 5-9'!U35='Adjustment factors'!$R$28)),"Invalid combination of adjustment factors",IF(AND(T35=U35,NOT(ISBLANK(T35)),NOT(ISBLANK(U35))),"Same colour factor selected twice","OK"))</f>
        <v>OK</v>
      </c>
      <c r="DI35" s="313" t="str">
        <f t="shared" si="37"/>
        <v>OK</v>
      </c>
      <c r="DJ35" s="153" t="str">
        <f t="shared" si="62"/>
        <v>OK</v>
      </c>
      <c r="DK35" s="153" t="str">
        <f t="shared" si="38"/>
        <v>OK</v>
      </c>
      <c r="DL35" s="313" t="str">
        <f t="shared" si="39"/>
        <v>OK</v>
      </c>
      <c r="DM35" s="153" t="str">
        <f t="shared" si="40"/>
        <v>OK</v>
      </c>
      <c r="DN35" s="153" t="str">
        <f t="shared" si="63"/>
        <v>OK</v>
      </c>
      <c r="DO35" s="154" t="str">
        <f t="shared" si="64"/>
        <v>OK</v>
      </c>
      <c r="DP35" s="153" t="str">
        <f t="shared" si="41"/>
        <v>OK</v>
      </c>
      <c r="DQ35" s="313" t="str">
        <f t="shared" si="42"/>
        <v>OK</v>
      </c>
      <c r="DR35" s="153" t="str">
        <f t="shared" si="65"/>
        <v>OK</v>
      </c>
      <c r="DS35" s="153" t="str">
        <f t="shared" si="43"/>
        <v>OK</v>
      </c>
      <c r="DT35" s="313" t="str">
        <f t="shared" si="44"/>
        <v>OK</v>
      </c>
      <c r="DU35" s="153" t="str">
        <f t="shared" si="45"/>
        <v>OK</v>
      </c>
      <c r="DV35" s="153" t="str">
        <f t="shared" si="66"/>
        <v>OK</v>
      </c>
      <c r="DW35" s="154" t="str">
        <f t="shared" si="67"/>
        <v>OK</v>
      </c>
      <c r="DX35" s="157">
        <f t="shared" si="68"/>
        <v>0</v>
      </c>
      <c r="DY35" s="156" t="str">
        <f t="shared" si="69"/>
        <v>OK</v>
      </c>
    </row>
    <row r="36" spans="1:129" ht="13" hidden="1" x14ac:dyDescent="0.3">
      <c r="A36" s="333"/>
      <c r="B36" s="333"/>
      <c r="C36" s="331" t="str">
        <f t="shared" si="46"/>
        <v>-</v>
      </c>
      <c r="D36" s="584">
        <v>13</v>
      </c>
      <c r="E36" s="585"/>
      <c r="F36" s="586"/>
      <c r="G36" s="600"/>
      <c r="H36" s="587"/>
      <c r="I36" s="601"/>
      <c r="J36" s="585"/>
      <c r="K36" s="617"/>
      <c r="L36" s="602"/>
      <c r="M36" s="603"/>
      <c r="N36" s="588"/>
      <c r="O36" s="604"/>
      <c r="P36" s="605"/>
      <c r="Q36" s="588"/>
      <c r="R36" s="604"/>
      <c r="S36" s="605"/>
      <c r="T36" s="606"/>
      <c r="U36" s="606"/>
      <c r="V36" s="429" t="str">
        <f t="shared" si="0"/>
        <v/>
      </c>
      <c r="W36" s="430" t="str">
        <f t="shared" si="47"/>
        <v/>
      </c>
      <c r="X36" s="66" t="str">
        <f>IF(AND(ISNUMBER(P36),N36=FixedDim),MAX('Adjustment factors'!$S$16,0.2+0.8*P36),IF(ISTEXT(N36),VLOOKUP(N36,Afactors,2,TRUE),""))</f>
        <v/>
      </c>
      <c r="Y36" s="17" t="str">
        <f>IF(AND(ISNUMBER(S36),Q36=FixedDim),MAX('Adjustment factors'!$S$16,0.2+0.8*S36),IF(ISTEXT(Q36),VLOOKUP(Q36,Afactors,2,TRUE),""))</f>
        <v/>
      </c>
      <c r="Z36" s="297" t="str">
        <f>IF(ISBLANK(T36),"",VLOOKUP(T36,'Adjustment factors'!$R$27:$S$30,2,TRUE))</f>
        <v/>
      </c>
      <c r="AA36" s="297" t="str">
        <f>IF(ISBLANK(U36),"",VLOOKUP(U36,'Adjustment factors'!$R$27:$S$30,2,TRUE))</f>
        <v/>
      </c>
      <c r="AB36" s="480">
        <f t="shared" si="48"/>
        <v>1</v>
      </c>
      <c r="AC36" s="18" t="b">
        <f t="shared" si="1"/>
        <v>0</v>
      </c>
      <c r="AD36" s="18" t="b">
        <f t="shared" si="2"/>
        <v>0</v>
      </c>
      <c r="AE36" s="18" t="b">
        <f t="shared" si="70"/>
        <v>0</v>
      </c>
      <c r="AF36" s="17" t="str">
        <f t="shared" si="3"/>
        <v/>
      </c>
      <c r="AG36" s="18" t="str">
        <f t="shared" si="4"/>
        <v/>
      </c>
      <c r="AH36" s="17" t="str">
        <f t="shared" si="71"/>
        <v/>
      </c>
      <c r="AI36" s="297" t="e">
        <f t="shared" si="49"/>
        <v>#VALUE!</v>
      </c>
      <c r="AJ36" s="79" t="e">
        <f t="shared" si="5"/>
        <v>#VALUE!</v>
      </c>
      <c r="AK36" s="17" t="str">
        <f t="shared" si="72"/>
        <v/>
      </c>
      <c r="AL36" s="80" t="e">
        <f t="shared" si="6"/>
        <v>#VALUE!</v>
      </c>
      <c r="AM36" s="139" t="b">
        <f t="shared" si="7"/>
        <v>1</v>
      </c>
      <c r="AN36" s="139" t="b">
        <f>AND(COUNTA(E36)&gt;0,ISNUMBER(F36),OR(COUNT(G36:H36)=0,COUNT(G36:H36)=2,AND(ISNUMBER(G36),ISNUMBER(VALUE(LEFT(H36,SUM(LEN(H36)-LEN(SUBSTITUTE(H36,{"0","1","2","3","4","5","6","7","8","9","."},"")))))))),ISNUMBER(I36),ISTEXT(J36))</f>
        <v>0</v>
      </c>
      <c r="AO36" s="19" t="b">
        <f t="shared" si="8"/>
        <v>0</v>
      </c>
      <c r="AP36" s="19" t="b">
        <f t="shared" si="9"/>
        <v>1</v>
      </c>
      <c r="AQ36" s="19" t="b">
        <f>IF(AND(COUNTBLANK(E36:J36)=6,OR(AN37:AN$523)),NOT(AN36))</f>
        <v>0</v>
      </c>
      <c r="AR36" s="19" t="str">
        <f t="shared" si="10"/>
        <v/>
      </c>
      <c r="AS36" s="19" t="b">
        <f t="shared" si="11"/>
        <v>1</v>
      </c>
      <c r="AT36" s="19" t="str">
        <f t="shared" si="12"/>
        <v/>
      </c>
      <c r="AU36" s="19" t="b">
        <f t="shared" si="13"/>
        <v>1</v>
      </c>
      <c r="AV36" s="140" t="str">
        <f t="shared" si="50"/>
        <v/>
      </c>
      <c r="AW36" s="19" t="str">
        <f t="shared" si="14"/>
        <v/>
      </c>
      <c r="AX36" s="81">
        <f t="shared" si="15"/>
        <v>0</v>
      </c>
      <c r="AY36" s="81" t="str">
        <f t="shared" si="16"/>
        <v/>
      </c>
      <c r="AZ36" s="307" t="str">
        <f t="shared" si="51"/>
        <v/>
      </c>
      <c r="BA36" s="281" t="str">
        <f t="shared" si="52"/>
        <v/>
      </c>
      <c r="BB36" s="281" t="str">
        <f t="shared" si="53"/>
        <v/>
      </c>
      <c r="BC36" s="953"/>
      <c r="BD36" s="955"/>
      <c r="BE36" s="219" t="str">
        <f t="shared" si="17"/>
        <v>n/a</v>
      </c>
      <c r="BF36" s="215" t="b">
        <f t="shared" si="18"/>
        <v>0</v>
      </c>
      <c r="BG36" s="145" t="b">
        <f t="shared" si="19"/>
        <v>0</v>
      </c>
      <c r="BH36" s="145" t="b">
        <f t="shared" si="20"/>
        <v>0</v>
      </c>
      <c r="BI36" s="216" t="b">
        <f t="shared" si="21"/>
        <v>0</v>
      </c>
      <c r="BJ36" s="215" t="b">
        <f t="shared" si="22"/>
        <v>0</v>
      </c>
      <c r="BK36" s="145" t="b">
        <f t="shared" si="23"/>
        <v>0</v>
      </c>
      <c r="BL36" s="216" t="b">
        <f t="shared" si="24"/>
        <v>0</v>
      </c>
      <c r="BM36" s="217" t="str">
        <f t="shared" si="54"/>
        <v/>
      </c>
      <c r="BN36" s="146" t="str">
        <f t="shared" si="55"/>
        <v/>
      </c>
      <c r="BO36" s="147" t="str">
        <f t="shared" si="56"/>
        <v/>
      </c>
      <c r="BP36" s="148" t="str">
        <f t="shared" si="57"/>
        <v/>
      </c>
      <c r="BT36" s="50">
        <v>13</v>
      </c>
      <c r="BU36" s="50" t="str">
        <f t="shared" si="25"/>
        <v>-</v>
      </c>
      <c r="BW36" s="333"/>
      <c r="BX36" s="333"/>
      <c r="BY36" s="333"/>
      <c r="BZ36" s="333"/>
      <c r="CA36" s="333"/>
      <c r="CB36" s="333"/>
      <c r="CC36" s="333"/>
      <c r="CD36" s="333"/>
      <c r="CE36" s="333"/>
      <c r="CF36" s="333"/>
      <c r="CG36" s="354">
        <f t="shared" si="26"/>
        <v>13</v>
      </c>
      <c r="CH36" s="613">
        <f t="shared" si="27"/>
        <v>0</v>
      </c>
      <c r="CI36" s="613">
        <f t="shared" si="28"/>
        <v>0</v>
      </c>
      <c r="CJ36" s="614" t="str">
        <f t="shared" si="29"/>
        <v/>
      </c>
      <c r="CK36" s="615" t="str">
        <f t="shared" si="30"/>
        <v/>
      </c>
      <c r="CL36" s="610" t="str">
        <f>IF(ISBLANK(H36),"",IF(AND(ISNUMBER(F36),ISNUMBER(G36),ISNUMBER(H36)),ROUND(F36/(H36*G36),2),ROUND(F36/(VALUE(LEFT(H36,SUM(LEN(H36)-LEN(SUBSTITUTE(H36,{"0","1","2","3","4","5","6","7","8","9","."},"")))))*G36),2)))</f>
        <v/>
      </c>
      <c r="CM36" s="616" t="str">
        <f t="shared" si="58"/>
        <v/>
      </c>
      <c r="CN36" s="616" t="str">
        <f>IF(ISNUMBER(P36),MAX('Adjustment factors'!$S$16,(0.2+0.8*P36)),IF(ISTEXT(N36),VLOOKUP(N36,Afactors,2,FALSE),""))</f>
        <v/>
      </c>
      <c r="CO36" s="616" t="str">
        <f>IF(ISNUMBER(S36),MAX('Adjustment factors'!$S$16,0.2+0.8*S36),IF(ISTEXT(Q36),VLOOKUP(Q36,Afactors,2,FALSE),""))</f>
        <v/>
      </c>
      <c r="CP36" s="611" t="str">
        <f t="shared" si="59"/>
        <v/>
      </c>
      <c r="CQ36" s="612" t="str">
        <f t="shared" si="60"/>
        <v/>
      </c>
      <c r="CR36" s="340"/>
      <c r="CS36" s="340"/>
      <c r="CT36" s="340"/>
      <c r="CU36" s="340"/>
      <c r="CV36" s="333"/>
      <c r="CW36" s="333"/>
      <c r="CX36" s="333"/>
      <c r="CY36" s="333"/>
      <c r="DA36" s="313" t="str">
        <f t="shared" si="31"/>
        <v>OK</v>
      </c>
      <c r="DB36" s="313" t="str">
        <f t="shared" si="32"/>
        <v>OK</v>
      </c>
      <c r="DC36" s="313" t="str">
        <f t="shared" si="33"/>
        <v>OK</v>
      </c>
      <c r="DD36" s="313" t="str">
        <f t="shared" si="34"/>
        <v>OK</v>
      </c>
      <c r="DE36" s="153" t="str">
        <f t="shared" si="35"/>
        <v>OK</v>
      </c>
      <c r="DF36" s="314" t="str">
        <f t="shared" si="36"/>
        <v>OK</v>
      </c>
      <c r="DG36" s="482" t="str">
        <f t="shared" si="61"/>
        <v>OK</v>
      </c>
      <c r="DH36" s="482" t="str">
        <f>IF(OR(AND(T36='Adjustment factors'!$R$28,'Class 3, 5-9'!U36='Adjustment factors'!$R$29),AND('Class 3, 5-9'!T36='Adjustment factors'!$R$29,'Class 3, 5-9'!U36='Adjustment factors'!$R$28)),"Invalid combination of adjustment factors",IF(AND(T36=U36,NOT(ISBLANK(T36)),NOT(ISBLANK(U36))),"Same colour factor selected twice","OK"))</f>
        <v>OK</v>
      </c>
      <c r="DI36" s="313" t="str">
        <f t="shared" si="37"/>
        <v>OK</v>
      </c>
      <c r="DJ36" s="153" t="str">
        <f t="shared" si="62"/>
        <v>OK</v>
      </c>
      <c r="DK36" s="153" t="str">
        <f t="shared" si="38"/>
        <v>OK</v>
      </c>
      <c r="DL36" s="313" t="str">
        <f t="shared" si="39"/>
        <v>OK</v>
      </c>
      <c r="DM36" s="153" t="str">
        <f t="shared" si="40"/>
        <v>OK</v>
      </c>
      <c r="DN36" s="153" t="str">
        <f t="shared" si="63"/>
        <v>OK</v>
      </c>
      <c r="DO36" s="154" t="str">
        <f t="shared" si="64"/>
        <v>OK</v>
      </c>
      <c r="DP36" s="153" t="str">
        <f t="shared" si="41"/>
        <v>OK</v>
      </c>
      <c r="DQ36" s="313" t="str">
        <f t="shared" si="42"/>
        <v>OK</v>
      </c>
      <c r="DR36" s="153" t="str">
        <f t="shared" si="65"/>
        <v>OK</v>
      </c>
      <c r="DS36" s="153" t="str">
        <f t="shared" si="43"/>
        <v>OK</v>
      </c>
      <c r="DT36" s="313" t="str">
        <f t="shared" si="44"/>
        <v>OK</v>
      </c>
      <c r="DU36" s="153" t="str">
        <f t="shared" si="45"/>
        <v>OK</v>
      </c>
      <c r="DV36" s="153" t="str">
        <f t="shared" si="66"/>
        <v>OK</v>
      </c>
      <c r="DW36" s="154" t="str">
        <f t="shared" si="67"/>
        <v>OK</v>
      </c>
      <c r="DX36" s="157">
        <f t="shared" si="68"/>
        <v>0</v>
      </c>
      <c r="DY36" s="156" t="str">
        <f t="shared" si="69"/>
        <v>OK</v>
      </c>
    </row>
    <row r="37" spans="1:129" ht="13" hidden="1" x14ac:dyDescent="0.3">
      <c r="A37" s="333"/>
      <c r="B37" s="333"/>
      <c r="C37" s="331" t="str">
        <f t="shared" si="46"/>
        <v>-</v>
      </c>
      <c r="D37" s="584">
        <v>14</v>
      </c>
      <c r="E37" s="585"/>
      <c r="F37" s="586"/>
      <c r="G37" s="600"/>
      <c r="H37" s="587"/>
      <c r="I37" s="601"/>
      <c r="J37" s="585"/>
      <c r="K37" s="617"/>
      <c r="L37" s="602"/>
      <c r="M37" s="603"/>
      <c r="N37" s="588"/>
      <c r="O37" s="604"/>
      <c r="P37" s="605"/>
      <c r="Q37" s="588"/>
      <c r="R37" s="604"/>
      <c r="S37" s="605"/>
      <c r="T37" s="606"/>
      <c r="U37" s="606"/>
      <c r="V37" s="429" t="str">
        <f t="shared" si="0"/>
        <v/>
      </c>
      <c r="W37" s="430" t="str">
        <f t="shared" si="47"/>
        <v/>
      </c>
      <c r="X37" s="66" t="str">
        <f>IF(AND(ISNUMBER(P37),N37=FixedDim),MAX('Adjustment factors'!$S$16,0.2+0.8*P37),IF(ISTEXT(N37),VLOOKUP(N37,Afactors,2,TRUE),""))</f>
        <v/>
      </c>
      <c r="Y37" s="17" t="str">
        <f>IF(AND(ISNUMBER(S37),Q37=FixedDim),MAX('Adjustment factors'!$S$16,0.2+0.8*S37),IF(ISTEXT(Q37),VLOOKUP(Q37,Afactors,2,TRUE),""))</f>
        <v/>
      </c>
      <c r="Z37" s="297" t="str">
        <f>IF(ISBLANK(T37),"",VLOOKUP(T37,'Adjustment factors'!$R$27:$S$30,2,TRUE))</f>
        <v/>
      </c>
      <c r="AA37" s="297" t="str">
        <f>IF(ISBLANK(U37),"",VLOOKUP(U37,'Adjustment factors'!$R$27:$S$30,2,TRUE))</f>
        <v/>
      </c>
      <c r="AB37" s="480">
        <f t="shared" si="48"/>
        <v>1</v>
      </c>
      <c r="AC37" s="18" t="b">
        <f t="shared" si="1"/>
        <v>0</v>
      </c>
      <c r="AD37" s="18" t="b">
        <f t="shared" si="2"/>
        <v>0</v>
      </c>
      <c r="AE37" s="18" t="b">
        <f t="shared" si="70"/>
        <v>0</v>
      </c>
      <c r="AF37" s="17" t="str">
        <f t="shared" si="3"/>
        <v/>
      </c>
      <c r="AG37" s="18" t="str">
        <f t="shared" si="4"/>
        <v/>
      </c>
      <c r="AH37" s="17" t="str">
        <f t="shared" si="71"/>
        <v/>
      </c>
      <c r="AI37" s="297" t="e">
        <f t="shared" si="49"/>
        <v>#VALUE!</v>
      </c>
      <c r="AJ37" s="79" t="e">
        <f t="shared" si="5"/>
        <v>#VALUE!</v>
      </c>
      <c r="AK37" s="17" t="str">
        <f t="shared" si="72"/>
        <v/>
      </c>
      <c r="AL37" s="80" t="e">
        <f t="shared" si="6"/>
        <v>#VALUE!</v>
      </c>
      <c r="AM37" s="139" t="b">
        <f t="shared" si="7"/>
        <v>1</v>
      </c>
      <c r="AN37" s="139" t="b">
        <f>AND(COUNTA(E37)&gt;0,ISNUMBER(F37),OR(COUNT(G37:H37)=0,COUNT(G37:H37)=2,AND(ISNUMBER(G37),ISNUMBER(VALUE(LEFT(H37,SUM(LEN(H37)-LEN(SUBSTITUTE(H37,{"0","1","2","3","4","5","6","7","8","9","."},"")))))))),ISNUMBER(I37),ISTEXT(J37))</f>
        <v>0</v>
      </c>
      <c r="AO37" s="19" t="b">
        <f t="shared" si="8"/>
        <v>0</v>
      </c>
      <c r="AP37" s="19" t="b">
        <f t="shared" si="9"/>
        <v>1</v>
      </c>
      <c r="AQ37" s="19" t="b">
        <f>IF(AND(COUNTBLANK(E37:J37)=6,OR(AN38:AN$523)),NOT(AN37))</f>
        <v>0</v>
      </c>
      <c r="AR37" s="19" t="str">
        <f t="shared" si="10"/>
        <v/>
      </c>
      <c r="AS37" s="19" t="b">
        <f t="shared" si="11"/>
        <v>1</v>
      </c>
      <c r="AT37" s="19" t="str">
        <f t="shared" si="12"/>
        <v/>
      </c>
      <c r="AU37" s="19" t="b">
        <f t="shared" si="13"/>
        <v>1</v>
      </c>
      <c r="AV37" s="140" t="str">
        <f t="shared" si="50"/>
        <v/>
      </c>
      <c r="AW37" s="19" t="str">
        <f t="shared" si="14"/>
        <v/>
      </c>
      <c r="AX37" s="81">
        <f t="shared" si="15"/>
        <v>0</v>
      </c>
      <c r="AY37" s="81" t="str">
        <f t="shared" si="16"/>
        <v/>
      </c>
      <c r="AZ37" s="307" t="str">
        <f t="shared" si="51"/>
        <v/>
      </c>
      <c r="BA37" s="281" t="str">
        <f t="shared" si="52"/>
        <v/>
      </c>
      <c r="BB37" s="281" t="str">
        <f t="shared" si="53"/>
        <v/>
      </c>
      <c r="BC37" s="953"/>
      <c r="BD37" s="955"/>
      <c r="BE37" s="219" t="str">
        <f t="shared" si="17"/>
        <v>n/a</v>
      </c>
      <c r="BF37" s="215" t="b">
        <f t="shared" si="18"/>
        <v>0</v>
      </c>
      <c r="BG37" s="145" t="b">
        <f t="shared" si="19"/>
        <v>0</v>
      </c>
      <c r="BH37" s="145" t="b">
        <f t="shared" si="20"/>
        <v>0</v>
      </c>
      <c r="BI37" s="216" t="b">
        <f t="shared" si="21"/>
        <v>0</v>
      </c>
      <c r="BJ37" s="215" t="b">
        <f t="shared" si="22"/>
        <v>0</v>
      </c>
      <c r="BK37" s="145" t="b">
        <f t="shared" si="23"/>
        <v>0</v>
      </c>
      <c r="BL37" s="216" t="b">
        <f t="shared" si="24"/>
        <v>0</v>
      </c>
      <c r="BM37" s="217" t="str">
        <f t="shared" si="54"/>
        <v/>
      </c>
      <c r="BN37" s="146" t="str">
        <f t="shared" si="55"/>
        <v/>
      </c>
      <c r="BO37" s="147" t="str">
        <f t="shared" si="56"/>
        <v/>
      </c>
      <c r="BP37" s="148" t="str">
        <f t="shared" si="57"/>
        <v/>
      </c>
      <c r="BT37" s="50">
        <v>14</v>
      </c>
      <c r="BU37" s="50" t="str">
        <f t="shared" si="25"/>
        <v>-</v>
      </c>
      <c r="BW37" s="333"/>
      <c r="BX37" s="333"/>
      <c r="BY37" s="333"/>
      <c r="BZ37" s="333"/>
      <c r="CA37" s="333"/>
      <c r="CB37" s="333"/>
      <c r="CC37" s="333"/>
      <c r="CD37" s="333"/>
      <c r="CE37" s="333"/>
      <c r="CF37" s="333"/>
      <c r="CG37" s="354">
        <f t="shared" si="26"/>
        <v>14</v>
      </c>
      <c r="CH37" s="613">
        <f t="shared" si="27"/>
        <v>0</v>
      </c>
      <c r="CI37" s="613">
        <f t="shared" si="28"/>
        <v>0</v>
      </c>
      <c r="CJ37" s="614" t="str">
        <f t="shared" si="29"/>
        <v/>
      </c>
      <c r="CK37" s="615" t="str">
        <f t="shared" si="30"/>
        <v/>
      </c>
      <c r="CL37" s="610" t="str">
        <f>IF(ISBLANK(H37),"",IF(AND(ISNUMBER(F37),ISNUMBER(G37),ISNUMBER(H37)),ROUND(F37/(H37*G37),2),ROUND(F37/(VALUE(LEFT(H37,SUM(LEN(H37)-LEN(SUBSTITUTE(H37,{"0","1","2","3","4","5","6","7","8","9","."},"")))))*G37),2)))</f>
        <v/>
      </c>
      <c r="CM37" s="616" t="str">
        <f t="shared" si="58"/>
        <v/>
      </c>
      <c r="CN37" s="616" t="str">
        <f>IF(ISNUMBER(P37),MAX('Adjustment factors'!$S$16,(0.2+0.8*P37)),IF(ISTEXT(N37),VLOOKUP(N37,Afactors,2,FALSE),""))</f>
        <v/>
      </c>
      <c r="CO37" s="616" t="str">
        <f>IF(ISNUMBER(S37),MAX('Adjustment factors'!$S$16,0.2+0.8*S37),IF(ISTEXT(Q37),VLOOKUP(Q37,Afactors,2,FALSE),""))</f>
        <v/>
      </c>
      <c r="CP37" s="611" t="str">
        <f t="shared" si="59"/>
        <v/>
      </c>
      <c r="CQ37" s="612" t="str">
        <f t="shared" si="60"/>
        <v/>
      </c>
      <c r="CR37" s="340"/>
      <c r="CS37" s="340"/>
      <c r="CT37" s="340"/>
      <c r="CU37" s="340"/>
      <c r="CV37" s="333"/>
      <c r="CW37" s="333"/>
      <c r="CX37" s="333"/>
      <c r="CY37" s="333"/>
      <c r="DA37" s="313" t="str">
        <f t="shared" si="31"/>
        <v>OK</v>
      </c>
      <c r="DB37" s="313" t="str">
        <f t="shared" si="32"/>
        <v>OK</v>
      </c>
      <c r="DC37" s="313" t="str">
        <f t="shared" si="33"/>
        <v>OK</v>
      </c>
      <c r="DD37" s="313" t="str">
        <f t="shared" si="34"/>
        <v>OK</v>
      </c>
      <c r="DE37" s="153" t="str">
        <f t="shared" si="35"/>
        <v>OK</v>
      </c>
      <c r="DF37" s="314" t="str">
        <f t="shared" si="36"/>
        <v>OK</v>
      </c>
      <c r="DG37" s="482" t="str">
        <f t="shared" si="61"/>
        <v>OK</v>
      </c>
      <c r="DH37" s="482" t="str">
        <f>IF(OR(AND(T37='Adjustment factors'!$R$28,'Class 3, 5-9'!U37='Adjustment factors'!$R$29),AND('Class 3, 5-9'!T37='Adjustment factors'!$R$29,'Class 3, 5-9'!U37='Adjustment factors'!$R$28)),"Invalid combination of adjustment factors",IF(AND(T37=U37,NOT(ISBLANK(T37)),NOT(ISBLANK(U37))),"Same colour factor selected twice","OK"))</f>
        <v>OK</v>
      </c>
      <c r="DI37" s="313" t="str">
        <f t="shared" si="37"/>
        <v>OK</v>
      </c>
      <c r="DJ37" s="153" t="str">
        <f t="shared" si="62"/>
        <v>OK</v>
      </c>
      <c r="DK37" s="153" t="str">
        <f t="shared" si="38"/>
        <v>OK</v>
      </c>
      <c r="DL37" s="313" t="str">
        <f t="shared" si="39"/>
        <v>OK</v>
      </c>
      <c r="DM37" s="153" t="str">
        <f t="shared" si="40"/>
        <v>OK</v>
      </c>
      <c r="DN37" s="153" t="str">
        <f t="shared" si="63"/>
        <v>OK</v>
      </c>
      <c r="DO37" s="154" t="str">
        <f t="shared" si="64"/>
        <v>OK</v>
      </c>
      <c r="DP37" s="153" t="str">
        <f t="shared" si="41"/>
        <v>OK</v>
      </c>
      <c r="DQ37" s="313" t="str">
        <f t="shared" si="42"/>
        <v>OK</v>
      </c>
      <c r="DR37" s="153" t="str">
        <f t="shared" si="65"/>
        <v>OK</v>
      </c>
      <c r="DS37" s="153" t="str">
        <f t="shared" si="43"/>
        <v>OK</v>
      </c>
      <c r="DT37" s="313" t="str">
        <f t="shared" si="44"/>
        <v>OK</v>
      </c>
      <c r="DU37" s="153" t="str">
        <f t="shared" si="45"/>
        <v>OK</v>
      </c>
      <c r="DV37" s="153" t="str">
        <f t="shared" si="66"/>
        <v>OK</v>
      </c>
      <c r="DW37" s="154" t="str">
        <f t="shared" si="67"/>
        <v>OK</v>
      </c>
      <c r="DX37" s="157">
        <f t="shared" si="68"/>
        <v>0</v>
      </c>
      <c r="DY37" s="156" t="str">
        <f t="shared" si="69"/>
        <v>OK</v>
      </c>
    </row>
    <row r="38" spans="1:129" ht="13" hidden="1" x14ac:dyDescent="0.3">
      <c r="A38" s="333"/>
      <c r="B38" s="333"/>
      <c r="C38" s="331" t="str">
        <f t="shared" si="46"/>
        <v>-</v>
      </c>
      <c r="D38" s="584">
        <v>15</v>
      </c>
      <c r="E38" s="585"/>
      <c r="F38" s="586"/>
      <c r="G38" s="600"/>
      <c r="H38" s="587"/>
      <c r="I38" s="601"/>
      <c r="J38" s="585"/>
      <c r="K38" s="617"/>
      <c r="L38" s="602"/>
      <c r="M38" s="603"/>
      <c r="N38" s="588"/>
      <c r="O38" s="604"/>
      <c r="P38" s="605"/>
      <c r="Q38" s="588"/>
      <c r="R38" s="604"/>
      <c r="S38" s="605"/>
      <c r="T38" s="606"/>
      <c r="U38" s="606"/>
      <c r="V38" s="429" t="str">
        <f t="shared" si="0"/>
        <v/>
      </c>
      <c r="W38" s="430" t="str">
        <f t="shared" si="47"/>
        <v/>
      </c>
      <c r="X38" s="66" t="str">
        <f>IF(AND(ISNUMBER(P38),N38=FixedDim),MAX('Adjustment factors'!$S$16,0.2+0.8*P38),IF(ISTEXT(N38),VLOOKUP(N38,Afactors,2,TRUE),""))</f>
        <v/>
      </c>
      <c r="Y38" s="17" t="str">
        <f>IF(AND(ISNUMBER(S38),Q38=FixedDim),MAX('Adjustment factors'!$S$16,0.2+0.8*S38),IF(ISTEXT(Q38),VLOOKUP(Q38,Afactors,2,TRUE),""))</f>
        <v/>
      </c>
      <c r="Z38" s="297" t="str">
        <f>IF(ISBLANK(T38),"",VLOOKUP(T38,'Adjustment factors'!$R$27:$S$30,2,TRUE))</f>
        <v/>
      </c>
      <c r="AA38" s="297" t="str">
        <f>IF(ISBLANK(U38),"",VLOOKUP(U38,'Adjustment factors'!$R$27:$S$30,2,TRUE))</f>
        <v/>
      </c>
      <c r="AB38" s="480">
        <f t="shared" si="48"/>
        <v>1</v>
      </c>
      <c r="AC38" s="18" t="b">
        <f t="shared" si="1"/>
        <v>0</v>
      </c>
      <c r="AD38" s="18" t="b">
        <f t="shared" si="2"/>
        <v>0</v>
      </c>
      <c r="AE38" s="18" t="b">
        <f t="shared" si="70"/>
        <v>0</v>
      </c>
      <c r="AF38" s="17" t="str">
        <f t="shared" si="3"/>
        <v/>
      </c>
      <c r="AG38" s="18" t="str">
        <f t="shared" si="4"/>
        <v/>
      </c>
      <c r="AH38" s="17" t="str">
        <f t="shared" si="71"/>
        <v/>
      </c>
      <c r="AI38" s="297" t="e">
        <f t="shared" si="49"/>
        <v>#VALUE!</v>
      </c>
      <c r="AJ38" s="79" t="e">
        <f t="shared" si="5"/>
        <v>#VALUE!</v>
      </c>
      <c r="AK38" s="17" t="str">
        <f t="shared" si="72"/>
        <v/>
      </c>
      <c r="AL38" s="80" t="e">
        <f t="shared" si="6"/>
        <v>#VALUE!</v>
      </c>
      <c r="AM38" s="139" t="b">
        <f t="shared" si="7"/>
        <v>1</v>
      </c>
      <c r="AN38" s="139" t="b">
        <f>AND(COUNTA(E38)&gt;0,ISNUMBER(F38),OR(COUNT(G38:H38)=0,COUNT(G38:H38)=2,AND(ISNUMBER(G38),ISNUMBER(VALUE(LEFT(H38,SUM(LEN(H38)-LEN(SUBSTITUTE(H38,{"0","1","2","3","4","5","6","7","8","9","."},"")))))))),ISNUMBER(I38),ISTEXT(J38))</f>
        <v>0</v>
      </c>
      <c r="AO38" s="19" t="b">
        <f t="shared" si="8"/>
        <v>0</v>
      </c>
      <c r="AP38" s="19" t="b">
        <f t="shared" si="9"/>
        <v>1</v>
      </c>
      <c r="AQ38" s="19" t="b">
        <f>IF(AND(COUNTBLANK(E38:J38)=6,OR(AN39:AN$523)),NOT(AN38))</f>
        <v>0</v>
      </c>
      <c r="AR38" s="19" t="str">
        <f t="shared" si="10"/>
        <v/>
      </c>
      <c r="AS38" s="19" t="b">
        <f t="shared" si="11"/>
        <v>1</v>
      </c>
      <c r="AT38" s="19" t="str">
        <f t="shared" si="12"/>
        <v/>
      </c>
      <c r="AU38" s="19" t="b">
        <f t="shared" si="13"/>
        <v>1</v>
      </c>
      <c r="AV38" s="140" t="str">
        <f t="shared" si="50"/>
        <v/>
      </c>
      <c r="AW38" s="19" t="str">
        <f t="shared" si="14"/>
        <v/>
      </c>
      <c r="AX38" s="81">
        <f t="shared" si="15"/>
        <v>0</v>
      </c>
      <c r="AY38" s="81" t="str">
        <f t="shared" si="16"/>
        <v/>
      </c>
      <c r="AZ38" s="307" t="str">
        <f t="shared" si="51"/>
        <v/>
      </c>
      <c r="BA38" s="281" t="str">
        <f t="shared" si="52"/>
        <v/>
      </c>
      <c r="BB38" s="281" t="str">
        <f t="shared" si="53"/>
        <v/>
      </c>
      <c r="BC38" s="953"/>
      <c r="BD38" s="955"/>
      <c r="BE38" s="219" t="str">
        <f t="shared" si="17"/>
        <v>n/a</v>
      </c>
      <c r="BF38" s="215" t="b">
        <f t="shared" si="18"/>
        <v>0</v>
      </c>
      <c r="BG38" s="145" t="b">
        <f t="shared" si="19"/>
        <v>0</v>
      </c>
      <c r="BH38" s="145" t="b">
        <f t="shared" si="20"/>
        <v>0</v>
      </c>
      <c r="BI38" s="216" t="b">
        <f t="shared" si="21"/>
        <v>0</v>
      </c>
      <c r="BJ38" s="215" t="b">
        <f t="shared" si="22"/>
        <v>0</v>
      </c>
      <c r="BK38" s="145" t="b">
        <f t="shared" si="23"/>
        <v>0</v>
      </c>
      <c r="BL38" s="216" t="b">
        <f t="shared" si="24"/>
        <v>0</v>
      </c>
      <c r="BM38" s="217" t="str">
        <f t="shared" si="54"/>
        <v/>
      </c>
      <c r="BN38" s="146" t="str">
        <f t="shared" si="55"/>
        <v/>
      </c>
      <c r="BO38" s="147" t="str">
        <f t="shared" si="56"/>
        <v/>
      </c>
      <c r="BP38" s="148" t="str">
        <f t="shared" si="57"/>
        <v/>
      </c>
      <c r="BT38" s="50">
        <v>15</v>
      </c>
      <c r="BU38" s="50" t="str">
        <f t="shared" si="25"/>
        <v>-</v>
      </c>
      <c r="BW38" s="333"/>
      <c r="BX38" s="333"/>
      <c r="BY38" s="333"/>
      <c r="BZ38" s="333"/>
      <c r="CA38" s="333"/>
      <c r="CB38" s="333"/>
      <c r="CC38" s="333"/>
      <c r="CD38" s="333"/>
      <c r="CE38" s="333"/>
      <c r="CF38" s="333"/>
      <c r="CG38" s="354">
        <f t="shared" si="26"/>
        <v>15</v>
      </c>
      <c r="CH38" s="613">
        <f t="shared" si="27"/>
        <v>0</v>
      </c>
      <c r="CI38" s="613">
        <f t="shared" si="28"/>
        <v>0</v>
      </c>
      <c r="CJ38" s="614" t="str">
        <f t="shared" si="29"/>
        <v/>
      </c>
      <c r="CK38" s="615" t="str">
        <f t="shared" si="30"/>
        <v/>
      </c>
      <c r="CL38" s="610" t="str">
        <f>IF(ISBLANK(H38),"",IF(AND(ISNUMBER(F38),ISNUMBER(G38),ISNUMBER(H38)),ROUND(F38/(H38*G38),2),ROUND(F38/(VALUE(LEFT(H38,SUM(LEN(H38)-LEN(SUBSTITUTE(H38,{"0","1","2","3","4","5","6","7","8","9","."},"")))))*G38),2)))</f>
        <v/>
      </c>
      <c r="CM38" s="616" t="str">
        <f t="shared" si="58"/>
        <v/>
      </c>
      <c r="CN38" s="616" t="str">
        <f>IF(ISNUMBER(P38),MAX('Adjustment factors'!$S$16,(0.2+0.8*P38)),IF(ISTEXT(N38),VLOOKUP(N38,Afactors,2,FALSE),""))</f>
        <v/>
      </c>
      <c r="CO38" s="616" t="str">
        <f>IF(ISNUMBER(S38),MAX('Adjustment factors'!$S$16,0.2+0.8*S38),IF(ISTEXT(Q38),VLOOKUP(Q38,Afactors,2,FALSE),""))</f>
        <v/>
      </c>
      <c r="CP38" s="611" t="str">
        <f t="shared" si="59"/>
        <v/>
      </c>
      <c r="CQ38" s="612" t="str">
        <f t="shared" si="60"/>
        <v/>
      </c>
      <c r="CR38" s="340"/>
      <c r="CS38" s="340"/>
      <c r="CT38" s="340"/>
      <c r="CU38" s="340"/>
      <c r="CV38" s="333"/>
      <c r="CW38" s="333"/>
      <c r="CX38" s="333"/>
      <c r="CY38" s="333"/>
      <c r="DA38" s="313" t="str">
        <f t="shared" si="31"/>
        <v>OK</v>
      </c>
      <c r="DB38" s="313" t="str">
        <f t="shared" si="32"/>
        <v>OK</v>
      </c>
      <c r="DC38" s="313" t="str">
        <f t="shared" si="33"/>
        <v>OK</v>
      </c>
      <c r="DD38" s="313" t="str">
        <f t="shared" si="34"/>
        <v>OK</v>
      </c>
      <c r="DE38" s="153" t="str">
        <f t="shared" si="35"/>
        <v>OK</v>
      </c>
      <c r="DF38" s="314" t="str">
        <f t="shared" si="36"/>
        <v>OK</v>
      </c>
      <c r="DG38" s="482" t="str">
        <f t="shared" si="61"/>
        <v>OK</v>
      </c>
      <c r="DH38" s="482" t="str">
        <f>IF(OR(AND(T38='Adjustment factors'!$R$28,'Class 3, 5-9'!U38='Adjustment factors'!$R$29),AND('Class 3, 5-9'!T38='Adjustment factors'!$R$29,'Class 3, 5-9'!U38='Adjustment factors'!$R$28)),"Invalid combination of adjustment factors",IF(AND(T38=U38,NOT(ISBLANK(T38)),NOT(ISBLANK(U38))),"Same colour factor selected twice","OK"))</f>
        <v>OK</v>
      </c>
      <c r="DI38" s="313" t="str">
        <f t="shared" si="37"/>
        <v>OK</v>
      </c>
      <c r="DJ38" s="153" t="str">
        <f t="shared" si="62"/>
        <v>OK</v>
      </c>
      <c r="DK38" s="153" t="str">
        <f t="shared" si="38"/>
        <v>OK</v>
      </c>
      <c r="DL38" s="313" t="str">
        <f t="shared" si="39"/>
        <v>OK</v>
      </c>
      <c r="DM38" s="153" t="str">
        <f t="shared" si="40"/>
        <v>OK</v>
      </c>
      <c r="DN38" s="153" t="str">
        <f t="shared" si="63"/>
        <v>OK</v>
      </c>
      <c r="DO38" s="154" t="str">
        <f t="shared" si="64"/>
        <v>OK</v>
      </c>
      <c r="DP38" s="153" t="str">
        <f t="shared" si="41"/>
        <v>OK</v>
      </c>
      <c r="DQ38" s="313" t="str">
        <f t="shared" si="42"/>
        <v>OK</v>
      </c>
      <c r="DR38" s="153" t="str">
        <f t="shared" si="65"/>
        <v>OK</v>
      </c>
      <c r="DS38" s="153" t="str">
        <f t="shared" si="43"/>
        <v>OK</v>
      </c>
      <c r="DT38" s="313" t="str">
        <f t="shared" si="44"/>
        <v>OK</v>
      </c>
      <c r="DU38" s="153" t="str">
        <f t="shared" si="45"/>
        <v>OK</v>
      </c>
      <c r="DV38" s="153" t="str">
        <f t="shared" si="66"/>
        <v>OK</v>
      </c>
      <c r="DW38" s="154" t="str">
        <f t="shared" si="67"/>
        <v>OK</v>
      </c>
      <c r="DX38" s="157">
        <f t="shared" si="68"/>
        <v>0</v>
      </c>
      <c r="DY38" s="156" t="str">
        <f t="shared" si="69"/>
        <v>OK</v>
      </c>
    </row>
    <row r="39" spans="1:129" ht="13" hidden="1" x14ac:dyDescent="0.3">
      <c r="A39" s="333"/>
      <c r="B39" s="333"/>
      <c r="C39" s="331" t="str">
        <f t="shared" si="46"/>
        <v>-</v>
      </c>
      <c r="D39" s="584">
        <v>16</v>
      </c>
      <c r="E39" s="585"/>
      <c r="F39" s="586"/>
      <c r="G39" s="600"/>
      <c r="H39" s="587"/>
      <c r="I39" s="601"/>
      <c r="J39" s="585"/>
      <c r="K39" s="617"/>
      <c r="L39" s="602"/>
      <c r="M39" s="603"/>
      <c r="N39" s="588"/>
      <c r="O39" s="604"/>
      <c r="P39" s="605"/>
      <c r="Q39" s="588"/>
      <c r="R39" s="604"/>
      <c r="S39" s="605"/>
      <c r="T39" s="606"/>
      <c r="U39" s="606"/>
      <c r="V39" s="429" t="str">
        <f t="shared" si="0"/>
        <v/>
      </c>
      <c r="W39" s="430" t="str">
        <f t="shared" si="47"/>
        <v/>
      </c>
      <c r="X39" s="66" t="str">
        <f>IF(AND(ISNUMBER(P39),N39=FixedDim),MAX('Adjustment factors'!$S$16,0.2+0.8*P39),IF(ISTEXT(N39),VLOOKUP(N39,Afactors,2,TRUE),""))</f>
        <v/>
      </c>
      <c r="Y39" s="17" t="str">
        <f>IF(AND(ISNUMBER(S39),Q39=FixedDim),MAX('Adjustment factors'!$S$16,0.2+0.8*S39),IF(ISTEXT(Q39),VLOOKUP(Q39,Afactors,2,TRUE),""))</f>
        <v/>
      </c>
      <c r="Z39" s="297" t="str">
        <f>IF(ISBLANK(T39),"",VLOOKUP(T39,'Adjustment factors'!$R$27:$S$30,2,TRUE))</f>
        <v/>
      </c>
      <c r="AA39" s="297" t="str">
        <f>IF(ISBLANK(U39),"",VLOOKUP(U39,'Adjustment factors'!$R$27:$S$30,2,TRUE))</f>
        <v/>
      </c>
      <c r="AB39" s="480">
        <f t="shared" si="48"/>
        <v>1</v>
      </c>
      <c r="AC39" s="18" t="b">
        <f t="shared" si="1"/>
        <v>0</v>
      </c>
      <c r="AD39" s="18" t="b">
        <f t="shared" si="2"/>
        <v>0</v>
      </c>
      <c r="AE39" s="18" t="b">
        <f t="shared" si="70"/>
        <v>0</v>
      </c>
      <c r="AF39" s="17" t="str">
        <f t="shared" si="3"/>
        <v/>
      </c>
      <c r="AG39" s="18" t="str">
        <f t="shared" si="4"/>
        <v/>
      </c>
      <c r="AH39" s="17" t="str">
        <f t="shared" si="71"/>
        <v/>
      </c>
      <c r="AI39" s="297" t="e">
        <f t="shared" si="49"/>
        <v>#VALUE!</v>
      </c>
      <c r="AJ39" s="79" t="e">
        <f t="shared" si="5"/>
        <v>#VALUE!</v>
      </c>
      <c r="AK39" s="17" t="str">
        <f t="shared" si="72"/>
        <v/>
      </c>
      <c r="AL39" s="80" t="e">
        <f t="shared" si="6"/>
        <v>#VALUE!</v>
      </c>
      <c r="AM39" s="139" t="b">
        <f t="shared" si="7"/>
        <v>1</v>
      </c>
      <c r="AN39" s="139" t="b">
        <f>AND(COUNTA(E39)&gt;0,ISNUMBER(F39),OR(COUNT(G39:H39)=0,COUNT(G39:H39)=2,AND(ISNUMBER(G39),ISNUMBER(VALUE(LEFT(H39,SUM(LEN(H39)-LEN(SUBSTITUTE(H39,{"0","1","2","3","4","5","6","7","8","9","."},"")))))))),ISNUMBER(I39),ISTEXT(J39))</f>
        <v>0</v>
      </c>
      <c r="AO39" s="19" t="b">
        <f t="shared" si="8"/>
        <v>0</v>
      </c>
      <c r="AP39" s="19" t="b">
        <f t="shared" si="9"/>
        <v>1</v>
      </c>
      <c r="AQ39" s="19" t="b">
        <f>IF(AND(COUNTBLANK(E39:J39)=6,OR(AN40:AN$523)),NOT(AN39))</f>
        <v>0</v>
      </c>
      <c r="AR39" s="19" t="str">
        <f t="shared" si="10"/>
        <v/>
      </c>
      <c r="AS39" s="19" t="b">
        <f t="shared" si="11"/>
        <v>1</v>
      </c>
      <c r="AT39" s="19" t="str">
        <f t="shared" si="12"/>
        <v/>
      </c>
      <c r="AU39" s="19" t="b">
        <f t="shared" si="13"/>
        <v>1</v>
      </c>
      <c r="AV39" s="140" t="str">
        <f t="shared" si="50"/>
        <v/>
      </c>
      <c r="AW39" s="19" t="str">
        <f t="shared" si="14"/>
        <v/>
      </c>
      <c r="AX39" s="81">
        <f t="shared" si="15"/>
        <v>0</v>
      </c>
      <c r="AY39" s="81" t="str">
        <f t="shared" si="16"/>
        <v/>
      </c>
      <c r="AZ39" s="307" t="str">
        <f t="shared" si="51"/>
        <v/>
      </c>
      <c r="BA39" s="281" t="str">
        <f t="shared" si="52"/>
        <v/>
      </c>
      <c r="BB39" s="281" t="str">
        <f t="shared" si="53"/>
        <v/>
      </c>
      <c r="BC39" s="953"/>
      <c r="BD39" s="955"/>
      <c r="BE39" s="219" t="str">
        <f t="shared" si="17"/>
        <v>n/a</v>
      </c>
      <c r="BF39" s="215" t="b">
        <f t="shared" si="18"/>
        <v>0</v>
      </c>
      <c r="BG39" s="145" t="b">
        <f t="shared" si="19"/>
        <v>0</v>
      </c>
      <c r="BH39" s="145" t="b">
        <f t="shared" si="20"/>
        <v>0</v>
      </c>
      <c r="BI39" s="216" t="b">
        <f t="shared" si="21"/>
        <v>0</v>
      </c>
      <c r="BJ39" s="215" t="b">
        <f t="shared" si="22"/>
        <v>0</v>
      </c>
      <c r="BK39" s="145" t="b">
        <f t="shared" si="23"/>
        <v>0</v>
      </c>
      <c r="BL39" s="216" t="b">
        <f t="shared" si="24"/>
        <v>0</v>
      </c>
      <c r="BM39" s="217" t="str">
        <f t="shared" si="54"/>
        <v/>
      </c>
      <c r="BN39" s="146" t="str">
        <f t="shared" si="55"/>
        <v/>
      </c>
      <c r="BO39" s="147" t="str">
        <f t="shared" si="56"/>
        <v/>
      </c>
      <c r="BP39" s="148" t="str">
        <f t="shared" si="57"/>
        <v/>
      </c>
      <c r="BT39" s="50">
        <v>16</v>
      </c>
      <c r="BU39" s="50" t="str">
        <f t="shared" si="25"/>
        <v>-</v>
      </c>
      <c r="BW39" s="333"/>
      <c r="BX39" s="333"/>
      <c r="BY39" s="333"/>
      <c r="BZ39" s="333"/>
      <c r="CA39" s="333"/>
      <c r="CB39" s="333"/>
      <c r="CC39" s="333"/>
      <c r="CD39" s="333"/>
      <c r="CE39" s="333"/>
      <c r="CF39" s="333"/>
      <c r="CG39" s="354">
        <f t="shared" si="26"/>
        <v>16</v>
      </c>
      <c r="CH39" s="613">
        <f t="shared" si="27"/>
        <v>0</v>
      </c>
      <c r="CI39" s="613">
        <f t="shared" si="28"/>
        <v>0</v>
      </c>
      <c r="CJ39" s="614" t="str">
        <f t="shared" si="29"/>
        <v/>
      </c>
      <c r="CK39" s="615" t="str">
        <f t="shared" si="30"/>
        <v/>
      </c>
      <c r="CL39" s="610" t="str">
        <f>IF(ISBLANK(H39),"",IF(AND(ISNUMBER(F39),ISNUMBER(G39),ISNUMBER(H39)),ROUND(F39/(H39*G39),2),ROUND(F39/(VALUE(LEFT(H39,SUM(LEN(H39)-LEN(SUBSTITUTE(H39,{"0","1","2","3","4","5","6","7","8","9","."},"")))))*G39),2)))</f>
        <v/>
      </c>
      <c r="CM39" s="616" t="str">
        <f t="shared" si="58"/>
        <v/>
      </c>
      <c r="CN39" s="616" t="str">
        <f>IF(ISNUMBER(P39),MAX('Adjustment factors'!$S$16,(0.2+0.8*P39)),IF(ISTEXT(N39),VLOOKUP(N39,Afactors,2,FALSE),""))</f>
        <v/>
      </c>
      <c r="CO39" s="616" t="str">
        <f>IF(ISNUMBER(S39),MAX('Adjustment factors'!$S$16,0.2+0.8*S39),IF(ISTEXT(Q39),VLOOKUP(Q39,Afactors,2,FALSE),""))</f>
        <v/>
      </c>
      <c r="CP39" s="611" t="str">
        <f t="shared" si="59"/>
        <v/>
      </c>
      <c r="CQ39" s="612" t="str">
        <f t="shared" si="60"/>
        <v/>
      </c>
      <c r="CR39" s="340"/>
      <c r="CS39" s="340"/>
      <c r="CT39" s="340"/>
      <c r="CU39" s="340"/>
      <c r="CV39" s="333"/>
      <c r="CW39" s="333"/>
      <c r="CX39" s="333"/>
      <c r="CY39" s="333"/>
      <c r="DA39" s="313" t="str">
        <f t="shared" si="31"/>
        <v>OK</v>
      </c>
      <c r="DB39" s="313" t="str">
        <f t="shared" si="32"/>
        <v>OK</v>
      </c>
      <c r="DC39" s="313" t="str">
        <f t="shared" si="33"/>
        <v>OK</v>
      </c>
      <c r="DD39" s="313" t="str">
        <f t="shared" si="34"/>
        <v>OK</v>
      </c>
      <c r="DE39" s="153" t="str">
        <f t="shared" si="35"/>
        <v>OK</v>
      </c>
      <c r="DF39" s="314" t="str">
        <f t="shared" si="36"/>
        <v>OK</v>
      </c>
      <c r="DG39" s="482" t="str">
        <f t="shared" si="61"/>
        <v>OK</v>
      </c>
      <c r="DH39" s="482" t="str">
        <f>IF(OR(AND(T39='Adjustment factors'!$R$28,'Class 3, 5-9'!U39='Adjustment factors'!$R$29),AND('Class 3, 5-9'!T39='Adjustment factors'!$R$29,'Class 3, 5-9'!U39='Adjustment factors'!$R$28)),"Invalid combination of adjustment factors",IF(AND(T39=U39,NOT(ISBLANK(T39)),NOT(ISBLANK(U39))),"Same colour factor selected twice","OK"))</f>
        <v>OK</v>
      </c>
      <c r="DI39" s="313" t="str">
        <f t="shared" si="37"/>
        <v>OK</v>
      </c>
      <c r="DJ39" s="153" t="str">
        <f t="shared" si="62"/>
        <v>OK</v>
      </c>
      <c r="DK39" s="153" t="str">
        <f t="shared" si="38"/>
        <v>OK</v>
      </c>
      <c r="DL39" s="313" t="str">
        <f t="shared" si="39"/>
        <v>OK</v>
      </c>
      <c r="DM39" s="153" t="str">
        <f t="shared" si="40"/>
        <v>OK</v>
      </c>
      <c r="DN39" s="153" t="str">
        <f t="shared" si="63"/>
        <v>OK</v>
      </c>
      <c r="DO39" s="154" t="str">
        <f t="shared" si="64"/>
        <v>OK</v>
      </c>
      <c r="DP39" s="153" t="str">
        <f t="shared" si="41"/>
        <v>OK</v>
      </c>
      <c r="DQ39" s="313" t="str">
        <f t="shared" si="42"/>
        <v>OK</v>
      </c>
      <c r="DR39" s="153" t="str">
        <f t="shared" si="65"/>
        <v>OK</v>
      </c>
      <c r="DS39" s="153" t="str">
        <f t="shared" si="43"/>
        <v>OK</v>
      </c>
      <c r="DT39" s="313" t="str">
        <f t="shared" ref="DT39:DT70" si="73">IF(AND(ISNUMBER(S39),Q39&lt;&gt;FixedDim),"Select fixed dimming with an illuminance factor","OK")</f>
        <v>OK</v>
      </c>
      <c r="DU39" s="153" t="str">
        <f t="shared" si="45"/>
        <v>OK</v>
      </c>
      <c r="DV39" s="153" t="str">
        <f t="shared" si="66"/>
        <v>OK</v>
      </c>
      <c r="DW39" s="154" t="str">
        <f t="shared" si="67"/>
        <v>OK</v>
      </c>
      <c r="DX39" s="157">
        <f t="shared" si="68"/>
        <v>0</v>
      </c>
      <c r="DY39" s="156" t="str">
        <f t="shared" si="69"/>
        <v>OK</v>
      </c>
    </row>
    <row r="40" spans="1:129" ht="13" hidden="1" x14ac:dyDescent="0.3">
      <c r="A40" s="333"/>
      <c r="B40" s="333"/>
      <c r="C40" s="331" t="str">
        <f t="shared" si="46"/>
        <v>-</v>
      </c>
      <c r="D40" s="584">
        <v>17</v>
      </c>
      <c r="E40" s="585"/>
      <c r="F40" s="586"/>
      <c r="G40" s="600"/>
      <c r="H40" s="587"/>
      <c r="I40" s="601"/>
      <c r="J40" s="585"/>
      <c r="K40" s="617"/>
      <c r="L40" s="602"/>
      <c r="M40" s="603"/>
      <c r="N40" s="588"/>
      <c r="O40" s="604"/>
      <c r="P40" s="605"/>
      <c r="Q40" s="588"/>
      <c r="R40" s="604"/>
      <c r="S40" s="605"/>
      <c r="T40" s="606"/>
      <c r="U40" s="606"/>
      <c r="V40" s="429" t="str">
        <f t="shared" si="0"/>
        <v/>
      </c>
      <c r="W40" s="430" t="str">
        <f t="shared" si="47"/>
        <v/>
      </c>
      <c r="X40" s="66" t="str">
        <f>IF(AND(ISNUMBER(P40),N40=FixedDim),MAX('Adjustment factors'!$S$16,0.2+0.8*P40),IF(ISTEXT(N40),VLOOKUP(N40,Afactors,2,TRUE),""))</f>
        <v/>
      </c>
      <c r="Y40" s="17" t="str">
        <f>IF(AND(ISNUMBER(S40),Q40=FixedDim),MAX('Adjustment factors'!$S$16,0.2+0.8*S40),IF(ISTEXT(Q40),VLOOKUP(Q40,Afactors,2,TRUE),""))</f>
        <v/>
      </c>
      <c r="Z40" s="297" t="str">
        <f>IF(ISBLANK(T40),"",VLOOKUP(T40,'Adjustment factors'!$R$27:$S$30,2,TRUE))</f>
        <v/>
      </c>
      <c r="AA40" s="297" t="str">
        <f>IF(ISBLANK(U40),"",VLOOKUP(U40,'Adjustment factors'!$R$27:$S$30,2,TRUE))</f>
        <v/>
      </c>
      <c r="AB40" s="480">
        <f t="shared" si="48"/>
        <v>1</v>
      </c>
      <c r="AC40" s="18" t="b">
        <f t="shared" si="1"/>
        <v>0</v>
      </c>
      <c r="AD40" s="18" t="b">
        <f t="shared" si="2"/>
        <v>0</v>
      </c>
      <c r="AE40" s="18" t="b">
        <f t="shared" si="70"/>
        <v>0</v>
      </c>
      <c r="AF40" s="17" t="str">
        <f t="shared" si="3"/>
        <v/>
      </c>
      <c r="AG40" s="18" t="str">
        <f t="shared" si="4"/>
        <v/>
      </c>
      <c r="AH40" s="17" t="str">
        <f t="shared" si="71"/>
        <v/>
      </c>
      <c r="AI40" s="297" t="e">
        <f t="shared" si="49"/>
        <v>#VALUE!</v>
      </c>
      <c r="AJ40" s="79" t="e">
        <f t="shared" si="5"/>
        <v>#VALUE!</v>
      </c>
      <c r="AK40" s="17" t="str">
        <f t="shared" si="72"/>
        <v/>
      </c>
      <c r="AL40" s="80" t="e">
        <f t="shared" si="6"/>
        <v>#VALUE!</v>
      </c>
      <c r="AM40" s="139" t="b">
        <f t="shared" si="7"/>
        <v>1</v>
      </c>
      <c r="AN40" s="139" t="b">
        <f>AND(COUNTA(E40)&gt;0,ISNUMBER(F40),OR(COUNT(G40:H40)=0,COUNT(G40:H40)=2,AND(ISNUMBER(G40),ISNUMBER(VALUE(LEFT(H40,SUM(LEN(H40)-LEN(SUBSTITUTE(H40,{"0","1","2","3","4","5","6","7","8","9","."},"")))))))),ISNUMBER(I40),ISTEXT(J40))</f>
        <v>0</v>
      </c>
      <c r="AO40" s="19" t="b">
        <f t="shared" si="8"/>
        <v>0</v>
      </c>
      <c r="AP40" s="19" t="b">
        <f t="shared" si="9"/>
        <v>1</v>
      </c>
      <c r="AQ40" s="19" t="b">
        <f>IF(AND(COUNTBLANK(E40:J40)=6,OR(AN41:AN$523)),NOT(AN40))</f>
        <v>0</v>
      </c>
      <c r="AR40" s="19" t="str">
        <f t="shared" si="10"/>
        <v/>
      </c>
      <c r="AS40" s="19" t="b">
        <f t="shared" si="11"/>
        <v>1</v>
      </c>
      <c r="AT40" s="19" t="str">
        <f t="shared" si="12"/>
        <v/>
      </c>
      <c r="AU40" s="19" t="b">
        <f t="shared" si="13"/>
        <v>1</v>
      </c>
      <c r="AV40" s="140" t="str">
        <f t="shared" si="50"/>
        <v/>
      </c>
      <c r="AW40" s="19" t="str">
        <f t="shared" si="14"/>
        <v/>
      </c>
      <c r="AX40" s="81">
        <f t="shared" si="15"/>
        <v>0</v>
      </c>
      <c r="AY40" s="81" t="str">
        <f t="shared" si="16"/>
        <v/>
      </c>
      <c r="AZ40" s="307" t="str">
        <f t="shared" si="51"/>
        <v/>
      </c>
      <c r="BA40" s="281" t="str">
        <f t="shared" si="52"/>
        <v/>
      </c>
      <c r="BB40" s="281" t="str">
        <f t="shared" si="53"/>
        <v/>
      </c>
      <c r="BC40" s="953"/>
      <c r="BD40" s="955"/>
      <c r="BE40" s="219" t="str">
        <f t="shared" si="17"/>
        <v>n/a</v>
      </c>
      <c r="BF40" s="215" t="b">
        <f t="shared" si="18"/>
        <v>0</v>
      </c>
      <c r="BG40" s="145" t="b">
        <f t="shared" si="19"/>
        <v>0</v>
      </c>
      <c r="BH40" s="145" t="b">
        <f t="shared" si="20"/>
        <v>0</v>
      </c>
      <c r="BI40" s="216" t="b">
        <f t="shared" si="21"/>
        <v>0</v>
      </c>
      <c r="BJ40" s="215" t="b">
        <f t="shared" si="22"/>
        <v>0</v>
      </c>
      <c r="BK40" s="145" t="b">
        <f t="shared" si="23"/>
        <v>0</v>
      </c>
      <c r="BL40" s="216" t="b">
        <f t="shared" si="24"/>
        <v>0</v>
      </c>
      <c r="BM40" s="217" t="str">
        <f t="shared" si="54"/>
        <v/>
      </c>
      <c r="BN40" s="146" t="str">
        <f t="shared" si="55"/>
        <v/>
      </c>
      <c r="BO40" s="147" t="str">
        <f t="shared" si="56"/>
        <v/>
      </c>
      <c r="BP40" s="148" t="str">
        <f t="shared" si="57"/>
        <v/>
      </c>
      <c r="BT40" s="50">
        <v>17</v>
      </c>
      <c r="BU40" s="50" t="str">
        <f t="shared" si="25"/>
        <v>-</v>
      </c>
      <c r="BW40" s="333"/>
      <c r="BX40" s="333"/>
      <c r="BY40" s="333"/>
      <c r="BZ40" s="333"/>
      <c r="CA40" s="333"/>
      <c r="CB40" s="333"/>
      <c r="CC40" s="333"/>
      <c r="CD40" s="333"/>
      <c r="CE40" s="333"/>
      <c r="CF40" s="333"/>
      <c r="CG40" s="354">
        <f t="shared" si="26"/>
        <v>17</v>
      </c>
      <c r="CH40" s="613">
        <f t="shared" si="27"/>
        <v>0</v>
      </c>
      <c r="CI40" s="613">
        <f t="shared" si="28"/>
        <v>0</v>
      </c>
      <c r="CJ40" s="614" t="str">
        <f t="shared" si="29"/>
        <v/>
      </c>
      <c r="CK40" s="615" t="str">
        <f t="shared" si="30"/>
        <v/>
      </c>
      <c r="CL40" s="610" t="str">
        <f>IF(ISBLANK(H40),"",IF(AND(ISNUMBER(F40),ISNUMBER(G40),ISNUMBER(H40)),ROUND(F40/(H40*G40),2),ROUND(F40/(VALUE(LEFT(H40,SUM(LEN(H40)-LEN(SUBSTITUTE(H40,{"0","1","2","3","4","5","6","7","8","9","."},"")))))*G40),2)))</f>
        <v/>
      </c>
      <c r="CM40" s="616" t="str">
        <f t="shared" si="58"/>
        <v/>
      </c>
      <c r="CN40" s="616" t="str">
        <f>IF(ISNUMBER(P40),MAX('Adjustment factors'!$S$16,(0.2+0.8*P40)),IF(ISTEXT(N40),VLOOKUP(N40,Afactors,2,FALSE),""))</f>
        <v/>
      </c>
      <c r="CO40" s="616" t="str">
        <f>IF(ISNUMBER(S40),MAX('Adjustment factors'!$S$16,0.2+0.8*S40),IF(ISTEXT(Q40),VLOOKUP(Q40,Afactors,2,FALSE),""))</f>
        <v/>
      </c>
      <c r="CP40" s="611" t="str">
        <f t="shared" si="59"/>
        <v/>
      </c>
      <c r="CQ40" s="612" t="str">
        <f t="shared" si="60"/>
        <v/>
      </c>
      <c r="CR40" s="340"/>
      <c r="CS40" s="340"/>
      <c r="CT40" s="340"/>
      <c r="CU40" s="340"/>
      <c r="CV40" s="333"/>
      <c r="CW40" s="333"/>
      <c r="CX40" s="333"/>
      <c r="CY40" s="333"/>
      <c r="DA40" s="313" t="str">
        <f t="shared" si="31"/>
        <v>OK</v>
      </c>
      <c r="DB40" s="313" t="str">
        <f t="shared" si="32"/>
        <v>OK</v>
      </c>
      <c r="DC40" s="313" t="str">
        <f t="shared" si="33"/>
        <v>OK</v>
      </c>
      <c r="DD40" s="313" t="str">
        <f t="shared" si="34"/>
        <v>OK</v>
      </c>
      <c r="DE40" s="153" t="str">
        <f t="shared" si="35"/>
        <v>OK</v>
      </c>
      <c r="DF40" s="314" t="str">
        <f t="shared" si="36"/>
        <v>OK</v>
      </c>
      <c r="DG40" s="482" t="str">
        <f t="shared" si="61"/>
        <v>OK</v>
      </c>
      <c r="DH40" s="482" t="str">
        <f>IF(OR(AND(T40='Adjustment factors'!$R$28,'Class 3, 5-9'!U40='Adjustment factors'!$R$29),AND('Class 3, 5-9'!T40='Adjustment factors'!$R$29,'Class 3, 5-9'!U40='Adjustment factors'!$R$28)),"Invalid combination of adjustment factors",IF(AND(T40=U40,NOT(ISBLANK(T40)),NOT(ISBLANK(U40))),"Same colour factor selected twice","OK"))</f>
        <v>OK</v>
      </c>
      <c r="DI40" s="313" t="str">
        <f t="shared" si="37"/>
        <v>OK</v>
      </c>
      <c r="DJ40" s="153" t="str">
        <f t="shared" si="62"/>
        <v>OK</v>
      </c>
      <c r="DK40" s="153" t="str">
        <f t="shared" si="38"/>
        <v>OK</v>
      </c>
      <c r="DL40" s="313" t="str">
        <f t="shared" si="39"/>
        <v>OK</v>
      </c>
      <c r="DM40" s="153" t="str">
        <f t="shared" si="40"/>
        <v>OK</v>
      </c>
      <c r="DN40" s="153" t="str">
        <f t="shared" si="63"/>
        <v>OK</v>
      </c>
      <c r="DO40" s="154" t="str">
        <f t="shared" si="64"/>
        <v>OK</v>
      </c>
      <c r="DP40" s="153" t="str">
        <f t="shared" si="41"/>
        <v>OK</v>
      </c>
      <c r="DQ40" s="313" t="str">
        <f t="shared" si="42"/>
        <v>OK</v>
      </c>
      <c r="DR40" s="153" t="str">
        <f t="shared" si="65"/>
        <v>OK</v>
      </c>
      <c r="DS40" s="153" t="str">
        <f t="shared" si="43"/>
        <v>OK</v>
      </c>
      <c r="DT40" s="313" t="str">
        <f t="shared" si="73"/>
        <v>OK</v>
      </c>
      <c r="DU40" s="153" t="str">
        <f t="shared" si="45"/>
        <v>OK</v>
      </c>
      <c r="DV40" s="153" t="str">
        <f t="shared" si="66"/>
        <v>OK</v>
      </c>
      <c r="DW40" s="154" t="str">
        <f t="shared" si="67"/>
        <v>OK</v>
      </c>
      <c r="DX40" s="157">
        <f t="shared" si="68"/>
        <v>0</v>
      </c>
      <c r="DY40" s="156" t="str">
        <f t="shared" si="69"/>
        <v>OK</v>
      </c>
    </row>
    <row r="41" spans="1:129" ht="13" hidden="1" x14ac:dyDescent="0.3">
      <c r="A41" s="333"/>
      <c r="B41" s="333"/>
      <c r="C41" s="331" t="str">
        <f t="shared" si="46"/>
        <v>-</v>
      </c>
      <c r="D41" s="584">
        <v>18</v>
      </c>
      <c r="E41" s="585"/>
      <c r="F41" s="586"/>
      <c r="G41" s="600"/>
      <c r="H41" s="587"/>
      <c r="I41" s="601"/>
      <c r="J41" s="585"/>
      <c r="K41" s="617"/>
      <c r="L41" s="602"/>
      <c r="M41" s="603"/>
      <c r="N41" s="588"/>
      <c r="O41" s="604"/>
      <c r="P41" s="605"/>
      <c r="Q41" s="588"/>
      <c r="R41" s="604"/>
      <c r="S41" s="605"/>
      <c r="T41" s="606"/>
      <c r="U41" s="606"/>
      <c r="V41" s="429" t="str">
        <f t="shared" si="0"/>
        <v/>
      </c>
      <c r="W41" s="430" t="str">
        <f t="shared" si="47"/>
        <v/>
      </c>
      <c r="X41" s="66" t="str">
        <f>IF(AND(ISNUMBER(P41),N41=FixedDim),MAX('Adjustment factors'!$S$16,0.2+0.8*P41),IF(ISTEXT(N41),VLOOKUP(N41,Afactors,2,TRUE),""))</f>
        <v/>
      </c>
      <c r="Y41" s="17" t="str">
        <f>IF(AND(ISNUMBER(S41),Q41=FixedDim),MAX('Adjustment factors'!$S$16,0.2+0.8*S41),IF(ISTEXT(Q41),VLOOKUP(Q41,Afactors,2,TRUE),""))</f>
        <v/>
      </c>
      <c r="Z41" s="297" t="str">
        <f>IF(ISBLANK(T41),"",VLOOKUP(T41,'Adjustment factors'!$R$27:$S$30,2,TRUE))</f>
        <v/>
      </c>
      <c r="AA41" s="297" t="str">
        <f>IF(ISBLANK(U41),"",VLOOKUP(U41,'Adjustment factors'!$R$27:$S$30,2,TRUE))</f>
        <v/>
      </c>
      <c r="AB41" s="480">
        <f t="shared" si="48"/>
        <v>1</v>
      </c>
      <c r="AC41" s="18" t="b">
        <f t="shared" si="1"/>
        <v>0</v>
      </c>
      <c r="AD41" s="18" t="b">
        <f t="shared" si="2"/>
        <v>0</v>
      </c>
      <c r="AE41" s="18" t="b">
        <f t="shared" si="70"/>
        <v>0</v>
      </c>
      <c r="AF41" s="17" t="str">
        <f t="shared" si="3"/>
        <v/>
      </c>
      <c r="AG41" s="18" t="str">
        <f t="shared" si="4"/>
        <v/>
      </c>
      <c r="AH41" s="17" t="str">
        <f t="shared" si="71"/>
        <v/>
      </c>
      <c r="AI41" s="297" t="e">
        <f t="shared" si="49"/>
        <v>#VALUE!</v>
      </c>
      <c r="AJ41" s="79" t="e">
        <f t="shared" si="5"/>
        <v>#VALUE!</v>
      </c>
      <c r="AK41" s="17" t="str">
        <f t="shared" si="72"/>
        <v/>
      </c>
      <c r="AL41" s="80" t="e">
        <f t="shared" si="6"/>
        <v>#VALUE!</v>
      </c>
      <c r="AM41" s="139" t="b">
        <f t="shared" si="7"/>
        <v>1</v>
      </c>
      <c r="AN41" s="139" t="b">
        <f>AND(COUNTA(E41)&gt;0,ISNUMBER(F41),OR(COUNT(G41:H41)=0,COUNT(G41:H41)=2,AND(ISNUMBER(G41),ISNUMBER(VALUE(LEFT(H41,SUM(LEN(H41)-LEN(SUBSTITUTE(H41,{"0","1","2","3","4","5","6","7","8","9","."},"")))))))),ISNUMBER(I41),ISTEXT(J41))</f>
        <v>0</v>
      </c>
      <c r="AO41" s="19" t="b">
        <f t="shared" si="8"/>
        <v>0</v>
      </c>
      <c r="AP41" s="19" t="b">
        <f t="shared" si="9"/>
        <v>1</v>
      </c>
      <c r="AQ41" s="19" t="b">
        <f>IF(AND(COUNTBLANK(E41:J41)=6,OR(AN42:AN$523)),NOT(AN41))</f>
        <v>0</v>
      </c>
      <c r="AR41" s="19" t="str">
        <f t="shared" si="10"/>
        <v/>
      </c>
      <c r="AS41" s="19" t="b">
        <f t="shared" si="11"/>
        <v>1</v>
      </c>
      <c r="AT41" s="19" t="str">
        <f t="shared" si="12"/>
        <v/>
      </c>
      <c r="AU41" s="19" t="b">
        <f t="shared" si="13"/>
        <v>1</v>
      </c>
      <c r="AV41" s="140" t="str">
        <f t="shared" si="50"/>
        <v/>
      </c>
      <c r="AW41" s="19" t="str">
        <f t="shared" si="14"/>
        <v/>
      </c>
      <c r="AX41" s="81">
        <f t="shared" si="15"/>
        <v>0</v>
      </c>
      <c r="AY41" s="81" t="str">
        <f t="shared" si="16"/>
        <v/>
      </c>
      <c r="AZ41" s="307" t="str">
        <f t="shared" si="51"/>
        <v/>
      </c>
      <c r="BA41" s="281" t="str">
        <f t="shared" si="52"/>
        <v/>
      </c>
      <c r="BB41" s="281" t="str">
        <f t="shared" si="53"/>
        <v/>
      </c>
      <c r="BC41" s="953"/>
      <c r="BD41" s="955"/>
      <c r="BE41" s="219" t="str">
        <f t="shared" si="17"/>
        <v>n/a</v>
      </c>
      <c r="BF41" s="215" t="b">
        <f t="shared" si="18"/>
        <v>0</v>
      </c>
      <c r="BG41" s="145" t="b">
        <f t="shared" si="19"/>
        <v>0</v>
      </c>
      <c r="BH41" s="145" t="b">
        <f t="shared" si="20"/>
        <v>0</v>
      </c>
      <c r="BI41" s="216" t="b">
        <f t="shared" si="21"/>
        <v>0</v>
      </c>
      <c r="BJ41" s="215" t="b">
        <f t="shared" si="22"/>
        <v>0</v>
      </c>
      <c r="BK41" s="145" t="b">
        <f t="shared" si="23"/>
        <v>0</v>
      </c>
      <c r="BL41" s="216" t="b">
        <f t="shared" si="24"/>
        <v>0</v>
      </c>
      <c r="BM41" s="217" t="str">
        <f t="shared" si="54"/>
        <v/>
      </c>
      <c r="BN41" s="146" t="str">
        <f t="shared" si="55"/>
        <v/>
      </c>
      <c r="BO41" s="147" t="str">
        <f t="shared" si="56"/>
        <v/>
      </c>
      <c r="BP41" s="148" t="str">
        <f t="shared" si="57"/>
        <v/>
      </c>
      <c r="BT41" s="50">
        <v>18</v>
      </c>
      <c r="BU41" s="50" t="str">
        <f t="shared" si="25"/>
        <v>-</v>
      </c>
      <c r="BW41" s="333"/>
      <c r="BX41" s="333"/>
      <c r="BY41" s="333"/>
      <c r="BZ41" s="333"/>
      <c r="CA41" s="333"/>
      <c r="CB41" s="333"/>
      <c r="CC41" s="333"/>
      <c r="CD41" s="333"/>
      <c r="CE41" s="333"/>
      <c r="CF41" s="333"/>
      <c r="CG41" s="354">
        <f t="shared" si="26"/>
        <v>18</v>
      </c>
      <c r="CH41" s="613">
        <f t="shared" si="27"/>
        <v>0</v>
      </c>
      <c r="CI41" s="613">
        <f t="shared" si="28"/>
        <v>0</v>
      </c>
      <c r="CJ41" s="614" t="str">
        <f t="shared" si="29"/>
        <v/>
      </c>
      <c r="CK41" s="615" t="str">
        <f t="shared" si="30"/>
        <v/>
      </c>
      <c r="CL41" s="610" t="str">
        <f>IF(ISBLANK(H41),"",IF(AND(ISNUMBER(F41),ISNUMBER(G41),ISNUMBER(H41)),ROUND(F41/(H41*G41),2),ROUND(F41/(VALUE(LEFT(H41,SUM(LEN(H41)-LEN(SUBSTITUTE(H41,{"0","1","2","3","4","5","6","7","8","9","."},"")))))*G41),2)))</f>
        <v/>
      </c>
      <c r="CM41" s="616" t="str">
        <f t="shared" si="58"/>
        <v/>
      </c>
      <c r="CN41" s="616" t="str">
        <f>IF(ISNUMBER(P41),MAX('Adjustment factors'!$S$16,(0.2+0.8*P41)),IF(ISTEXT(N41),VLOOKUP(N41,Afactors,2,FALSE),""))</f>
        <v/>
      </c>
      <c r="CO41" s="616" t="str">
        <f>IF(ISNUMBER(S41),MAX('Adjustment factors'!$S$16,0.2+0.8*S41),IF(ISTEXT(Q41),VLOOKUP(Q41,Afactors,2,FALSE),""))</f>
        <v/>
      </c>
      <c r="CP41" s="611" t="str">
        <f t="shared" si="59"/>
        <v/>
      </c>
      <c r="CQ41" s="612" t="str">
        <f t="shared" si="60"/>
        <v/>
      </c>
      <c r="CR41" s="340"/>
      <c r="CS41" s="340"/>
      <c r="CT41" s="340"/>
      <c r="CU41" s="340"/>
      <c r="CV41" s="333"/>
      <c r="CW41" s="333"/>
      <c r="CX41" s="333"/>
      <c r="CY41" s="333"/>
      <c r="DA41" s="313" t="str">
        <f t="shared" si="31"/>
        <v>OK</v>
      </c>
      <c r="DB41" s="313" t="str">
        <f t="shared" si="32"/>
        <v>OK</v>
      </c>
      <c r="DC41" s="313" t="str">
        <f t="shared" si="33"/>
        <v>OK</v>
      </c>
      <c r="DD41" s="313" t="str">
        <f t="shared" si="34"/>
        <v>OK</v>
      </c>
      <c r="DE41" s="153" t="str">
        <f t="shared" si="35"/>
        <v>OK</v>
      </c>
      <c r="DF41" s="314" t="str">
        <f t="shared" si="36"/>
        <v>OK</v>
      </c>
      <c r="DG41" s="482" t="str">
        <f t="shared" si="61"/>
        <v>OK</v>
      </c>
      <c r="DH41" s="482" t="str">
        <f>IF(OR(AND(T41='Adjustment factors'!$R$28,'Class 3, 5-9'!U41='Adjustment factors'!$R$29),AND('Class 3, 5-9'!T41='Adjustment factors'!$R$29,'Class 3, 5-9'!U41='Adjustment factors'!$R$28)),"Invalid combination of adjustment factors",IF(AND(T41=U41,NOT(ISBLANK(T41)),NOT(ISBLANK(U41))),"Same colour factor selected twice","OK"))</f>
        <v>OK</v>
      </c>
      <c r="DI41" s="313" t="str">
        <f t="shared" si="37"/>
        <v>OK</v>
      </c>
      <c r="DJ41" s="153" t="str">
        <f t="shared" si="62"/>
        <v>OK</v>
      </c>
      <c r="DK41" s="153" t="str">
        <f t="shared" si="38"/>
        <v>OK</v>
      </c>
      <c r="DL41" s="313" t="str">
        <f t="shared" si="39"/>
        <v>OK</v>
      </c>
      <c r="DM41" s="153" t="str">
        <f t="shared" si="40"/>
        <v>OK</v>
      </c>
      <c r="DN41" s="153" t="str">
        <f t="shared" si="63"/>
        <v>OK</v>
      </c>
      <c r="DO41" s="154" t="str">
        <f t="shared" si="64"/>
        <v>OK</v>
      </c>
      <c r="DP41" s="153" t="str">
        <f t="shared" si="41"/>
        <v>OK</v>
      </c>
      <c r="DQ41" s="313" t="str">
        <f t="shared" si="42"/>
        <v>OK</v>
      </c>
      <c r="DR41" s="153" t="str">
        <f t="shared" si="65"/>
        <v>OK</v>
      </c>
      <c r="DS41" s="153" t="str">
        <f t="shared" si="43"/>
        <v>OK</v>
      </c>
      <c r="DT41" s="313" t="str">
        <f t="shared" si="73"/>
        <v>OK</v>
      </c>
      <c r="DU41" s="153" t="str">
        <f t="shared" si="45"/>
        <v>OK</v>
      </c>
      <c r="DV41" s="153" t="str">
        <f t="shared" si="66"/>
        <v>OK</v>
      </c>
      <c r="DW41" s="154" t="str">
        <f t="shared" si="67"/>
        <v>OK</v>
      </c>
      <c r="DX41" s="157">
        <f t="shared" si="68"/>
        <v>0</v>
      </c>
      <c r="DY41" s="156" t="str">
        <f t="shared" si="69"/>
        <v>OK</v>
      </c>
    </row>
    <row r="42" spans="1:129" ht="13" hidden="1" x14ac:dyDescent="0.3">
      <c r="A42" s="333"/>
      <c r="B42" s="333"/>
      <c r="C42" s="331" t="str">
        <f t="shared" si="46"/>
        <v>-</v>
      </c>
      <c r="D42" s="584">
        <v>19</v>
      </c>
      <c r="E42" s="585"/>
      <c r="F42" s="586"/>
      <c r="G42" s="600"/>
      <c r="H42" s="587"/>
      <c r="I42" s="601"/>
      <c r="J42" s="585"/>
      <c r="K42" s="617"/>
      <c r="L42" s="602"/>
      <c r="M42" s="603"/>
      <c r="N42" s="588"/>
      <c r="O42" s="604"/>
      <c r="P42" s="605"/>
      <c r="Q42" s="588"/>
      <c r="R42" s="604"/>
      <c r="S42" s="605"/>
      <c r="T42" s="606"/>
      <c r="U42" s="606"/>
      <c r="V42" s="429" t="str">
        <f t="shared" si="0"/>
        <v/>
      </c>
      <c r="W42" s="430" t="str">
        <f t="shared" si="47"/>
        <v/>
      </c>
      <c r="X42" s="66" t="str">
        <f>IF(AND(ISNUMBER(P42),N42=FixedDim),MAX('Adjustment factors'!$S$16,0.2+0.8*P42),IF(ISTEXT(N42),VLOOKUP(N42,Afactors,2,TRUE),""))</f>
        <v/>
      </c>
      <c r="Y42" s="17" t="str">
        <f>IF(AND(ISNUMBER(S42),Q42=FixedDim),MAX('Adjustment factors'!$S$16,0.2+0.8*S42),IF(ISTEXT(Q42),VLOOKUP(Q42,Afactors,2,TRUE),""))</f>
        <v/>
      </c>
      <c r="Z42" s="297" t="str">
        <f>IF(ISBLANK(T42),"",VLOOKUP(T42,'Adjustment factors'!$R$27:$S$30,2,TRUE))</f>
        <v/>
      </c>
      <c r="AA42" s="297" t="str">
        <f>IF(ISBLANK(U42),"",VLOOKUP(U42,'Adjustment factors'!$R$27:$S$30,2,TRUE))</f>
        <v/>
      </c>
      <c r="AB42" s="480">
        <f t="shared" si="48"/>
        <v>1</v>
      </c>
      <c r="AC42" s="18" t="b">
        <f t="shared" si="1"/>
        <v>0</v>
      </c>
      <c r="AD42" s="18" t="b">
        <f t="shared" si="2"/>
        <v>0</v>
      </c>
      <c r="AE42" s="18" t="b">
        <f t="shared" si="70"/>
        <v>0</v>
      </c>
      <c r="AF42" s="17" t="str">
        <f t="shared" si="3"/>
        <v/>
      </c>
      <c r="AG42" s="18" t="str">
        <f t="shared" si="4"/>
        <v/>
      </c>
      <c r="AH42" s="17" t="str">
        <f t="shared" si="71"/>
        <v/>
      </c>
      <c r="AI42" s="297" t="e">
        <f t="shared" si="49"/>
        <v>#VALUE!</v>
      </c>
      <c r="AJ42" s="79" t="e">
        <f t="shared" si="5"/>
        <v>#VALUE!</v>
      </c>
      <c r="AK42" s="17" t="str">
        <f t="shared" si="72"/>
        <v/>
      </c>
      <c r="AL42" s="80" t="e">
        <f t="shared" si="6"/>
        <v>#VALUE!</v>
      </c>
      <c r="AM42" s="139" t="b">
        <f t="shared" si="7"/>
        <v>1</v>
      </c>
      <c r="AN42" s="139" t="b">
        <f>AND(COUNTA(E42)&gt;0,ISNUMBER(F42),OR(COUNT(G42:H42)=0,COUNT(G42:H42)=2,AND(ISNUMBER(G42),ISNUMBER(VALUE(LEFT(H42,SUM(LEN(H42)-LEN(SUBSTITUTE(H42,{"0","1","2","3","4","5","6","7","8","9","."},"")))))))),ISNUMBER(I42),ISTEXT(J42))</f>
        <v>0</v>
      </c>
      <c r="AO42" s="19" t="b">
        <f t="shared" si="8"/>
        <v>0</v>
      </c>
      <c r="AP42" s="19" t="b">
        <f t="shared" si="9"/>
        <v>1</v>
      </c>
      <c r="AQ42" s="19" t="b">
        <f>IF(AND(COUNTBLANK(E42:J42)=6,OR(AN43:AN$523)),NOT(AN42))</f>
        <v>0</v>
      </c>
      <c r="AR42" s="19" t="str">
        <f t="shared" si="10"/>
        <v/>
      </c>
      <c r="AS42" s="19" t="b">
        <f t="shared" si="11"/>
        <v>1</v>
      </c>
      <c r="AT42" s="19" t="str">
        <f t="shared" si="12"/>
        <v/>
      </c>
      <c r="AU42" s="19" t="b">
        <f t="shared" si="13"/>
        <v>1</v>
      </c>
      <c r="AV42" s="140" t="str">
        <f t="shared" si="50"/>
        <v/>
      </c>
      <c r="AW42" s="19" t="str">
        <f t="shared" si="14"/>
        <v/>
      </c>
      <c r="AX42" s="81">
        <f t="shared" si="15"/>
        <v>0</v>
      </c>
      <c r="AY42" s="81" t="str">
        <f t="shared" si="16"/>
        <v/>
      </c>
      <c r="AZ42" s="307" t="str">
        <f t="shared" si="51"/>
        <v/>
      </c>
      <c r="BA42" s="281" t="str">
        <f t="shared" si="52"/>
        <v/>
      </c>
      <c r="BB42" s="281" t="str">
        <f t="shared" si="53"/>
        <v/>
      </c>
      <c r="BC42" s="953"/>
      <c r="BD42" s="955"/>
      <c r="BE42" s="219" t="str">
        <f t="shared" si="17"/>
        <v>n/a</v>
      </c>
      <c r="BF42" s="215" t="b">
        <f t="shared" si="18"/>
        <v>0</v>
      </c>
      <c r="BG42" s="145" t="b">
        <f t="shared" si="19"/>
        <v>0</v>
      </c>
      <c r="BH42" s="145" t="b">
        <f t="shared" si="20"/>
        <v>0</v>
      </c>
      <c r="BI42" s="216" t="b">
        <f t="shared" si="21"/>
        <v>0</v>
      </c>
      <c r="BJ42" s="215" t="b">
        <f t="shared" si="22"/>
        <v>0</v>
      </c>
      <c r="BK42" s="145" t="b">
        <f t="shared" si="23"/>
        <v>0</v>
      </c>
      <c r="BL42" s="216" t="b">
        <f t="shared" si="24"/>
        <v>0</v>
      </c>
      <c r="BM42" s="217" t="str">
        <f t="shared" si="54"/>
        <v/>
      </c>
      <c r="BN42" s="146" t="str">
        <f t="shared" si="55"/>
        <v/>
      </c>
      <c r="BO42" s="147" t="str">
        <f t="shared" si="56"/>
        <v/>
      </c>
      <c r="BP42" s="148" t="str">
        <f t="shared" si="57"/>
        <v/>
      </c>
      <c r="BT42" s="50">
        <v>19</v>
      </c>
      <c r="BU42" s="50" t="str">
        <f t="shared" si="25"/>
        <v>-</v>
      </c>
      <c r="BW42" s="333"/>
      <c r="BX42" s="333"/>
      <c r="BY42" s="333"/>
      <c r="BZ42" s="333"/>
      <c r="CA42" s="333"/>
      <c r="CB42" s="333"/>
      <c r="CC42" s="333"/>
      <c r="CD42" s="333"/>
      <c r="CE42" s="333"/>
      <c r="CF42" s="333"/>
      <c r="CG42" s="354">
        <f t="shared" si="26"/>
        <v>19</v>
      </c>
      <c r="CH42" s="613">
        <f t="shared" si="27"/>
        <v>0</v>
      </c>
      <c r="CI42" s="613">
        <f t="shared" si="28"/>
        <v>0</v>
      </c>
      <c r="CJ42" s="614" t="str">
        <f t="shared" si="29"/>
        <v/>
      </c>
      <c r="CK42" s="615" t="str">
        <f t="shared" si="30"/>
        <v/>
      </c>
      <c r="CL42" s="610" t="str">
        <f>IF(ISBLANK(H42),"",IF(AND(ISNUMBER(F42),ISNUMBER(G42),ISNUMBER(H42)),ROUND(F42/(H42*G42),2),ROUND(F42/(VALUE(LEFT(H42,SUM(LEN(H42)-LEN(SUBSTITUTE(H42,{"0","1","2","3","4","5","6","7","8","9","."},"")))))*G42),2)))</f>
        <v/>
      </c>
      <c r="CM42" s="616" t="str">
        <f t="shared" si="58"/>
        <v/>
      </c>
      <c r="CN42" s="616" t="str">
        <f>IF(ISNUMBER(P42),MAX('Adjustment factors'!$S$16,(0.2+0.8*P42)),IF(ISTEXT(N42),VLOOKUP(N42,Afactors,2,FALSE),""))</f>
        <v/>
      </c>
      <c r="CO42" s="616" t="str">
        <f>IF(ISNUMBER(S42),MAX('Adjustment factors'!$S$16,0.2+0.8*S42),IF(ISTEXT(Q42),VLOOKUP(Q42,Afactors,2,FALSE),""))</f>
        <v/>
      </c>
      <c r="CP42" s="611" t="str">
        <f t="shared" si="59"/>
        <v/>
      </c>
      <c r="CQ42" s="612" t="str">
        <f t="shared" si="60"/>
        <v/>
      </c>
      <c r="CR42" s="340"/>
      <c r="CS42" s="340"/>
      <c r="CT42" s="340"/>
      <c r="CU42" s="340"/>
      <c r="CV42" s="333"/>
      <c r="CW42" s="333"/>
      <c r="CX42" s="333"/>
      <c r="CY42" s="333"/>
      <c r="DA42" s="313" t="str">
        <f t="shared" si="31"/>
        <v>OK</v>
      </c>
      <c r="DB42" s="313" t="str">
        <f t="shared" si="32"/>
        <v>OK</v>
      </c>
      <c r="DC42" s="313" t="str">
        <f t="shared" si="33"/>
        <v>OK</v>
      </c>
      <c r="DD42" s="313" t="str">
        <f t="shared" si="34"/>
        <v>OK</v>
      </c>
      <c r="DE42" s="153" t="str">
        <f t="shared" si="35"/>
        <v>OK</v>
      </c>
      <c r="DF42" s="314" t="str">
        <f t="shared" si="36"/>
        <v>OK</v>
      </c>
      <c r="DG42" s="482" t="str">
        <f t="shared" si="61"/>
        <v>OK</v>
      </c>
      <c r="DH42" s="482" t="str">
        <f>IF(OR(AND(T42='Adjustment factors'!$R$28,'Class 3, 5-9'!U42='Adjustment factors'!$R$29),AND('Class 3, 5-9'!T42='Adjustment factors'!$R$29,'Class 3, 5-9'!U42='Adjustment factors'!$R$28)),"Invalid combination of adjustment factors",IF(AND(T42=U42,NOT(ISBLANK(T42)),NOT(ISBLANK(U42))),"Same colour factor selected twice","OK"))</f>
        <v>OK</v>
      </c>
      <c r="DI42" s="313" t="str">
        <f t="shared" si="37"/>
        <v>OK</v>
      </c>
      <c r="DJ42" s="153" t="str">
        <f t="shared" si="62"/>
        <v>OK</v>
      </c>
      <c r="DK42" s="153" t="str">
        <f t="shared" si="38"/>
        <v>OK</v>
      </c>
      <c r="DL42" s="313" t="str">
        <f t="shared" si="39"/>
        <v>OK</v>
      </c>
      <c r="DM42" s="153" t="str">
        <f t="shared" si="40"/>
        <v>OK</v>
      </c>
      <c r="DN42" s="153" t="str">
        <f t="shared" si="63"/>
        <v>OK</v>
      </c>
      <c r="DO42" s="154" t="str">
        <f t="shared" si="64"/>
        <v>OK</v>
      </c>
      <c r="DP42" s="153" t="str">
        <f t="shared" si="41"/>
        <v>OK</v>
      </c>
      <c r="DQ42" s="313" t="str">
        <f t="shared" si="42"/>
        <v>OK</v>
      </c>
      <c r="DR42" s="153" t="str">
        <f t="shared" si="65"/>
        <v>OK</v>
      </c>
      <c r="DS42" s="153" t="str">
        <f t="shared" si="43"/>
        <v>OK</v>
      </c>
      <c r="DT42" s="313" t="str">
        <f t="shared" si="73"/>
        <v>OK</v>
      </c>
      <c r="DU42" s="153" t="str">
        <f t="shared" si="45"/>
        <v>OK</v>
      </c>
      <c r="DV42" s="153" t="str">
        <f t="shared" si="66"/>
        <v>OK</v>
      </c>
      <c r="DW42" s="154" t="str">
        <f t="shared" si="67"/>
        <v>OK</v>
      </c>
      <c r="DX42" s="157">
        <f t="shared" si="68"/>
        <v>0</v>
      </c>
      <c r="DY42" s="156" t="str">
        <f t="shared" si="69"/>
        <v>OK</v>
      </c>
    </row>
    <row r="43" spans="1:129" ht="13" hidden="1" x14ac:dyDescent="0.3">
      <c r="A43" s="333"/>
      <c r="B43" s="333"/>
      <c r="C43" s="331" t="str">
        <f t="shared" si="46"/>
        <v>-</v>
      </c>
      <c r="D43" s="584">
        <v>20</v>
      </c>
      <c r="E43" s="585"/>
      <c r="F43" s="586"/>
      <c r="G43" s="600"/>
      <c r="H43" s="587"/>
      <c r="I43" s="601"/>
      <c r="J43" s="585"/>
      <c r="K43" s="617"/>
      <c r="L43" s="602"/>
      <c r="M43" s="603"/>
      <c r="N43" s="588"/>
      <c r="O43" s="604"/>
      <c r="P43" s="605"/>
      <c r="Q43" s="588"/>
      <c r="R43" s="604"/>
      <c r="S43" s="605"/>
      <c r="T43" s="606"/>
      <c r="U43" s="606"/>
      <c r="V43" s="429" t="str">
        <f t="shared" si="0"/>
        <v/>
      </c>
      <c r="W43" s="430" t="str">
        <f t="shared" si="47"/>
        <v/>
      </c>
      <c r="X43" s="66" t="str">
        <f>IF(AND(ISNUMBER(P43),N43=FixedDim),MAX('Adjustment factors'!$S$16,0.2+0.8*P43),IF(ISTEXT(N43),VLOOKUP(N43,Afactors,2,TRUE),""))</f>
        <v/>
      </c>
      <c r="Y43" s="17" t="str">
        <f>IF(AND(ISNUMBER(S43),Q43=FixedDim),MAX('Adjustment factors'!$S$16,0.2+0.8*S43),IF(ISTEXT(Q43),VLOOKUP(Q43,Afactors,2,TRUE),""))</f>
        <v/>
      </c>
      <c r="Z43" s="297" t="str">
        <f>IF(ISBLANK(T43),"",VLOOKUP(T43,'Adjustment factors'!$R$27:$S$30,2,TRUE))</f>
        <v/>
      </c>
      <c r="AA43" s="297" t="str">
        <f>IF(ISBLANK(U43),"",VLOOKUP(U43,'Adjustment factors'!$R$27:$S$30,2,TRUE))</f>
        <v/>
      </c>
      <c r="AB43" s="480">
        <f t="shared" si="48"/>
        <v>1</v>
      </c>
      <c r="AC43" s="18" t="b">
        <f t="shared" si="1"/>
        <v>0</v>
      </c>
      <c r="AD43" s="18" t="b">
        <f t="shared" si="2"/>
        <v>0</v>
      </c>
      <c r="AE43" s="18" t="b">
        <f t="shared" si="70"/>
        <v>0</v>
      </c>
      <c r="AF43" s="17" t="str">
        <f t="shared" si="3"/>
        <v/>
      </c>
      <c r="AG43" s="18" t="str">
        <f t="shared" si="4"/>
        <v/>
      </c>
      <c r="AH43" s="17" t="str">
        <f t="shared" si="71"/>
        <v/>
      </c>
      <c r="AI43" s="297" t="e">
        <f t="shared" si="49"/>
        <v>#VALUE!</v>
      </c>
      <c r="AJ43" s="79" t="e">
        <f t="shared" si="5"/>
        <v>#VALUE!</v>
      </c>
      <c r="AK43" s="17" t="str">
        <f t="shared" si="72"/>
        <v/>
      </c>
      <c r="AL43" s="80" t="e">
        <f t="shared" si="6"/>
        <v>#VALUE!</v>
      </c>
      <c r="AM43" s="139" t="b">
        <f t="shared" si="7"/>
        <v>1</v>
      </c>
      <c r="AN43" s="139" t="b">
        <f>AND(COUNTA(E43)&gt;0,ISNUMBER(F43),OR(COUNT(G43:H43)=0,COUNT(G43:H43)=2,AND(ISNUMBER(G43),ISNUMBER(VALUE(LEFT(H43,SUM(LEN(H43)-LEN(SUBSTITUTE(H43,{"0","1","2","3","4","5","6","7","8","9","."},"")))))))),ISNUMBER(I43),ISTEXT(J43))</f>
        <v>0</v>
      </c>
      <c r="AO43" s="19" t="b">
        <f t="shared" si="8"/>
        <v>0</v>
      </c>
      <c r="AP43" s="19" t="b">
        <f t="shared" si="9"/>
        <v>1</v>
      </c>
      <c r="AQ43" s="19" t="b">
        <f>IF(AND(COUNTBLANK(E43:J43)=6,OR(AN44:AN$523)),NOT(AN43))</f>
        <v>0</v>
      </c>
      <c r="AR43" s="19" t="str">
        <f t="shared" si="10"/>
        <v/>
      </c>
      <c r="AS43" s="19" t="b">
        <f t="shared" si="11"/>
        <v>1</v>
      </c>
      <c r="AT43" s="19" t="str">
        <f t="shared" si="12"/>
        <v/>
      </c>
      <c r="AU43" s="19" t="b">
        <f t="shared" si="13"/>
        <v>1</v>
      </c>
      <c r="AV43" s="140" t="str">
        <f t="shared" si="50"/>
        <v/>
      </c>
      <c r="AW43" s="19" t="str">
        <f t="shared" si="14"/>
        <v/>
      </c>
      <c r="AX43" s="81">
        <f t="shared" si="15"/>
        <v>0</v>
      </c>
      <c r="AY43" s="81" t="str">
        <f t="shared" si="16"/>
        <v/>
      </c>
      <c r="AZ43" s="307" t="str">
        <f t="shared" si="51"/>
        <v/>
      </c>
      <c r="BA43" s="281" t="str">
        <f t="shared" si="52"/>
        <v/>
      </c>
      <c r="BB43" s="281" t="str">
        <f t="shared" si="53"/>
        <v/>
      </c>
      <c r="BC43" s="953"/>
      <c r="BD43" s="955"/>
      <c r="BE43" s="219" t="str">
        <f t="shared" si="17"/>
        <v>n/a</v>
      </c>
      <c r="BF43" s="215" t="b">
        <f t="shared" si="18"/>
        <v>0</v>
      </c>
      <c r="BG43" s="145" t="b">
        <f t="shared" si="19"/>
        <v>0</v>
      </c>
      <c r="BH43" s="145" t="b">
        <f t="shared" si="20"/>
        <v>0</v>
      </c>
      <c r="BI43" s="216" t="b">
        <f t="shared" si="21"/>
        <v>0</v>
      </c>
      <c r="BJ43" s="215" t="b">
        <f t="shared" si="22"/>
        <v>0</v>
      </c>
      <c r="BK43" s="145" t="b">
        <f t="shared" si="23"/>
        <v>0</v>
      </c>
      <c r="BL43" s="216" t="b">
        <f t="shared" si="24"/>
        <v>0</v>
      </c>
      <c r="BM43" s="217" t="str">
        <f t="shared" si="54"/>
        <v/>
      </c>
      <c r="BN43" s="146" t="str">
        <f t="shared" si="55"/>
        <v/>
      </c>
      <c r="BO43" s="147" t="str">
        <f t="shared" si="56"/>
        <v/>
      </c>
      <c r="BP43" s="148" t="str">
        <f t="shared" si="57"/>
        <v/>
      </c>
      <c r="BT43" s="50">
        <v>20</v>
      </c>
      <c r="BU43" s="50" t="str">
        <f t="shared" si="25"/>
        <v>-</v>
      </c>
      <c r="BW43" s="333"/>
      <c r="BX43" s="333"/>
      <c r="BY43" s="333"/>
      <c r="BZ43" s="333"/>
      <c r="CA43" s="333"/>
      <c r="CB43" s="333"/>
      <c r="CC43" s="333"/>
      <c r="CD43" s="333"/>
      <c r="CE43" s="333"/>
      <c r="CF43" s="333"/>
      <c r="CG43" s="354">
        <f t="shared" si="26"/>
        <v>20</v>
      </c>
      <c r="CH43" s="613">
        <f t="shared" si="27"/>
        <v>0</v>
      </c>
      <c r="CI43" s="613">
        <f t="shared" si="28"/>
        <v>0</v>
      </c>
      <c r="CJ43" s="614" t="str">
        <f t="shared" si="29"/>
        <v/>
      </c>
      <c r="CK43" s="615" t="str">
        <f t="shared" si="30"/>
        <v/>
      </c>
      <c r="CL43" s="610" t="str">
        <f>IF(ISBLANK(H43),"",IF(AND(ISNUMBER(F43),ISNUMBER(G43),ISNUMBER(H43)),ROUND(F43/(H43*G43),2),ROUND(F43/(VALUE(LEFT(H43,SUM(LEN(H43)-LEN(SUBSTITUTE(H43,{"0","1","2","3","4","5","6","7","8","9","."},"")))))*G43),2)))</f>
        <v/>
      </c>
      <c r="CM43" s="616" t="str">
        <f t="shared" si="58"/>
        <v/>
      </c>
      <c r="CN43" s="616" t="str">
        <f>IF(ISNUMBER(P43),MAX('Adjustment factors'!$S$16,(0.2+0.8*P43)),IF(ISTEXT(N43),VLOOKUP(N43,Afactors,2,FALSE),""))</f>
        <v/>
      </c>
      <c r="CO43" s="616" t="str">
        <f>IF(ISNUMBER(S43),MAX('Adjustment factors'!$S$16,0.2+0.8*S43),IF(ISTEXT(Q43),VLOOKUP(Q43,Afactors,2,FALSE),""))</f>
        <v/>
      </c>
      <c r="CP43" s="611" t="str">
        <f t="shared" si="59"/>
        <v/>
      </c>
      <c r="CQ43" s="612" t="str">
        <f t="shared" si="60"/>
        <v/>
      </c>
      <c r="CR43" s="340"/>
      <c r="CS43" s="340"/>
      <c r="CT43" s="340"/>
      <c r="CU43" s="340"/>
      <c r="CV43" s="333"/>
      <c r="CW43" s="333"/>
      <c r="CX43" s="333"/>
      <c r="CY43" s="333"/>
      <c r="DA43" s="313" t="str">
        <f t="shared" si="31"/>
        <v>OK</v>
      </c>
      <c r="DB43" s="313" t="str">
        <f t="shared" si="32"/>
        <v>OK</v>
      </c>
      <c r="DC43" s="313" t="str">
        <f t="shared" si="33"/>
        <v>OK</v>
      </c>
      <c r="DD43" s="313" t="str">
        <f t="shared" si="34"/>
        <v>OK</v>
      </c>
      <c r="DE43" s="153" t="str">
        <f t="shared" si="35"/>
        <v>OK</v>
      </c>
      <c r="DF43" s="314" t="str">
        <f t="shared" si="36"/>
        <v>OK</v>
      </c>
      <c r="DG43" s="482" t="str">
        <f t="shared" si="61"/>
        <v>OK</v>
      </c>
      <c r="DH43" s="482" t="str">
        <f>IF(OR(AND(T43='Adjustment factors'!$R$28,'Class 3, 5-9'!U43='Adjustment factors'!$R$29),AND('Class 3, 5-9'!T43='Adjustment factors'!$R$29,'Class 3, 5-9'!U43='Adjustment factors'!$R$28)),"Invalid combination of adjustment factors",IF(AND(T43=U43,NOT(ISBLANK(T43)),NOT(ISBLANK(U43))),"Same colour factor selected twice","OK"))</f>
        <v>OK</v>
      </c>
      <c r="DI43" s="313" t="str">
        <f t="shared" si="37"/>
        <v>OK</v>
      </c>
      <c r="DJ43" s="153" t="str">
        <f t="shared" si="62"/>
        <v>OK</v>
      </c>
      <c r="DK43" s="153" t="str">
        <f t="shared" si="38"/>
        <v>OK</v>
      </c>
      <c r="DL43" s="313" t="str">
        <f t="shared" si="39"/>
        <v>OK</v>
      </c>
      <c r="DM43" s="153" t="str">
        <f t="shared" si="40"/>
        <v>OK</v>
      </c>
      <c r="DN43" s="153" t="str">
        <f t="shared" si="63"/>
        <v>OK</v>
      </c>
      <c r="DO43" s="154" t="str">
        <f t="shared" si="64"/>
        <v>OK</v>
      </c>
      <c r="DP43" s="153" t="str">
        <f t="shared" si="41"/>
        <v>OK</v>
      </c>
      <c r="DQ43" s="313" t="str">
        <f t="shared" si="42"/>
        <v>OK</v>
      </c>
      <c r="DR43" s="153" t="str">
        <f t="shared" si="65"/>
        <v>OK</v>
      </c>
      <c r="DS43" s="153" t="str">
        <f t="shared" si="43"/>
        <v>OK</v>
      </c>
      <c r="DT43" s="313" t="str">
        <f t="shared" si="73"/>
        <v>OK</v>
      </c>
      <c r="DU43" s="153" t="str">
        <f t="shared" si="45"/>
        <v>OK</v>
      </c>
      <c r="DV43" s="153" t="str">
        <f t="shared" si="66"/>
        <v>OK</v>
      </c>
      <c r="DW43" s="154" t="str">
        <f t="shared" si="67"/>
        <v>OK</v>
      </c>
      <c r="DX43" s="157">
        <f t="shared" si="68"/>
        <v>0</v>
      </c>
      <c r="DY43" s="156" t="str">
        <f t="shared" si="69"/>
        <v>OK</v>
      </c>
    </row>
    <row r="44" spans="1:129" ht="13" hidden="1" x14ac:dyDescent="0.3">
      <c r="A44" s="333"/>
      <c r="B44" s="333"/>
      <c r="C44" s="331" t="str">
        <f t="shared" si="46"/>
        <v>-</v>
      </c>
      <c r="D44" s="584">
        <v>21</v>
      </c>
      <c r="E44" s="585"/>
      <c r="F44" s="586"/>
      <c r="G44" s="600"/>
      <c r="H44" s="587"/>
      <c r="I44" s="601"/>
      <c r="J44" s="585"/>
      <c r="K44" s="617"/>
      <c r="L44" s="602"/>
      <c r="M44" s="603"/>
      <c r="N44" s="588"/>
      <c r="O44" s="604"/>
      <c r="P44" s="605"/>
      <c r="Q44" s="588"/>
      <c r="R44" s="604"/>
      <c r="S44" s="605"/>
      <c r="T44" s="606"/>
      <c r="U44" s="606"/>
      <c r="V44" s="429" t="str">
        <f t="shared" si="0"/>
        <v/>
      </c>
      <c r="W44" s="430" t="str">
        <f t="shared" si="47"/>
        <v/>
      </c>
      <c r="X44" s="66" t="str">
        <f>IF(AND(ISNUMBER(P44),N44=FixedDim),MAX('Adjustment factors'!$S$16,0.2+0.8*P44),IF(ISTEXT(N44),VLOOKUP(N44,Afactors,2,TRUE),""))</f>
        <v/>
      </c>
      <c r="Y44" s="17" t="str">
        <f>IF(AND(ISNUMBER(S44),Q44=FixedDim),MAX('Adjustment factors'!$S$16,0.2+0.8*S44),IF(ISTEXT(Q44),VLOOKUP(Q44,Afactors,2,TRUE),""))</f>
        <v/>
      </c>
      <c r="Z44" s="297" t="str">
        <f>IF(ISBLANK(T44),"",VLOOKUP(T44,'Adjustment factors'!$R$27:$S$30,2,TRUE))</f>
        <v/>
      </c>
      <c r="AA44" s="297" t="str">
        <f>IF(ISBLANK(U44),"",VLOOKUP(U44,'Adjustment factors'!$R$27:$S$30,2,TRUE))</f>
        <v/>
      </c>
      <c r="AB44" s="480">
        <f t="shared" si="48"/>
        <v>1</v>
      </c>
      <c r="AC44" s="18" t="b">
        <f t="shared" si="1"/>
        <v>0</v>
      </c>
      <c r="AD44" s="18" t="b">
        <f t="shared" si="2"/>
        <v>0</v>
      </c>
      <c r="AE44" s="18" t="b">
        <f t="shared" si="70"/>
        <v>0</v>
      </c>
      <c r="AF44" s="17" t="str">
        <f t="shared" si="3"/>
        <v/>
      </c>
      <c r="AG44" s="18" t="str">
        <f t="shared" si="4"/>
        <v/>
      </c>
      <c r="AH44" s="17" t="str">
        <f t="shared" si="71"/>
        <v/>
      </c>
      <c r="AI44" s="297" t="e">
        <f t="shared" si="49"/>
        <v>#VALUE!</v>
      </c>
      <c r="AJ44" s="79" t="e">
        <f t="shared" si="5"/>
        <v>#VALUE!</v>
      </c>
      <c r="AK44" s="17" t="str">
        <f t="shared" si="72"/>
        <v/>
      </c>
      <c r="AL44" s="80" t="e">
        <f t="shared" si="6"/>
        <v>#VALUE!</v>
      </c>
      <c r="AM44" s="139" t="b">
        <f t="shared" si="7"/>
        <v>1</v>
      </c>
      <c r="AN44" s="139" t="b">
        <f>AND(COUNTA(E44)&gt;0,ISNUMBER(F44),OR(COUNT(G44:H44)=0,COUNT(G44:H44)=2,AND(ISNUMBER(G44),ISNUMBER(VALUE(LEFT(H44,SUM(LEN(H44)-LEN(SUBSTITUTE(H44,{"0","1","2","3","4","5","6","7","8","9","."},"")))))))),ISNUMBER(I44),ISTEXT(J44))</f>
        <v>0</v>
      </c>
      <c r="AO44" s="19" t="b">
        <f t="shared" si="8"/>
        <v>0</v>
      </c>
      <c r="AP44" s="19" t="b">
        <f t="shared" si="9"/>
        <v>1</v>
      </c>
      <c r="AQ44" s="19" t="b">
        <f>IF(AND(COUNTBLANK(E44:J44)=6,OR(AN45:AN$523)),NOT(AN44))</f>
        <v>0</v>
      </c>
      <c r="AR44" s="19" t="str">
        <f t="shared" si="10"/>
        <v/>
      </c>
      <c r="AS44" s="19" t="b">
        <f t="shared" si="11"/>
        <v>1</v>
      </c>
      <c r="AT44" s="19" t="str">
        <f t="shared" si="12"/>
        <v/>
      </c>
      <c r="AU44" s="19" t="b">
        <f t="shared" si="13"/>
        <v>1</v>
      </c>
      <c r="AV44" s="140" t="str">
        <f t="shared" si="50"/>
        <v/>
      </c>
      <c r="AW44" s="19" t="str">
        <f t="shared" si="14"/>
        <v/>
      </c>
      <c r="AX44" s="81">
        <f t="shared" si="15"/>
        <v>0</v>
      </c>
      <c r="AY44" s="81" t="str">
        <f t="shared" si="16"/>
        <v/>
      </c>
      <c r="AZ44" s="307" t="str">
        <f t="shared" si="51"/>
        <v/>
      </c>
      <c r="BA44" s="281" t="str">
        <f t="shared" si="52"/>
        <v/>
      </c>
      <c r="BB44" s="281" t="str">
        <f t="shared" si="53"/>
        <v/>
      </c>
      <c r="BC44" s="953"/>
      <c r="BD44" s="955"/>
      <c r="BE44" s="219" t="str">
        <f t="shared" si="17"/>
        <v>n/a</v>
      </c>
      <c r="BF44" s="215" t="b">
        <f t="shared" si="18"/>
        <v>0</v>
      </c>
      <c r="BG44" s="145" t="b">
        <f t="shared" si="19"/>
        <v>0</v>
      </c>
      <c r="BH44" s="145" t="b">
        <f t="shared" si="20"/>
        <v>0</v>
      </c>
      <c r="BI44" s="216" t="b">
        <f t="shared" si="21"/>
        <v>0</v>
      </c>
      <c r="BJ44" s="215" t="b">
        <f t="shared" si="22"/>
        <v>0</v>
      </c>
      <c r="BK44" s="145" t="b">
        <f t="shared" si="23"/>
        <v>0</v>
      </c>
      <c r="BL44" s="216" t="b">
        <f t="shared" si="24"/>
        <v>0</v>
      </c>
      <c r="BM44" s="217" t="str">
        <f t="shared" si="54"/>
        <v/>
      </c>
      <c r="BN44" s="146" t="str">
        <f t="shared" si="55"/>
        <v/>
      </c>
      <c r="BO44" s="147" t="str">
        <f t="shared" si="56"/>
        <v/>
      </c>
      <c r="BP44" s="148" t="str">
        <f t="shared" si="57"/>
        <v/>
      </c>
      <c r="BT44" s="50">
        <v>21</v>
      </c>
      <c r="BU44" s="50" t="str">
        <f t="shared" si="25"/>
        <v>-</v>
      </c>
      <c r="BW44" s="333"/>
      <c r="BX44" s="333"/>
      <c r="BY44" s="333"/>
      <c r="BZ44" s="333"/>
      <c r="CA44" s="333"/>
      <c r="CB44" s="333"/>
      <c r="CC44" s="333"/>
      <c r="CD44" s="333"/>
      <c r="CE44" s="333"/>
      <c r="CF44" s="333"/>
      <c r="CG44" s="354">
        <f t="shared" si="26"/>
        <v>21</v>
      </c>
      <c r="CH44" s="613">
        <f t="shared" si="27"/>
        <v>0</v>
      </c>
      <c r="CI44" s="613">
        <f t="shared" si="28"/>
        <v>0</v>
      </c>
      <c r="CJ44" s="614" t="str">
        <f t="shared" si="29"/>
        <v/>
      </c>
      <c r="CK44" s="615" t="str">
        <f t="shared" si="30"/>
        <v/>
      </c>
      <c r="CL44" s="610" t="str">
        <f>IF(ISBLANK(H44),"",IF(AND(ISNUMBER(F44),ISNUMBER(G44),ISNUMBER(H44)),ROUND(F44/(H44*G44),2),ROUND(F44/(VALUE(LEFT(H44,SUM(LEN(H44)-LEN(SUBSTITUTE(H44,{"0","1","2","3","4","5","6","7","8","9","."},"")))))*G44),2)))</f>
        <v/>
      </c>
      <c r="CM44" s="616" t="str">
        <f t="shared" si="58"/>
        <v/>
      </c>
      <c r="CN44" s="616" t="str">
        <f>IF(ISNUMBER(P44),MAX('Adjustment factors'!$S$16,(0.2+0.8*P44)),IF(ISTEXT(N44),VLOOKUP(N44,Afactors,2,FALSE),""))</f>
        <v/>
      </c>
      <c r="CO44" s="616" t="str">
        <f>IF(ISNUMBER(S44),MAX('Adjustment factors'!$S$16,0.2+0.8*S44),IF(ISTEXT(Q44),VLOOKUP(Q44,Afactors,2,FALSE),""))</f>
        <v/>
      </c>
      <c r="CP44" s="611" t="str">
        <f t="shared" si="59"/>
        <v/>
      </c>
      <c r="CQ44" s="612" t="str">
        <f t="shared" si="60"/>
        <v/>
      </c>
      <c r="CR44" s="340"/>
      <c r="CS44" s="340"/>
      <c r="CT44" s="340"/>
      <c r="CU44" s="340"/>
      <c r="CV44" s="340"/>
      <c r="CW44" s="333"/>
      <c r="CX44" s="333"/>
      <c r="CY44" s="333"/>
      <c r="DA44" s="313" t="str">
        <f t="shared" si="31"/>
        <v>OK</v>
      </c>
      <c r="DB44" s="313" t="str">
        <f t="shared" si="32"/>
        <v>OK</v>
      </c>
      <c r="DC44" s="313" t="str">
        <f t="shared" si="33"/>
        <v>OK</v>
      </c>
      <c r="DD44" s="313" t="str">
        <f t="shared" si="34"/>
        <v>OK</v>
      </c>
      <c r="DE44" s="153" t="str">
        <f t="shared" si="35"/>
        <v>OK</v>
      </c>
      <c r="DF44" s="314" t="str">
        <f t="shared" si="36"/>
        <v>OK</v>
      </c>
      <c r="DG44" s="482" t="str">
        <f t="shared" si="61"/>
        <v>OK</v>
      </c>
      <c r="DH44" s="482" t="str">
        <f>IF(OR(AND(T44='Adjustment factors'!$R$28,'Class 3, 5-9'!U44='Adjustment factors'!$R$29),AND('Class 3, 5-9'!T44='Adjustment factors'!$R$29,'Class 3, 5-9'!U44='Adjustment factors'!$R$28)),"Invalid combination of adjustment factors",IF(AND(T44=U44,NOT(ISBLANK(T44)),NOT(ISBLANK(U44))),"Same colour factor selected twice","OK"))</f>
        <v>OK</v>
      </c>
      <c r="DI44" s="313" t="str">
        <f t="shared" si="37"/>
        <v>OK</v>
      </c>
      <c r="DJ44" s="153" t="str">
        <f t="shared" si="62"/>
        <v>OK</v>
      </c>
      <c r="DK44" s="153" t="str">
        <f t="shared" si="38"/>
        <v>OK</v>
      </c>
      <c r="DL44" s="313" t="str">
        <f t="shared" si="39"/>
        <v>OK</v>
      </c>
      <c r="DM44" s="153" t="str">
        <f t="shared" si="40"/>
        <v>OK</v>
      </c>
      <c r="DN44" s="153" t="str">
        <f t="shared" si="63"/>
        <v>OK</v>
      </c>
      <c r="DO44" s="154" t="str">
        <f t="shared" si="64"/>
        <v>OK</v>
      </c>
      <c r="DP44" s="153" t="str">
        <f t="shared" si="41"/>
        <v>OK</v>
      </c>
      <c r="DQ44" s="313" t="str">
        <f t="shared" si="42"/>
        <v>OK</v>
      </c>
      <c r="DR44" s="153" t="str">
        <f t="shared" si="65"/>
        <v>OK</v>
      </c>
      <c r="DS44" s="153" t="str">
        <f t="shared" si="43"/>
        <v>OK</v>
      </c>
      <c r="DT44" s="313" t="str">
        <f t="shared" si="73"/>
        <v>OK</v>
      </c>
      <c r="DU44" s="153" t="str">
        <f t="shared" si="45"/>
        <v>OK</v>
      </c>
      <c r="DV44" s="153" t="str">
        <f t="shared" si="66"/>
        <v>OK</v>
      </c>
      <c r="DW44" s="154" t="str">
        <f t="shared" si="67"/>
        <v>OK</v>
      </c>
      <c r="DX44" s="157">
        <f t="shared" si="68"/>
        <v>0</v>
      </c>
      <c r="DY44" s="156" t="str">
        <f t="shared" si="69"/>
        <v>OK</v>
      </c>
    </row>
    <row r="45" spans="1:129" ht="13" hidden="1" x14ac:dyDescent="0.3">
      <c r="A45" s="333"/>
      <c r="B45" s="333"/>
      <c r="C45" s="331" t="str">
        <f t="shared" si="46"/>
        <v>-</v>
      </c>
      <c r="D45" s="584">
        <v>22</v>
      </c>
      <c r="E45" s="585"/>
      <c r="F45" s="586"/>
      <c r="G45" s="600"/>
      <c r="H45" s="587"/>
      <c r="I45" s="601"/>
      <c r="J45" s="585"/>
      <c r="K45" s="617"/>
      <c r="L45" s="602"/>
      <c r="M45" s="603"/>
      <c r="N45" s="588"/>
      <c r="O45" s="604"/>
      <c r="P45" s="605"/>
      <c r="Q45" s="588"/>
      <c r="R45" s="604"/>
      <c r="S45" s="605"/>
      <c r="T45" s="606"/>
      <c r="U45" s="606"/>
      <c r="V45" s="429" t="str">
        <f t="shared" si="0"/>
        <v/>
      </c>
      <c r="W45" s="430" t="str">
        <f t="shared" si="47"/>
        <v/>
      </c>
      <c r="X45" s="66" t="str">
        <f>IF(AND(ISNUMBER(P45),N45=FixedDim),MAX('Adjustment factors'!$S$16,0.2+0.8*P45),IF(ISTEXT(N45),VLOOKUP(N45,Afactors,2,TRUE),""))</f>
        <v/>
      </c>
      <c r="Y45" s="17" t="str">
        <f>IF(AND(ISNUMBER(S45),Q45=FixedDim),MAX('Adjustment factors'!$S$16,0.2+0.8*S45),IF(ISTEXT(Q45),VLOOKUP(Q45,Afactors,2,TRUE),""))</f>
        <v/>
      </c>
      <c r="Z45" s="297" t="str">
        <f>IF(ISBLANK(T45),"",VLOOKUP(T45,'Adjustment factors'!$R$27:$S$30,2,TRUE))</f>
        <v/>
      </c>
      <c r="AA45" s="297" t="str">
        <f>IF(ISBLANK(U45),"",VLOOKUP(U45,'Adjustment factors'!$R$27:$S$30,2,TRUE))</f>
        <v/>
      </c>
      <c r="AB45" s="480">
        <f t="shared" si="48"/>
        <v>1</v>
      </c>
      <c r="AC45" s="18" t="b">
        <f t="shared" si="1"/>
        <v>0</v>
      </c>
      <c r="AD45" s="18" t="b">
        <f t="shared" si="2"/>
        <v>0</v>
      </c>
      <c r="AE45" s="18" t="b">
        <f t="shared" si="70"/>
        <v>0</v>
      </c>
      <c r="AF45" s="17" t="str">
        <f t="shared" si="3"/>
        <v/>
      </c>
      <c r="AG45" s="18" t="str">
        <f t="shared" si="4"/>
        <v/>
      </c>
      <c r="AH45" s="17" t="str">
        <f t="shared" si="71"/>
        <v/>
      </c>
      <c r="AI45" s="297" t="e">
        <f t="shared" si="49"/>
        <v>#VALUE!</v>
      </c>
      <c r="AJ45" s="79" t="e">
        <f t="shared" si="5"/>
        <v>#VALUE!</v>
      </c>
      <c r="AK45" s="17" t="str">
        <f t="shared" si="72"/>
        <v/>
      </c>
      <c r="AL45" s="80" t="e">
        <f t="shared" si="6"/>
        <v>#VALUE!</v>
      </c>
      <c r="AM45" s="139" t="b">
        <f t="shared" si="7"/>
        <v>1</v>
      </c>
      <c r="AN45" s="139" t="b">
        <f>AND(COUNTA(E45)&gt;0,ISNUMBER(F45),OR(COUNT(G45:H45)=0,COUNT(G45:H45)=2,AND(ISNUMBER(G45),ISNUMBER(VALUE(LEFT(H45,SUM(LEN(H45)-LEN(SUBSTITUTE(H45,{"0","1","2","3","4","5","6","7","8","9","."},"")))))))),ISNUMBER(I45),ISTEXT(J45))</f>
        <v>0</v>
      </c>
      <c r="AO45" s="19" t="b">
        <f t="shared" si="8"/>
        <v>0</v>
      </c>
      <c r="AP45" s="19" t="b">
        <f t="shared" si="9"/>
        <v>1</v>
      </c>
      <c r="AQ45" s="19" t="b">
        <f>IF(AND(COUNTBLANK(E45:J45)=6,OR(AN46:AN$523)),NOT(AN45))</f>
        <v>0</v>
      </c>
      <c r="AR45" s="19" t="str">
        <f t="shared" si="10"/>
        <v/>
      </c>
      <c r="AS45" s="19" t="b">
        <f t="shared" si="11"/>
        <v>1</v>
      </c>
      <c r="AT45" s="19" t="str">
        <f t="shared" si="12"/>
        <v/>
      </c>
      <c r="AU45" s="19" t="b">
        <f t="shared" si="13"/>
        <v>1</v>
      </c>
      <c r="AV45" s="140" t="str">
        <f t="shared" si="50"/>
        <v/>
      </c>
      <c r="AW45" s="19" t="str">
        <f t="shared" si="14"/>
        <v/>
      </c>
      <c r="AX45" s="81">
        <f t="shared" si="15"/>
        <v>0</v>
      </c>
      <c r="AY45" s="81" t="str">
        <f t="shared" si="16"/>
        <v/>
      </c>
      <c r="AZ45" s="307" t="str">
        <f t="shared" si="51"/>
        <v/>
      </c>
      <c r="BA45" s="281" t="str">
        <f t="shared" si="52"/>
        <v/>
      </c>
      <c r="BB45" s="281" t="str">
        <f t="shared" si="53"/>
        <v/>
      </c>
      <c r="BC45" s="953"/>
      <c r="BD45" s="955"/>
      <c r="BE45" s="219" t="str">
        <f t="shared" si="17"/>
        <v>n/a</v>
      </c>
      <c r="BF45" s="215" t="b">
        <f t="shared" si="18"/>
        <v>0</v>
      </c>
      <c r="BG45" s="145" t="b">
        <f t="shared" si="19"/>
        <v>0</v>
      </c>
      <c r="BH45" s="145" t="b">
        <f t="shared" si="20"/>
        <v>0</v>
      </c>
      <c r="BI45" s="216" t="b">
        <f t="shared" si="21"/>
        <v>0</v>
      </c>
      <c r="BJ45" s="215" t="b">
        <f t="shared" si="22"/>
        <v>0</v>
      </c>
      <c r="BK45" s="145" t="b">
        <f t="shared" si="23"/>
        <v>0</v>
      </c>
      <c r="BL45" s="216" t="b">
        <f t="shared" si="24"/>
        <v>0</v>
      </c>
      <c r="BM45" s="217" t="str">
        <f t="shared" si="54"/>
        <v/>
      </c>
      <c r="BN45" s="146" t="str">
        <f t="shared" si="55"/>
        <v/>
      </c>
      <c r="BO45" s="147" t="str">
        <f t="shared" si="56"/>
        <v/>
      </c>
      <c r="BP45" s="148" t="str">
        <f t="shared" si="57"/>
        <v/>
      </c>
      <c r="BT45" s="50">
        <v>22</v>
      </c>
      <c r="BU45" s="50" t="str">
        <f t="shared" si="25"/>
        <v>-</v>
      </c>
      <c r="BW45" s="333"/>
      <c r="BX45" s="333"/>
      <c r="BY45" s="333"/>
      <c r="BZ45" s="333"/>
      <c r="CA45" s="333"/>
      <c r="CB45" s="333"/>
      <c r="CC45" s="333"/>
      <c r="CD45" s="333"/>
      <c r="CE45" s="333"/>
      <c r="CF45" s="333"/>
      <c r="CG45" s="354">
        <f t="shared" si="26"/>
        <v>22</v>
      </c>
      <c r="CH45" s="613">
        <f t="shared" si="27"/>
        <v>0</v>
      </c>
      <c r="CI45" s="613">
        <f t="shared" si="28"/>
        <v>0</v>
      </c>
      <c r="CJ45" s="614" t="str">
        <f t="shared" si="29"/>
        <v/>
      </c>
      <c r="CK45" s="615" t="str">
        <f t="shared" si="30"/>
        <v/>
      </c>
      <c r="CL45" s="610" t="str">
        <f>IF(ISBLANK(H45),"",IF(AND(ISNUMBER(F45),ISNUMBER(G45),ISNUMBER(H45)),ROUND(F45/(H45*G45),2),ROUND(F45/(VALUE(LEFT(H45,SUM(LEN(H45)-LEN(SUBSTITUTE(H45,{"0","1","2","3","4","5","6","7","8","9","."},"")))))*G45),2)))</f>
        <v/>
      </c>
      <c r="CM45" s="616" t="str">
        <f t="shared" si="58"/>
        <v/>
      </c>
      <c r="CN45" s="616" t="str">
        <f>IF(ISNUMBER(P45),MAX('Adjustment factors'!$S$16,(0.2+0.8*P45)),IF(ISTEXT(N45),VLOOKUP(N45,Afactors,2,FALSE),""))</f>
        <v/>
      </c>
      <c r="CO45" s="616" t="str">
        <f>IF(ISNUMBER(S45),MAX('Adjustment factors'!$S$16,0.2+0.8*S45),IF(ISTEXT(Q45),VLOOKUP(Q45,Afactors,2,FALSE),""))</f>
        <v/>
      </c>
      <c r="CP45" s="611" t="str">
        <f t="shared" si="59"/>
        <v/>
      </c>
      <c r="CQ45" s="612" t="str">
        <f t="shared" si="60"/>
        <v/>
      </c>
      <c r="CR45" s="340"/>
      <c r="CS45" s="340"/>
      <c r="CT45" s="340"/>
      <c r="CU45" s="340"/>
      <c r="CV45" s="333"/>
      <c r="CW45" s="333"/>
      <c r="CX45" s="333"/>
      <c r="CY45" s="333"/>
      <c r="DA45" s="313" t="str">
        <f t="shared" si="31"/>
        <v>OK</v>
      </c>
      <c r="DB45" s="313" t="str">
        <f t="shared" si="32"/>
        <v>OK</v>
      </c>
      <c r="DC45" s="313" t="str">
        <f t="shared" si="33"/>
        <v>OK</v>
      </c>
      <c r="DD45" s="313" t="str">
        <f t="shared" si="34"/>
        <v>OK</v>
      </c>
      <c r="DE45" s="153" t="str">
        <f t="shared" si="35"/>
        <v>OK</v>
      </c>
      <c r="DF45" s="314" t="str">
        <f t="shared" si="36"/>
        <v>OK</v>
      </c>
      <c r="DG45" s="482" t="str">
        <f t="shared" si="61"/>
        <v>OK</v>
      </c>
      <c r="DH45" s="482" t="str">
        <f>IF(OR(AND(T45='Adjustment factors'!$R$28,'Class 3, 5-9'!U45='Adjustment factors'!$R$29),AND('Class 3, 5-9'!T45='Adjustment factors'!$R$29,'Class 3, 5-9'!U45='Adjustment factors'!$R$28)),"Invalid combination of adjustment factors",IF(AND(T45=U45,NOT(ISBLANK(T45)),NOT(ISBLANK(U45))),"Same colour factor selected twice","OK"))</f>
        <v>OK</v>
      </c>
      <c r="DI45" s="313" t="str">
        <f t="shared" si="37"/>
        <v>OK</v>
      </c>
      <c r="DJ45" s="153" t="str">
        <f t="shared" si="62"/>
        <v>OK</v>
      </c>
      <c r="DK45" s="153" t="str">
        <f t="shared" si="38"/>
        <v>OK</v>
      </c>
      <c r="DL45" s="313" t="str">
        <f t="shared" si="39"/>
        <v>OK</v>
      </c>
      <c r="DM45" s="153" t="str">
        <f t="shared" si="40"/>
        <v>OK</v>
      </c>
      <c r="DN45" s="153" t="str">
        <f t="shared" si="63"/>
        <v>OK</v>
      </c>
      <c r="DO45" s="154" t="str">
        <f t="shared" si="64"/>
        <v>OK</v>
      </c>
      <c r="DP45" s="153" t="str">
        <f t="shared" si="41"/>
        <v>OK</v>
      </c>
      <c r="DQ45" s="313" t="str">
        <f t="shared" si="42"/>
        <v>OK</v>
      </c>
      <c r="DR45" s="153" t="str">
        <f t="shared" si="65"/>
        <v>OK</v>
      </c>
      <c r="DS45" s="153" t="str">
        <f t="shared" si="43"/>
        <v>OK</v>
      </c>
      <c r="DT45" s="313" t="str">
        <f t="shared" si="73"/>
        <v>OK</v>
      </c>
      <c r="DU45" s="153" t="str">
        <f t="shared" si="45"/>
        <v>OK</v>
      </c>
      <c r="DV45" s="153" t="str">
        <f t="shared" si="66"/>
        <v>OK</v>
      </c>
      <c r="DW45" s="154" t="str">
        <f t="shared" si="67"/>
        <v>OK</v>
      </c>
      <c r="DX45" s="157">
        <f t="shared" si="68"/>
        <v>0</v>
      </c>
      <c r="DY45" s="156" t="str">
        <f t="shared" si="69"/>
        <v>OK</v>
      </c>
    </row>
    <row r="46" spans="1:129" ht="13" hidden="1" x14ac:dyDescent="0.3">
      <c r="A46" s="333"/>
      <c r="B46" s="333"/>
      <c r="C46" s="331" t="str">
        <f t="shared" si="46"/>
        <v>-</v>
      </c>
      <c r="D46" s="584">
        <v>23</v>
      </c>
      <c r="E46" s="585"/>
      <c r="F46" s="586"/>
      <c r="G46" s="600"/>
      <c r="H46" s="587"/>
      <c r="I46" s="601"/>
      <c r="J46" s="585"/>
      <c r="K46" s="617"/>
      <c r="L46" s="602"/>
      <c r="M46" s="603"/>
      <c r="N46" s="588"/>
      <c r="O46" s="604"/>
      <c r="P46" s="605"/>
      <c r="Q46" s="588"/>
      <c r="R46" s="604"/>
      <c r="S46" s="605"/>
      <c r="T46" s="606"/>
      <c r="U46" s="606"/>
      <c r="V46" s="429" t="str">
        <f t="shared" si="0"/>
        <v/>
      </c>
      <c r="W46" s="430" t="str">
        <f t="shared" si="47"/>
        <v/>
      </c>
      <c r="X46" s="66" t="str">
        <f>IF(AND(ISNUMBER(P46),N46=FixedDim),MAX('Adjustment factors'!$S$16,0.2+0.8*P46),IF(ISTEXT(N46),VLOOKUP(N46,Afactors,2,TRUE),""))</f>
        <v/>
      </c>
      <c r="Y46" s="17" t="str">
        <f>IF(AND(ISNUMBER(S46),Q46=FixedDim),MAX('Adjustment factors'!$S$16,0.2+0.8*S46),IF(ISTEXT(Q46),VLOOKUP(Q46,Afactors,2,TRUE),""))</f>
        <v/>
      </c>
      <c r="Z46" s="297" t="str">
        <f>IF(ISBLANK(T46),"",VLOOKUP(T46,'Adjustment factors'!$R$27:$S$30,2,TRUE))</f>
        <v/>
      </c>
      <c r="AA46" s="297" t="str">
        <f>IF(ISBLANK(U46),"",VLOOKUP(U46,'Adjustment factors'!$R$27:$S$30,2,TRUE))</f>
        <v/>
      </c>
      <c r="AB46" s="480">
        <f t="shared" si="48"/>
        <v>1</v>
      </c>
      <c r="AC46" s="18" t="b">
        <f t="shared" si="1"/>
        <v>0</v>
      </c>
      <c r="AD46" s="18" t="b">
        <f t="shared" si="2"/>
        <v>0</v>
      </c>
      <c r="AE46" s="18" t="b">
        <f t="shared" si="70"/>
        <v>0</v>
      </c>
      <c r="AF46" s="17" t="str">
        <f t="shared" si="3"/>
        <v/>
      </c>
      <c r="AG46" s="18" t="str">
        <f t="shared" si="4"/>
        <v/>
      </c>
      <c r="AH46" s="17" t="str">
        <f t="shared" si="71"/>
        <v/>
      </c>
      <c r="AI46" s="297" t="e">
        <f t="shared" si="49"/>
        <v>#VALUE!</v>
      </c>
      <c r="AJ46" s="79" t="e">
        <f t="shared" si="5"/>
        <v>#VALUE!</v>
      </c>
      <c r="AK46" s="17" t="str">
        <f t="shared" si="72"/>
        <v/>
      </c>
      <c r="AL46" s="80" t="e">
        <f t="shared" si="6"/>
        <v>#VALUE!</v>
      </c>
      <c r="AM46" s="139" t="b">
        <f t="shared" si="7"/>
        <v>1</v>
      </c>
      <c r="AN46" s="139" t="b">
        <f>AND(COUNTA(E46)&gt;0,ISNUMBER(F46),OR(COUNT(G46:H46)=0,COUNT(G46:H46)=2,AND(ISNUMBER(G46),ISNUMBER(VALUE(LEFT(H46,SUM(LEN(H46)-LEN(SUBSTITUTE(H46,{"0","1","2","3","4","5","6","7","8","9","."},"")))))))),ISNUMBER(I46),ISTEXT(J46))</f>
        <v>0</v>
      </c>
      <c r="AO46" s="19" t="b">
        <f t="shared" si="8"/>
        <v>0</v>
      </c>
      <c r="AP46" s="19" t="b">
        <f t="shared" si="9"/>
        <v>1</v>
      </c>
      <c r="AQ46" s="19" t="b">
        <f>IF(AND(COUNTBLANK(E46:J46)=6,OR(AN47:AN$523)),NOT(AN46))</f>
        <v>0</v>
      </c>
      <c r="AR46" s="19" t="str">
        <f t="shared" si="10"/>
        <v/>
      </c>
      <c r="AS46" s="19" t="b">
        <f t="shared" si="11"/>
        <v>1</v>
      </c>
      <c r="AT46" s="19" t="str">
        <f t="shared" si="12"/>
        <v/>
      </c>
      <c r="AU46" s="19" t="b">
        <f t="shared" si="13"/>
        <v>1</v>
      </c>
      <c r="AV46" s="140" t="str">
        <f t="shared" si="50"/>
        <v/>
      </c>
      <c r="AW46" s="19" t="str">
        <f t="shared" si="14"/>
        <v/>
      </c>
      <c r="AX46" s="81">
        <f t="shared" si="15"/>
        <v>0</v>
      </c>
      <c r="AY46" s="81" t="str">
        <f t="shared" si="16"/>
        <v/>
      </c>
      <c r="AZ46" s="307" t="str">
        <f t="shared" si="51"/>
        <v/>
      </c>
      <c r="BA46" s="281" t="str">
        <f t="shared" si="52"/>
        <v/>
      </c>
      <c r="BB46" s="281" t="str">
        <f t="shared" si="53"/>
        <v/>
      </c>
      <c r="BC46" s="953"/>
      <c r="BD46" s="955"/>
      <c r="BE46" s="219" t="str">
        <f t="shared" si="17"/>
        <v>n/a</v>
      </c>
      <c r="BF46" s="215" t="b">
        <f t="shared" si="18"/>
        <v>0</v>
      </c>
      <c r="BG46" s="145" t="b">
        <f t="shared" si="19"/>
        <v>0</v>
      </c>
      <c r="BH46" s="145" t="b">
        <f t="shared" si="20"/>
        <v>0</v>
      </c>
      <c r="BI46" s="216" t="b">
        <f t="shared" si="21"/>
        <v>0</v>
      </c>
      <c r="BJ46" s="215" t="b">
        <f t="shared" si="22"/>
        <v>0</v>
      </c>
      <c r="BK46" s="145" t="b">
        <f t="shared" si="23"/>
        <v>0</v>
      </c>
      <c r="BL46" s="216" t="b">
        <f t="shared" si="24"/>
        <v>0</v>
      </c>
      <c r="BM46" s="217" t="str">
        <f t="shared" si="54"/>
        <v/>
      </c>
      <c r="BN46" s="146" t="str">
        <f t="shared" si="55"/>
        <v/>
      </c>
      <c r="BO46" s="147" t="str">
        <f t="shared" si="56"/>
        <v/>
      </c>
      <c r="BP46" s="148" t="str">
        <f t="shared" si="57"/>
        <v/>
      </c>
      <c r="BT46" s="50">
        <v>23</v>
      </c>
      <c r="BU46" s="50" t="str">
        <f t="shared" si="25"/>
        <v>-</v>
      </c>
      <c r="BW46" s="333"/>
      <c r="BX46" s="333"/>
      <c r="BY46" s="333"/>
      <c r="BZ46" s="333"/>
      <c r="CA46" s="333"/>
      <c r="CB46" s="333"/>
      <c r="CC46" s="333"/>
      <c r="CD46" s="333"/>
      <c r="CE46" s="333"/>
      <c r="CF46" s="333"/>
      <c r="CG46" s="354">
        <f t="shared" si="26"/>
        <v>23</v>
      </c>
      <c r="CH46" s="613">
        <f t="shared" si="27"/>
        <v>0</v>
      </c>
      <c r="CI46" s="613">
        <f t="shared" si="28"/>
        <v>0</v>
      </c>
      <c r="CJ46" s="614" t="str">
        <f t="shared" si="29"/>
        <v/>
      </c>
      <c r="CK46" s="615" t="str">
        <f t="shared" si="30"/>
        <v/>
      </c>
      <c r="CL46" s="610" t="str">
        <f>IF(ISBLANK(H46),"",IF(AND(ISNUMBER(F46),ISNUMBER(G46),ISNUMBER(H46)),ROUND(F46/(H46*G46),2),ROUND(F46/(VALUE(LEFT(H46,SUM(LEN(H46)-LEN(SUBSTITUTE(H46,{"0","1","2","3","4","5","6","7","8","9","."},"")))))*G46),2)))</f>
        <v/>
      </c>
      <c r="CM46" s="616" t="str">
        <f t="shared" si="58"/>
        <v/>
      </c>
      <c r="CN46" s="616" t="str">
        <f>IF(ISNUMBER(P46),MAX('Adjustment factors'!$S$16,(0.2+0.8*P46)),IF(ISTEXT(N46),VLOOKUP(N46,Afactors,2,FALSE),""))</f>
        <v/>
      </c>
      <c r="CO46" s="616" t="str">
        <f>IF(ISNUMBER(S46),MAX('Adjustment factors'!$S$16,0.2+0.8*S46),IF(ISTEXT(Q46),VLOOKUP(Q46,Afactors,2,FALSE),""))</f>
        <v/>
      </c>
      <c r="CP46" s="611" t="str">
        <f t="shared" si="59"/>
        <v/>
      </c>
      <c r="CQ46" s="612" t="str">
        <f t="shared" si="60"/>
        <v/>
      </c>
      <c r="CR46" s="340"/>
      <c r="CS46" s="340"/>
      <c r="CT46" s="340"/>
      <c r="CU46" s="340"/>
      <c r="CV46" s="333"/>
      <c r="CW46" s="333"/>
      <c r="CX46" s="333"/>
      <c r="CY46" s="333"/>
      <c r="DA46" s="313" t="str">
        <f t="shared" si="31"/>
        <v>OK</v>
      </c>
      <c r="DB46" s="313" t="str">
        <f t="shared" si="32"/>
        <v>OK</v>
      </c>
      <c r="DC46" s="313" t="str">
        <f t="shared" si="33"/>
        <v>OK</v>
      </c>
      <c r="DD46" s="313" t="str">
        <f t="shared" si="34"/>
        <v>OK</v>
      </c>
      <c r="DE46" s="153" t="str">
        <f t="shared" si="35"/>
        <v>OK</v>
      </c>
      <c r="DF46" s="314" t="str">
        <f t="shared" si="36"/>
        <v>OK</v>
      </c>
      <c r="DG46" s="482" t="str">
        <f t="shared" si="61"/>
        <v>OK</v>
      </c>
      <c r="DH46" s="482" t="str">
        <f>IF(OR(AND(T46='Adjustment factors'!$R$28,'Class 3, 5-9'!U46='Adjustment factors'!$R$29),AND('Class 3, 5-9'!T46='Adjustment factors'!$R$29,'Class 3, 5-9'!U46='Adjustment factors'!$R$28)),"Invalid combination of adjustment factors",IF(AND(T46=U46,NOT(ISBLANK(T46)),NOT(ISBLANK(U46))),"Same colour factor selected twice","OK"))</f>
        <v>OK</v>
      </c>
      <c r="DI46" s="313" t="str">
        <f t="shared" si="37"/>
        <v>OK</v>
      </c>
      <c r="DJ46" s="153" t="str">
        <f t="shared" si="62"/>
        <v>OK</v>
      </c>
      <c r="DK46" s="153" t="str">
        <f t="shared" si="38"/>
        <v>OK</v>
      </c>
      <c r="DL46" s="313" t="str">
        <f t="shared" si="39"/>
        <v>OK</v>
      </c>
      <c r="DM46" s="153" t="str">
        <f t="shared" si="40"/>
        <v>OK</v>
      </c>
      <c r="DN46" s="153" t="str">
        <f t="shared" si="63"/>
        <v>OK</v>
      </c>
      <c r="DO46" s="154" t="str">
        <f t="shared" si="64"/>
        <v>OK</v>
      </c>
      <c r="DP46" s="153" t="str">
        <f t="shared" si="41"/>
        <v>OK</v>
      </c>
      <c r="DQ46" s="313" t="str">
        <f t="shared" si="42"/>
        <v>OK</v>
      </c>
      <c r="DR46" s="153" t="str">
        <f t="shared" si="65"/>
        <v>OK</v>
      </c>
      <c r="DS46" s="153" t="str">
        <f t="shared" si="43"/>
        <v>OK</v>
      </c>
      <c r="DT46" s="313" t="str">
        <f t="shared" si="73"/>
        <v>OK</v>
      </c>
      <c r="DU46" s="153" t="str">
        <f t="shared" si="45"/>
        <v>OK</v>
      </c>
      <c r="DV46" s="153" t="str">
        <f t="shared" si="66"/>
        <v>OK</v>
      </c>
      <c r="DW46" s="154" t="str">
        <f t="shared" si="67"/>
        <v>OK</v>
      </c>
      <c r="DX46" s="157">
        <f t="shared" si="68"/>
        <v>0</v>
      </c>
      <c r="DY46" s="156" t="str">
        <f t="shared" si="69"/>
        <v>OK</v>
      </c>
    </row>
    <row r="47" spans="1:129" ht="13" hidden="1" x14ac:dyDescent="0.3">
      <c r="A47" s="333"/>
      <c r="B47" s="333"/>
      <c r="C47" s="331" t="str">
        <f t="shared" si="46"/>
        <v>-</v>
      </c>
      <c r="D47" s="584">
        <v>24</v>
      </c>
      <c r="E47" s="585"/>
      <c r="F47" s="586"/>
      <c r="G47" s="600"/>
      <c r="H47" s="587"/>
      <c r="I47" s="601"/>
      <c r="J47" s="585"/>
      <c r="K47" s="617"/>
      <c r="L47" s="602"/>
      <c r="M47" s="603"/>
      <c r="N47" s="588"/>
      <c r="O47" s="604"/>
      <c r="P47" s="605"/>
      <c r="Q47" s="588"/>
      <c r="R47" s="604"/>
      <c r="S47" s="605"/>
      <c r="T47" s="606"/>
      <c r="U47" s="606"/>
      <c r="V47" s="429" t="str">
        <f t="shared" si="0"/>
        <v/>
      </c>
      <c r="W47" s="430" t="str">
        <f t="shared" si="47"/>
        <v/>
      </c>
      <c r="X47" s="66" t="str">
        <f>IF(AND(ISNUMBER(P47),N47=FixedDim),MAX('Adjustment factors'!$S$16,0.2+0.8*P47),IF(ISTEXT(N47),VLOOKUP(N47,Afactors,2,TRUE),""))</f>
        <v/>
      </c>
      <c r="Y47" s="17" t="str">
        <f>IF(AND(ISNUMBER(S47),Q47=FixedDim),MAX('Adjustment factors'!$S$16,0.2+0.8*S47),IF(ISTEXT(Q47),VLOOKUP(Q47,Afactors,2,TRUE),""))</f>
        <v/>
      </c>
      <c r="Z47" s="297" t="str">
        <f>IF(ISBLANK(T47),"",VLOOKUP(T47,'Adjustment factors'!$R$27:$S$30,2,TRUE))</f>
        <v/>
      </c>
      <c r="AA47" s="297" t="str">
        <f>IF(ISBLANK(U47),"",VLOOKUP(U47,'Adjustment factors'!$R$27:$S$30,2,TRUE))</f>
        <v/>
      </c>
      <c r="AB47" s="480">
        <f t="shared" si="48"/>
        <v>1</v>
      </c>
      <c r="AC47" s="18" t="b">
        <f t="shared" si="1"/>
        <v>0</v>
      </c>
      <c r="AD47" s="18" t="b">
        <f t="shared" si="2"/>
        <v>0</v>
      </c>
      <c r="AE47" s="18" t="b">
        <f t="shared" si="70"/>
        <v>0</v>
      </c>
      <c r="AF47" s="17" t="str">
        <f t="shared" si="3"/>
        <v/>
      </c>
      <c r="AG47" s="18" t="str">
        <f t="shared" si="4"/>
        <v/>
      </c>
      <c r="AH47" s="17" t="str">
        <f t="shared" si="71"/>
        <v/>
      </c>
      <c r="AI47" s="297" t="e">
        <f t="shared" si="49"/>
        <v>#VALUE!</v>
      </c>
      <c r="AJ47" s="79" t="e">
        <f t="shared" si="5"/>
        <v>#VALUE!</v>
      </c>
      <c r="AK47" s="17" t="str">
        <f t="shared" si="72"/>
        <v/>
      </c>
      <c r="AL47" s="80" t="e">
        <f t="shared" si="6"/>
        <v>#VALUE!</v>
      </c>
      <c r="AM47" s="139" t="b">
        <f t="shared" si="7"/>
        <v>1</v>
      </c>
      <c r="AN47" s="139" t="b">
        <f>AND(COUNTA(E47)&gt;0,ISNUMBER(F47),OR(COUNT(G47:H47)=0,COUNT(G47:H47)=2,AND(ISNUMBER(G47),ISNUMBER(VALUE(LEFT(H47,SUM(LEN(H47)-LEN(SUBSTITUTE(H47,{"0","1","2","3","4","5","6","7","8","9","."},"")))))))),ISNUMBER(I47),ISTEXT(J47))</f>
        <v>0</v>
      </c>
      <c r="AO47" s="19" t="b">
        <f t="shared" si="8"/>
        <v>0</v>
      </c>
      <c r="AP47" s="19" t="b">
        <f t="shared" si="9"/>
        <v>1</v>
      </c>
      <c r="AQ47" s="19" t="b">
        <f>IF(AND(COUNTBLANK(E47:J47)=6,OR(AN48:AN$523)),NOT(AN47))</f>
        <v>0</v>
      </c>
      <c r="AR47" s="19" t="str">
        <f t="shared" si="10"/>
        <v/>
      </c>
      <c r="AS47" s="19" t="b">
        <f t="shared" si="11"/>
        <v>1</v>
      </c>
      <c r="AT47" s="19" t="str">
        <f t="shared" si="12"/>
        <v/>
      </c>
      <c r="AU47" s="19" t="b">
        <f t="shared" si="13"/>
        <v>1</v>
      </c>
      <c r="AV47" s="140" t="str">
        <f t="shared" si="50"/>
        <v/>
      </c>
      <c r="AW47" s="19" t="str">
        <f t="shared" si="14"/>
        <v/>
      </c>
      <c r="AX47" s="81">
        <f t="shared" si="15"/>
        <v>0</v>
      </c>
      <c r="AY47" s="81" t="str">
        <f t="shared" si="16"/>
        <v/>
      </c>
      <c r="AZ47" s="307" t="str">
        <f t="shared" si="51"/>
        <v/>
      </c>
      <c r="BA47" s="281" t="str">
        <f t="shared" si="52"/>
        <v/>
      </c>
      <c r="BB47" s="281" t="str">
        <f t="shared" si="53"/>
        <v/>
      </c>
      <c r="BC47" s="953"/>
      <c r="BD47" s="955"/>
      <c r="BE47" s="219" t="str">
        <f t="shared" si="17"/>
        <v>n/a</v>
      </c>
      <c r="BF47" s="215" t="b">
        <f t="shared" si="18"/>
        <v>0</v>
      </c>
      <c r="BG47" s="145" t="b">
        <f t="shared" si="19"/>
        <v>0</v>
      </c>
      <c r="BH47" s="145" t="b">
        <f t="shared" si="20"/>
        <v>0</v>
      </c>
      <c r="BI47" s="216" t="b">
        <f t="shared" si="21"/>
        <v>0</v>
      </c>
      <c r="BJ47" s="215" t="b">
        <f t="shared" si="22"/>
        <v>0</v>
      </c>
      <c r="BK47" s="145" t="b">
        <f t="shared" si="23"/>
        <v>0</v>
      </c>
      <c r="BL47" s="216" t="b">
        <f t="shared" si="24"/>
        <v>0</v>
      </c>
      <c r="BM47" s="217" t="str">
        <f t="shared" si="54"/>
        <v/>
      </c>
      <c r="BN47" s="146" t="str">
        <f t="shared" si="55"/>
        <v/>
      </c>
      <c r="BO47" s="147" t="str">
        <f t="shared" si="56"/>
        <v/>
      </c>
      <c r="BP47" s="148" t="str">
        <f t="shared" si="57"/>
        <v/>
      </c>
      <c r="BT47" s="50">
        <v>24</v>
      </c>
      <c r="BU47" s="50" t="str">
        <f t="shared" si="25"/>
        <v>-</v>
      </c>
      <c r="BW47" s="333"/>
      <c r="BX47" s="333"/>
      <c r="BY47" s="333"/>
      <c r="BZ47" s="333"/>
      <c r="CA47" s="333"/>
      <c r="CB47" s="333"/>
      <c r="CC47" s="333"/>
      <c r="CD47" s="333"/>
      <c r="CE47" s="333"/>
      <c r="CF47" s="333"/>
      <c r="CG47" s="354">
        <f t="shared" si="26"/>
        <v>24</v>
      </c>
      <c r="CH47" s="613">
        <f t="shared" si="27"/>
        <v>0</v>
      </c>
      <c r="CI47" s="613">
        <f t="shared" si="28"/>
        <v>0</v>
      </c>
      <c r="CJ47" s="614" t="str">
        <f t="shared" si="29"/>
        <v/>
      </c>
      <c r="CK47" s="615" t="str">
        <f t="shared" si="30"/>
        <v/>
      </c>
      <c r="CL47" s="610" t="str">
        <f>IF(ISBLANK(H47),"",IF(AND(ISNUMBER(F47),ISNUMBER(G47),ISNUMBER(H47)),ROUND(F47/(H47*G47),2),ROUND(F47/(VALUE(LEFT(H47,SUM(LEN(H47)-LEN(SUBSTITUTE(H47,{"0","1","2","3","4","5","6","7","8","9","."},"")))))*G47),2)))</f>
        <v/>
      </c>
      <c r="CM47" s="616" t="str">
        <f t="shared" si="58"/>
        <v/>
      </c>
      <c r="CN47" s="616" t="str">
        <f>IF(ISNUMBER(P47),MAX('Adjustment factors'!$S$16,(0.2+0.8*P47)),IF(ISTEXT(N47),VLOOKUP(N47,Afactors,2,FALSE),""))</f>
        <v/>
      </c>
      <c r="CO47" s="616" t="str">
        <f>IF(ISNUMBER(S47),MAX('Adjustment factors'!$S$16,0.2+0.8*S47),IF(ISTEXT(Q47),VLOOKUP(Q47,Afactors,2,FALSE),""))</f>
        <v/>
      </c>
      <c r="CP47" s="611" t="str">
        <f t="shared" si="59"/>
        <v/>
      </c>
      <c r="CQ47" s="612" t="str">
        <f t="shared" si="60"/>
        <v/>
      </c>
      <c r="CR47" s="340"/>
      <c r="CS47" s="340"/>
      <c r="CT47" s="340"/>
      <c r="CU47" s="340"/>
      <c r="CV47" s="333"/>
      <c r="CW47" s="333"/>
      <c r="CX47" s="333"/>
      <c r="CY47" s="333"/>
      <c r="DA47" s="313" t="str">
        <f t="shared" si="31"/>
        <v>OK</v>
      </c>
      <c r="DB47" s="313" t="str">
        <f t="shared" si="32"/>
        <v>OK</v>
      </c>
      <c r="DC47" s="313" t="str">
        <f t="shared" si="33"/>
        <v>OK</v>
      </c>
      <c r="DD47" s="313" t="str">
        <f t="shared" si="34"/>
        <v>OK</v>
      </c>
      <c r="DE47" s="153" t="str">
        <f t="shared" si="35"/>
        <v>OK</v>
      </c>
      <c r="DF47" s="314" t="str">
        <f t="shared" si="36"/>
        <v>OK</v>
      </c>
      <c r="DG47" s="482" t="str">
        <f t="shared" si="61"/>
        <v>OK</v>
      </c>
      <c r="DH47" s="482" t="str">
        <f>IF(OR(AND(T47='Adjustment factors'!$R$28,'Class 3, 5-9'!U47='Adjustment factors'!$R$29),AND('Class 3, 5-9'!T47='Adjustment factors'!$R$29,'Class 3, 5-9'!U47='Adjustment factors'!$R$28)),"Invalid combination of adjustment factors",IF(AND(T47=U47,NOT(ISBLANK(T47)),NOT(ISBLANK(U47))),"Same colour factor selected twice","OK"))</f>
        <v>OK</v>
      </c>
      <c r="DI47" s="313" t="str">
        <f t="shared" si="37"/>
        <v>OK</v>
      </c>
      <c r="DJ47" s="153" t="str">
        <f t="shared" si="62"/>
        <v>OK</v>
      </c>
      <c r="DK47" s="153" t="str">
        <f t="shared" si="38"/>
        <v>OK</v>
      </c>
      <c r="DL47" s="313" t="str">
        <f t="shared" si="39"/>
        <v>OK</v>
      </c>
      <c r="DM47" s="153" t="str">
        <f t="shared" si="40"/>
        <v>OK</v>
      </c>
      <c r="DN47" s="153" t="str">
        <f t="shared" si="63"/>
        <v>OK</v>
      </c>
      <c r="DO47" s="154" t="str">
        <f t="shared" si="64"/>
        <v>OK</v>
      </c>
      <c r="DP47" s="153" t="str">
        <f t="shared" si="41"/>
        <v>OK</v>
      </c>
      <c r="DQ47" s="313" t="str">
        <f t="shared" si="42"/>
        <v>OK</v>
      </c>
      <c r="DR47" s="153" t="str">
        <f t="shared" si="65"/>
        <v>OK</v>
      </c>
      <c r="DS47" s="153" t="str">
        <f t="shared" si="43"/>
        <v>OK</v>
      </c>
      <c r="DT47" s="313" t="str">
        <f t="shared" si="73"/>
        <v>OK</v>
      </c>
      <c r="DU47" s="153" t="str">
        <f t="shared" si="45"/>
        <v>OK</v>
      </c>
      <c r="DV47" s="153" t="str">
        <f t="shared" si="66"/>
        <v>OK</v>
      </c>
      <c r="DW47" s="154" t="str">
        <f t="shared" si="67"/>
        <v>OK</v>
      </c>
      <c r="DX47" s="157">
        <f t="shared" si="68"/>
        <v>0</v>
      </c>
      <c r="DY47" s="156" t="str">
        <f t="shared" si="69"/>
        <v>OK</v>
      </c>
    </row>
    <row r="48" spans="1:129" ht="13" hidden="1" x14ac:dyDescent="0.3">
      <c r="A48" s="333"/>
      <c r="B48" s="333"/>
      <c r="C48" s="331" t="str">
        <f t="shared" si="46"/>
        <v>-</v>
      </c>
      <c r="D48" s="584">
        <v>25</v>
      </c>
      <c r="E48" s="585"/>
      <c r="F48" s="586"/>
      <c r="G48" s="600"/>
      <c r="H48" s="587"/>
      <c r="I48" s="601"/>
      <c r="J48" s="585"/>
      <c r="K48" s="617"/>
      <c r="L48" s="602"/>
      <c r="M48" s="603"/>
      <c r="N48" s="588"/>
      <c r="O48" s="604"/>
      <c r="P48" s="605"/>
      <c r="Q48" s="588"/>
      <c r="R48" s="604"/>
      <c r="S48" s="605"/>
      <c r="T48" s="606"/>
      <c r="U48" s="606"/>
      <c r="V48" s="429" t="str">
        <f t="shared" si="0"/>
        <v/>
      </c>
      <c r="W48" s="430" t="str">
        <f t="shared" si="47"/>
        <v/>
      </c>
      <c r="X48" s="66" t="str">
        <f>IF(AND(ISNUMBER(P48),N48=FixedDim),MAX('Adjustment factors'!$S$16,0.2+0.8*P48),IF(ISTEXT(N48),VLOOKUP(N48,Afactors,2,TRUE),""))</f>
        <v/>
      </c>
      <c r="Y48" s="17" t="str">
        <f>IF(AND(ISNUMBER(S48),Q48=FixedDim),MAX('Adjustment factors'!$S$16,0.2+0.8*S48),IF(ISTEXT(Q48),VLOOKUP(Q48,Afactors,2,TRUE),""))</f>
        <v/>
      </c>
      <c r="Z48" s="297" t="str">
        <f>IF(ISBLANK(T48),"",VLOOKUP(T48,'Adjustment factors'!$R$27:$S$30,2,TRUE))</f>
        <v/>
      </c>
      <c r="AA48" s="297" t="str">
        <f>IF(ISBLANK(U48),"",VLOOKUP(U48,'Adjustment factors'!$R$27:$S$30,2,TRUE))</f>
        <v/>
      </c>
      <c r="AB48" s="480">
        <f t="shared" si="48"/>
        <v>1</v>
      </c>
      <c r="AC48" s="18" t="b">
        <f t="shared" si="1"/>
        <v>0</v>
      </c>
      <c r="AD48" s="18" t="b">
        <f t="shared" si="2"/>
        <v>0</v>
      </c>
      <c r="AE48" s="18" t="b">
        <f t="shared" si="70"/>
        <v>0</v>
      </c>
      <c r="AF48" s="17" t="str">
        <f t="shared" si="3"/>
        <v/>
      </c>
      <c r="AG48" s="18" t="str">
        <f t="shared" si="4"/>
        <v/>
      </c>
      <c r="AH48" s="17" t="str">
        <f t="shared" si="71"/>
        <v/>
      </c>
      <c r="AI48" s="297" t="e">
        <f t="shared" si="49"/>
        <v>#VALUE!</v>
      </c>
      <c r="AJ48" s="79" t="e">
        <f t="shared" si="5"/>
        <v>#VALUE!</v>
      </c>
      <c r="AK48" s="17" t="str">
        <f t="shared" si="72"/>
        <v/>
      </c>
      <c r="AL48" s="80" t="e">
        <f t="shared" si="6"/>
        <v>#VALUE!</v>
      </c>
      <c r="AM48" s="139" t="b">
        <f t="shared" si="7"/>
        <v>1</v>
      </c>
      <c r="AN48" s="139" t="b">
        <f>AND(COUNTA(E48)&gt;0,ISNUMBER(F48),OR(COUNT(G48:H48)=0,COUNT(G48:H48)=2,AND(ISNUMBER(G48),ISNUMBER(VALUE(LEFT(H48,SUM(LEN(H48)-LEN(SUBSTITUTE(H48,{"0","1","2","3","4","5","6","7","8","9","."},"")))))))),ISNUMBER(I48),ISTEXT(J48))</f>
        <v>0</v>
      </c>
      <c r="AO48" s="19" t="b">
        <f t="shared" si="8"/>
        <v>0</v>
      </c>
      <c r="AP48" s="19" t="b">
        <f t="shared" si="9"/>
        <v>1</v>
      </c>
      <c r="AQ48" s="19" t="b">
        <f>IF(AND(COUNTBLANK(E48:J48)=6,OR(AN49:AN$523)),NOT(AN48))</f>
        <v>0</v>
      </c>
      <c r="AR48" s="19" t="str">
        <f t="shared" si="10"/>
        <v/>
      </c>
      <c r="AS48" s="19" t="b">
        <f t="shared" si="11"/>
        <v>1</v>
      </c>
      <c r="AT48" s="19" t="str">
        <f t="shared" si="12"/>
        <v/>
      </c>
      <c r="AU48" s="19" t="b">
        <f t="shared" si="13"/>
        <v>1</v>
      </c>
      <c r="AV48" s="140" t="str">
        <f t="shared" si="50"/>
        <v/>
      </c>
      <c r="AW48" s="19" t="str">
        <f t="shared" si="14"/>
        <v/>
      </c>
      <c r="AX48" s="81">
        <f t="shared" si="15"/>
        <v>0</v>
      </c>
      <c r="AY48" s="81" t="str">
        <f t="shared" si="16"/>
        <v/>
      </c>
      <c r="AZ48" s="307" t="str">
        <f t="shared" si="51"/>
        <v/>
      </c>
      <c r="BA48" s="281" t="str">
        <f t="shared" si="52"/>
        <v/>
      </c>
      <c r="BB48" s="281" t="str">
        <f t="shared" si="53"/>
        <v/>
      </c>
      <c r="BC48" s="953"/>
      <c r="BD48" s="955"/>
      <c r="BE48" s="219" t="str">
        <f t="shared" si="17"/>
        <v>n/a</v>
      </c>
      <c r="BF48" s="215" t="b">
        <f t="shared" si="18"/>
        <v>0</v>
      </c>
      <c r="BG48" s="145" t="b">
        <f t="shared" si="19"/>
        <v>0</v>
      </c>
      <c r="BH48" s="145" t="b">
        <f t="shared" si="20"/>
        <v>0</v>
      </c>
      <c r="BI48" s="216" t="b">
        <f t="shared" si="21"/>
        <v>0</v>
      </c>
      <c r="BJ48" s="215" t="b">
        <f t="shared" si="22"/>
        <v>0</v>
      </c>
      <c r="BK48" s="145" t="b">
        <f t="shared" si="23"/>
        <v>0</v>
      </c>
      <c r="BL48" s="216" t="b">
        <f t="shared" si="24"/>
        <v>0</v>
      </c>
      <c r="BM48" s="217" t="str">
        <f t="shared" si="54"/>
        <v/>
      </c>
      <c r="BN48" s="146" t="str">
        <f t="shared" si="55"/>
        <v/>
      </c>
      <c r="BO48" s="147" t="str">
        <f t="shared" si="56"/>
        <v/>
      </c>
      <c r="BP48" s="148" t="str">
        <f t="shared" si="57"/>
        <v/>
      </c>
      <c r="BT48" s="50">
        <v>25</v>
      </c>
      <c r="BU48" s="50" t="str">
        <f t="shared" si="25"/>
        <v>-</v>
      </c>
      <c r="BW48" s="333"/>
      <c r="BX48" s="333"/>
      <c r="BY48" s="333"/>
      <c r="BZ48" s="333"/>
      <c r="CA48" s="333"/>
      <c r="CB48" s="333"/>
      <c r="CC48" s="333"/>
      <c r="CD48" s="333"/>
      <c r="CE48" s="333"/>
      <c r="CF48" s="333"/>
      <c r="CG48" s="354">
        <f t="shared" si="26"/>
        <v>25</v>
      </c>
      <c r="CH48" s="613">
        <f t="shared" si="27"/>
        <v>0</v>
      </c>
      <c r="CI48" s="613">
        <f t="shared" si="28"/>
        <v>0</v>
      </c>
      <c r="CJ48" s="614" t="str">
        <f t="shared" si="29"/>
        <v/>
      </c>
      <c r="CK48" s="615" t="str">
        <f t="shared" si="30"/>
        <v/>
      </c>
      <c r="CL48" s="610" t="str">
        <f>IF(ISBLANK(H48),"",IF(AND(ISNUMBER(F48),ISNUMBER(G48),ISNUMBER(H48)),ROUND(F48/(H48*G48),2),ROUND(F48/(VALUE(LEFT(H48,SUM(LEN(H48)-LEN(SUBSTITUTE(H48,{"0","1","2","3","4","5","6","7","8","9","."},"")))))*G48),2)))</f>
        <v/>
      </c>
      <c r="CM48" s="616" t="str">
        <f t="shared" si="58"/>
        <v/>
      </c>
      <c r="CN48" s="616" t="str">
        <f>IF(ISNUMBER(P48),MAX('Adjustment factors'!$S$16,(0.2+0.8*P48)),IF(ISTEXT(N48),VLOOKUP(N48,Afactors,2,FALSE),""))</f>
        <v/>
      </c>
      <c r="CO48" s="616" t="str">
        <f>IF(ISNUMBER(S48),MAX('Adjustment factors'!$S$16,0.2+0.8*S48),IF(ISTEXT(Q48),VLOOKUP(Q48,Afactors,2,FALSE),""))</f>
        <v/>
      </c>
      <c r="CP48" s="611" t="str">
        <f t="shared" si="59"/>
        <v/>
      </c>
      <c r="CQ48" s="612" t="str">
        <f t="shared" si="60"/>
        <v/>
      </c>
      <c r="CR48" s="340"/>
      <c r="CS48" s="340"/>
      <c r="CT48" s="340"/>
      <c r="CU48" s="340"/>
      <c r="CV48" s="333"/>
      <c r="CW48" s="333"/>
      <c r="CX48" s="333"/>
      <c r="CY48" s="333"/>
      <c r="DA48" s="313" t="str">
        <f t="shared" si="31"/>
        <v>OK</v>
      </c>
      <c r="DB48" s="313" t="str">
        <f t="shared" si="32"/>
        <v>OK</v>
      </c>
      <c r="DC48" s="313" t="str">
        <f t="shared" si="33"/>
        <v>OK</v>
      </c>
      <c r="DD48" s="313" t="str">
        <f t="shared" si="34"/>
        <v>OK</v>
      </c>
      <c r="DE48" s="153" t="str">
        <f t="shared" si="35"/>
        <v>OK</v>
      </c>
      <c r="DF48" s="314" t="str">
        <f t="shared" si="36"/>
        <v>OK</v>
      </c>
      <c r="DG48" s="482" t="str">
        <f t="shared" si="61"/>
        <v>OK</v>
      </c>
      <c r="DH48" s="482" t="str">
        <f>IF(OR(AND(T48='Adjustment factors'!$R$28,'Class 3, 5-9'!U48='Adjustment factors'!$R$29),AND('Class 3, 5-9'!T48='Adjustment factors'!$R$29,'Class 3, 5-9'!U48='Adjustment factors'!$R$28)),"Invalid combination of adjustment factors",IF(AND(T48=U48,NOT(ISBLANK(T48)),NOT(ISBLANK(U48))),"Same colour factor selected twice","OK"))</f>
        <v>OK</v>
      </c>
      <c r="DI48" s="313" t="str">
        <f t="shared" si="37"/>
        <v>OK</v>
      </c>
      <c r="DJ48" s="153" t="str">
        <f t="shared" si="62"/>
        <v>OK</v>
      </c>
      <c r="DK48" s="153" t="str">
        <f t="shared" si="38"/>
        <v>OK</v>
      </c>
      <c r="DL48" s="313" t="str">
        <f t="shared" si="39"/>
        <v>OK</v>
      </c>
      <c r="DM48" s="153" t="str">
        <f t="shared" si="40"/>
        <v>OK</v>
      </c>
      <c r="DN48" s="153" t="str">
        <f t="shared" si="63"/>
        <v>OK</v>
      </c>
      <c r="DO48" s="154" t="str">
        <f t="shared" si="64"/>
        <v>OK</v>
      </c>
      <c r="DP48" s="153" t="str">
        <f t="shared" si="41"/>
        <v>OK</v>
      </c>
      <c r="DQ48" s="313" t="str">
        <f t="shared" si="42"/>
        <v>OK</v>
      </c>
      <c r="DR48" s="153" t="str">
        <f t="shared" si="65"/>
        <v>OK</v>
      </c>
      <c r="DS48" s="153" t="str">
        <f t="shared" si="43"/>
        <v>OK</v>
      </c>
      <c r="DT48" s="313" t="str">
        <f t="shared" si="73"/>
        <v>OK</v>
      </c>
      <c r="DU48" s="153" t="str">
        <f t="shared" si="45"/>
        <v>OK</v>
      </c>
      <c r="DV48" s="153" t="str">
        <f t="shared" si="66"/>
        <v>OK</v>
      </c>
      <c r="DW48" s="154" t="str">
        <f t="shared" si="67"/>
        <v>OK</v>
      </c>
      <c r="DX48" s="157">
        <f t="shared" si="68"/>
        <v>0</v>
      </c>
      <c r="DY48" s="156" t="str">
        <f t="shared" si="69"/>
        <v>OK</v>
      </c>
    </row>
    <row r="49" spans="1:129" ht="13" hidden="1" x14ac:dyDescent="0.3">
      <c r="A49" s="333"/>
      <c r="B49" s="333"/>
      <c r="C49" s="331" t="str">
        <f t="shared" si="46"/>
        <v>-</v>
      </c>
      <c r="D49" s="584">
        <v>26</v>
      </c>
      <c r="E49" s="585"/>
      <c r="F49" s="586"/>
      <c r="G49" s="600"/>
      <c r="H49" s="587"/>
      <c r="I49" s="601"/>
      <c r="J49" s="585"/>
      <c r="K49" s="617"/>
      <c r="L49" s="602"/>
      <c r="M49" s="603"/>
      <c r="N49" s="588"/>
      <c r="O49" s="604"/>
      <c r="P49" s="605"/>
      <c r="Q49" s="588"/>
      <c r="R49" s="604"/>
      <c r="S49" s="605"/>
      <c r="T49" s="606"/>
      <c r="U49" s="606"/>
      <c r="V49" s="429" t="str">
        <f t="shared" si="0"/>
        <v/>
      </c>
      <c r="W49" s="430" t="str">
        <f t="shared" si="47"/>
        <v/>
      </c>
      <c r="X49" s="66" t="str">
        <f>IF(AND(ISNUMBER(P49),N49=FixedDim),MAX('Adjustment factors'!$S$16,0.2+0.8*P49),IF(ISTEXT(N49),VLOOKUP(N49,Afactors,2,TRUE),""))</f>
        <v/>
      </c>
      <c r="Y49" s="17" t="str">
        <f>IF(AND(ISNUMBER(S49),Q49=FixedDim),MAX('Adjustment factors'!$S$16,0.2+0.8*S49),IF(ISTEXT(Q49),VLOOKUP(Q49,Afactors,2,TRUE),""))</f>
        <v/>
      </c>
      <c r="Z49" s="297" t="str">
        <f>IF(ISBLANK(T49),"",VLOOKUP(T49,'Adjustment factors'!$R$27:$S$30,2,TRUE))</f>
        <v/>
      </c>
      <c r="AA49" s="297" t="str">
        <f>IF(ISBLANK(U49),"",VLOOKUP(U49,'Adjustment factors'!$R$27:$S$30,2,TRUE))</f>
        <v/>
      </c>
      <c r="AB49" s="480">
        <f t="shared" si="48"/>
        <v>1</v>
      </c>
      <c r="AC49" s="18" t="b">
        <f t="shared" si="1"/>
        <v>0</v>
      </c>
      <c r="AD49" s="18" t="b">
        <f t="shared" si="2"/>
        <v>0</v>
      </c>
      <c r="AE49" s="18" t="b">
        <f t="shared" si="70"/>
        <v>0</v>
      </c>
      <c r="AF49" s="17" t="str">
        <f t="shared" si="3"/>
        <v/>
      </c>
      <c r="AG49" s="18" t="str">
        <f t="shared" si="4"/>
        <v/>
      </c>
      <c r="AH49" s="17" t="str">
        <f t="shared" si="71"/>
        <v/>
      </c>
      <c r="AI49" s="297" t="e">
        <f t="shared" si="49"/>
        <v>#VALUE!</v>
      </c>
      <c r="AJ49" s="79" t="e">
        <f t="shared" si="5"/>
        <v>#VALUE!</v>
      </c>
      <c r="AK49" s="17" t="str">
        <f t="shared" si="72"/>
        <v/>
      </c>
      <c r="AL49" s="80" t="e">
        <f t="shared" si="6"/>
        <v>#VALUE!</v>
      </c>
      <c r="AM49" s="139" t="b">
        <f t="shared" si="7"/>
        <v>1</v>
      </c>
      <c r="AN49" s="139" t="b">
        <f>AND(COUNTA(E49)&gt;0,ISNUMBER(F49),OR(COUNT(G49:H49)=0,COUNT(G49:H49)=2,AND(ISNUMBER(G49),ISNUMBER(VALUE(LEFT(H49,SUM(LEN(H49)-LEN(SUBSTITUTE(H49,{"0","1","2","3","4","5","6","7","8","9","."},"")))))))),ISNUMBER(I49),ISTEXT(J49))</f>
        <v>0</v>
      </c>
      <c r="AO49" s="19" t="b">
        <f t="shared" si="8"/>
        <v>0</v>
      </c>
      <c r="AP49" s="19" t="b">
        <f t="shared" si="9"/>
        <v>1</v>
      </c>
      <c r="AQ49" s="19" t="b">
        <f>IF(AND(COUNTBLANK(E49:J49)=6,OR(AN50:AN$523)),NOT(AN49))</f>
        <v>0</v>
      </c>
      <c r="AR49" s="19" t="str">
        <f t="shared" si="10"/>
        <v/>
      </c>
      <c r="AS49" s="19" t="b">
        <f t="shared" si="11"/>
        <v>1</v>
      </c>
      <c r="AT49" s="19" t="str">
        <f t="shared" si="12"/>
        <v/>
      </c>
      <c r="AU49" s="19" t="b">
        <f t="shared" si="13"/>
        <v>1</v>
      </c>
      <c r="AV49" s="140" t="str">
        <f t="shared" si="50"/>
        <v/>
      </c>
      <c r="AW49" s="19" t="str">
        <f t="shared" si="14"/>
        <v/>
      </c>
      <c r="AX49" s="81">
        <f t="shared" si="15"/>
        <v>0</v>
      </c>
      <c r="AY49" s="81" t="str">
        <f t="shared" si="16"/>
        <v/>
      </c>
      <c r="AZ49" s="307" t="str">
        <f t="shared" si="51"/>
        <v/>
      </c>
      <c r="BA49" s="281" t="str">
        <f t="shared" si="52"/>
        <v/>
      </c>
      <c r="BB49" s="281" t="str">
        <f t="shared" si="53"/>
        <v/>
      </c>
      <c r="BC49" s="953"/>
      <c r="BD49" s="955"/>
      <c r="BE49" s="219" t="str">
        <f t="shared" si="17"/>
        <v>n/a</v>
      </c>
      <c r="BF49" s="215" t="b">
        <f t="shared" si="18"/>
        <v>0</v>
      </c>
      <c r="BG49" s="145" t="b">
        <f t="shared" si="19"/>
        <v>0</v>
      </c>
      <c r="BH49" s="145" t="b">
        <f t="shared" si="20"/>
        <v>0</v>
      </c>
      <c r="BI49" s="216" t="b">
        <f t="shared" si="21"/>
        <v>0</v>
      </c>
      <c r="BJ49" s="215" t="b">
        <f t="shared" si="22"/>
        <v>0</v>
      </c>
      <c r="BK49" s="145" t="b">
        <f t="shared" si="23"/>
        <v>0</v>
      </c>
      <c r="BL49" s="216" t="b">
        <f t="shared" si="24"/>
        <v>0</v>
      </c>
      <c r="BM49" s="217" t="str">
        <f t="shared" si="54"/>
        <v/>
      </c>
      <c r="BN49" s="146" t="str">
        <f t="shared" si="55"/>
        <v/>
      </c>
      <c r="BO49" s="147" t="str">
        <f t="shared" si="56"/>
        <v/>
      </c>
      <c r="BP49" s="148" t="str">
        <f t="shared" si="57"/>
        <v/>
      </c>
      <c r="BT49" s="50">
        <v>26</v>
      </c>
      <c r="BU49" s="50" t="str">
        <f t="shared" si="25"/>
        <v>-</v>
      </c>
      <c r="BW49" s="333"/>
      <c r="BX49" s="333"/>
      <c r="BY49" s="333"/>
      <c r="BZ49" s="333"/>
      <c r="CA49" s="333"/>
      <c r="CB49" s="333"/>
      <c r="CC49" s="333"/>
      <c r="CD49" s="333"/>
      <c r="CE49" s="333"/>
      <c r="CF49" s="333"/>
      <c r="CG49" s="354">
        <f t="shared" si="26"/>
        <v>26</v>
      </c>
      <c r="CH49" s="613">
        <f t="shared" si="27"/>
        <v>0</v>
      </c>
      <c r="CI49" s="613">
        <f t="shared" si="28"/>
        <v>0</v>
      </c>
      <c r="CJ49" s="614" t="str">
        <f t="shared" si="29"/>
        <v/>
      </c>
      <c r="CK49" s="615" t="str">
        <f t="shared" si="30"/>
        <v/>
      </c>
      <c r="CL49" s="610" t="str">
        <f>IF(ISBLANK(H49),"",IF(AND(ISNUMBER(F49),ISNUMBER(G49),ISNUMBER(H49)),ROUND(F49/(H49*G49),2),ROUND(F49/(VALUE(LEFT(H49,SUM(LEN(H49)-LEN(SUBSTITUTE(H49,{"0","1","2","3","4","5","6","7","8","9","."},"")))))*G49),2)))</f>
        <v/>
      </c>
      <c r="CM49" s="616" t="str">
        <f t="shared" si="58"/>
        <v/>
      </c>
      <c r="CN49" s="616" t="str">
        <f>IF(ISNUMBER(P49),MAX('Adjustment factors'!$S$16,(0.2+0.8*P49)),IF(ISTEXT(N49),VLOOKUP(N49,Afactors,2,FALSE),""))</f>
        <v/>
      </c>
      <c r="CO49" s="616" t="str">
        <f>IF(ISNUMBER(S49),MAX('Adjustment factors'!$S$16,0.2+0.8*S49),IF(ISTEXT(Q49),VLOOKUP(Q49,Afactors,2,FALSE),""))</f>
        <v/>
      </c>
      <c r="CP49" s="611" t="str">
        <f t="shared" si="59"/>
        <v/>
      </c>
      <c r="CQ49" s="612" t="str">
        <f t="shared" si="60"/>
        <v/>
      </c>
      <c r="CR49" s="340"/>
      <c r="CS49" s="340"/>
      <c r="CT49" s="340"/>
      <c r="CU49" s="340"/>
      <c r="CV49" s="333"/>
      <c r="CW49" s="333"/>
      <c r="CX49" s="333"/>
      <c r="CY49" s="333"/>
      <c r="DA49" s="313" t="str">
        <f t="shared" si="31"/>
        <v>OK</v>
      </c>
      <c r="DB49" s="313" t="str">
        <f t="shared" si="32"/>
        <v>OK</v>
      </c>
      <c r="DC49" s="313" t="str">
        <f t="shared" si="33"/>
        <v>OK</v>
      </c>
      <c r="DD49" s="313" t="str">
        <f t="shared" si="34"/>
        <v>OK</v>
      </c>
      <c r="DE49" s="153" t="str">
        <f t="shared" si="35"/>
        <v>OK</v>
      </c>
      <c r="DF49" s="314" t="str">
        <f t="shared" si="36"/>
        <v>OK</v>
      </c>
      <c r="DG49" s="482" t="str">
        <f t="shared" si="61"/>
        <v>OK</v>
      </c>
      <c r="DH49" s="482" t="str">
        <f>IF(OR(AND(T49='Adjustment factors'!$R$28,'Class 3, 5-9'!U49='Adjustment factors'!$R$29),AND('Class 3, 5-9'!T49='Adjustment factors'!$R$29,'Class 3, 5-9'!U49='Adjustment factors'!$R$28)),"Invalid combination of adjustment factors",IF(AND(T49=U49,NOT(ISBLANK(T49)),NOT(ISBLANK(U49))),"Same colour factor selected twice","OK"))</f>
        <v>OK</v>
      </c>
      <c r="DI49" s="313" t="str">
        <f t="shared" si="37"/>
        <v>OK</v>
      </c>
      <c r="DJ49" s="153" t="str">
        <f t="shared" si="62"/>
        <v>OK</v>
      </c>
      <c r="DK49" s="153" t="str">
        <f t="shared" si="38"/>
        <v>OK</v>
      </c>
      <c r="DL49" s="313" t="str">
        <f t="shared" si="39"/>
        <v>OK</v>
      </c>
      <c r="DM49" s="153" t="str">
        <f t="shared" si="40"/>
        <v>OK</v>
      </c>
      <c r="DN49" s="153" t="str">
        <f t="shared" si="63"/>
        <v>OK</v>
      </c>
      <c r="DO49" s="154" t="str">
        <f t="shared" si="64"/>
        <v>OK</v>
      </c>
      <c r="DP49" s="153" t="str">
        <f t="shared" si="41"/>
        <v>OK</v>
      </c>
      <c r="DQ49" s="313" t="str">
        <f t="shared" si="42"/>
        <v>OK</v>
      </c>
      <c r="DR49" s="153" t="str">
        <f t="shared" si="65"/>
        <v>OK</v>
      </c>
      <c r="DS49" s="153" t="str">
        <f t="shared" si="43"/>
        <v>OK</v>
      </c>
      <c r="DT49" s="313" t="str">
        <f t="shared" si="73"/>
        <v>OK</v>
      </c>
      <c r="DU49" s="153" t="str">
        <f t="shared" si="45"/>
        <v>OK</v>
      </c>
      <c r="DV49" s="153" t="str">
        <f t="shared" si="66"/>
        <v>OK</v>
      </c>
      <c r="DW49" s="154" t="str">
        <f t="shared" si="67"/>
        <v>OK</v>
      </c>
      <c r="DX49" s="157">
        <f t="shared" si="68"/>
        <v>0</v>
      </c>
      <c r="DY49" s="156" t="str">
        <f t="shared" si="69"/>
        <v>OK</v>
      </c>
    </row>
    <row r="50" spans="1:129" ht="13" hidden="1" x14ac:dyDescent="0.3">
      <c r="A50" s="333"/>
      <c r="B50" s="333"/>
      <c r="C50" s="331" t="str">
        <f t="shared" si="46"/>
        <v>-</v>
      </c>
      <c r="D50" s="584">
        <v>27</v>
      </c>
      <c r="E50" s="585"/>
      <c r="F50" s="586"/>
      <c r="G50" s="600"/>
      <c r="H50" s="587"/>
      <c r="I50" s="601"/>
      <c r="J50" s="585"/>
      <c r="K50" s="617"/>
      <c r="L50" s="602"/>
      <c r="M50" s="603"/>
      <c r="N50" s="588"/>
      <c r="O50" s="604"/>
      <c r="P50" s="605"/>
      <c r="Q50" s="588"/>
      <c r="R50" s="604"/>
      <c r="S50" s="605"/>
      <c r="T50" s="606"/>
      <c r="U50" s="606"/>
      <c r="V50" s="429" t="str">
        <f t="shared" si="0"/>
        <v/>
      </c>
      <c r="W50" s="430" t="str">
        <f t="shared" si="47"/>
        <v/>
      </c>
      <c r="X50" s="66" t="str">
        <f>IF(AND(ISNUMBER(P50),N50=FixedDim),MAX('Adjustment factors'!$S$16,0.2+0.8*P50),IF(ISTEXT(N50),VLOOKUP(N50,Afactors,2,TRUE),""))</f>
        <v/>
      </c>
      <c r="Y50" s="17" t="str">
        <f>IF(AND(ISNUMBER(S50),Q50=FixedDim),MAX('Adjustment factors'!$S$16,0.2+0.8*S50),IF(ISTEXT(Q50),VLOOKUP(Q50,Afactors,2,TRUE),""))</f>
        <v/>
      </c>
      <c r="Z50" s="297" t="str">
        <f>IF(ISBLANK(T50),"",VLOOKUP(T50,'Adjustment factors'!$R$27:$S$30,2,TRUE))</f>
        <v/>
      </c>
      <c r="AA50" s="297" t="str">
        <f>IF(ISBLANK(U50),"",VLOOKUP(U50,'Adjustment factors'!$R$27:$S$30,2,TRUE))</f>
        <v/>
      </c>
      <c r="AB50" s="480">
        <f t="shared" si="48"/>
        <v>1</v>
      </c>
      <c r="AC50" s="18" t="b">
        <f t="shared" si="1"/>
        <v>0</v>
      </c>
      <c r="AD50" s="18" t="b">
        <f t="shared" si="2"/>
        <v>0</v>
      </c>
      <c r="AE50" s="18" t="b">
        <f t="shared" si="70"/>
        <v>0</v>
      </c>
      <c r="AF50" s="17" t="str">
        <f t="shared" si="3"/>
        <v/>
      </c>
      <c r="AG50" s="18" t="str">
        <f t="shared" si="4"/>
        <v/>
      </c>
      <c r="AH50" s="17" t="str">
        <f t="shared" si="71"/>
        <v/>
      </c>
      <c r="AI50" s="297" t="e">
        <f t="shared" si="49"/>
        <v>#VALUE!</v>
      </c>
      <c r="AJ50" s="79" t="e">
        <f t="shared" si="5"/>
        <v>#VALUE!</v>
      </c>
      <c r="AK50" s="17" t="str">
        <f t="shared" si="72"/>
        <v/>
      </c>
      <c r="AL50" s="80" t="e">
        <f t="shared" si="6"/>
        <v>#VALUE!</v>
      </c>
      <c r="AM50" s="139" t="b">
        <f t="shared" si="7"/>
        <v>1</v>
      </c>
      <c r="AN50" s="139" t="b">
        <f>AND(COUNTA(E50)&gt;0,ISNUMBER(F50),OR(COUNT(G50:H50)=0,COUNT(G50:H50)=2,AND(ISNUMBER(G50),ISNUMBER(VALUE(LEFT(H50,SUM(LEN(H50)-LEN(SUBSTITUTE(H50,{"0","1","2","3","4","5","6","7","8","9","."},"")))))))),ISNUMBER(I50),ISTEXT(J50))</f>
        <v>0</v>
      </c>
      <c r="AO50" s="19" t="b">
        <f t="shared" si="8"/>
        <v>0</v>
      </c>
      <c r="AP50" s="19" t="b">
        <f t="shared" si="9"/>
        <v>1</v>
      </c>
      <c r="AQ50" s="19" t="b">
        <f>IF(AND(COUNTBLANK(E50:J50)=6,OR(AN51:AN$523)),NOT(AN50))</f>
        <v>0</v>
      </c>
      <c r="AR50" s="19" t="str">
        <f t="shared" si="10"/>
        <v/>
      </c>
      <c r="AS50" s="19" t="b">
        <f t="shared" si="11"/>
        <v>1</v>
      </c>
      <c r="AT50" s="19" t="str">
        <f t="shared" si="12"/>
        <v/>
      </c>
      <c r="AU50" s="19" t="b">
        <f t="shared" si="13"/>
        <v>1</v>
      </c>
      <c r="AV50" s="140" t="str">
        <f t="shared" si="50"/>
        <v/>
      </c>
      <c r="AW50" s="19" t="str">
        <f t="shared" si="14"/>
        <v/>
      </c>
      <c r="AX50" s="81">
        <f t="shared" si="15"/>
        <v>0</v>
      </c>
      <c r="AY50" s="81" t="str">
        <f t="shared" si="16"/>
        <v/>
      </c>
      <c r="AZ50" s="307" t="str">
        <f t="shared" si="51"/>
        <v/>
      </c>
      <c r="BA50" s="281" t="str">
        <f t="shared" si="52"/>
        <v/>
      </c>
      <c r="BB50" s="281" t="str">
        <f t="shared" si="53"/>
        <v/>
      </c>
      <c r="BC50" s="953"/>
      <c r="BD50" s="955"/>
      <c r="BE50" s="219" t="str">
        <f t="shared" si="17"/>
        <v>n/a</v>
      </c>
      <c r="BF50" s="215" t="b">
        <f t="shared" si="18"/>
        <v>0</v>
      </c>
      <c r="BG50" s="145" t="b">
        <f t="shared" si="19"/>
        <v>0</v>
      </c>
      <c r="BH50" s="145" t="b">
        <f t="shared" si="20"/>
        <v>0</v>
      </c>
      <c r="BI50" s="216" t="b">
        <f t="shared" si="21"/>
        <v>0</v>
      </c>
      <c r="BJ50" s="215" t="b">
        <f t="shared" si="22"/>
        <v>0</v>
      </c>
      <c r="BK50" s="145" t="b">
        <f t="shared" si="23"/>
        <v>0</v>
      </c>
      <c r="BL50" s="216" t="b">
        <f t="shared" si="24"/>
        <v>0</v>
      </c>
      <c r="BM50" s="217" t="str">
        <f t="shared" si="54"/>
        <v/>
      </c>
      <c r="BN50" s="146" t="str">
        <f t="shared" si="55"/>
        <v/>
      </c>
      <c r="BO50" s="147" t="str">
        <f t="shared" si="56"/>
        <v/>
      </c>
      <c r="BP50" s="148" t="str">
        <f t="shared" si="57"/>
        <v/>
      </c>
      <c r="BT50" s="50">
        <v>27</v>
      </c>
      <c r="BU50" s="50" t="str">
        <f t="shared" si="25"/>
        <v>-</v>
      </c>
      <c r="BW50" s="333"/>
      <c r="BX50" s="333"/>
      <c r="BY50" s="333"/>
      <c r="BZ50" s="333"/>
      <c r="CA50" s="333"/>
      <c r="CB50" s="333"/>
      <c r="CC50" s="333"/>
      <c r="CD50" s="333"/>
      <c r="CE50" s="333"/>
      <c r="CF50" s="333"/>
      <c r="CG50" s="354">
        <f t="shared" si="26"/>
        <v>27</v>
      </c>
      <c r="CH50" s="613">
        <f t="shared" si="27"/>
        <v>0</v>
      </c>
      <c r="CI50" s="613">
        <f t="shared" si="28"/>
        <v>0</v>
      </c>
      <c r="CJ50" s="614" t="str">
        <f t="shared" si="29"/>
        <v/>
      </c>
      <c r="CK50" s="615" t="str">
        <f t="shared" si="30"/>
        <v/>
      </c>
      <c r="CL50" s="610" t="str">
        <f>IF(ISBLANK(H50),"",IF(AND(ISNUMBER(F50),ISNUMBER(G50),ISNUMBER(H50)),ROUND(F50/(H50*G50),2),ROUND(F50/(VALUE(LEFT(H50,SUM(LEN(H50)-LEN(SUBSTITUTE(H50,{"0","1","2","3","4","5","6","7","8","9","."},"")))))*G50),2)))</f>
        <v/>
      </c>
      <c r="CM50" s="616" t="str">
        <f t="shared" si="58"/>
        <v/>
      </c>
      <c r="CN50" s="616" t="str">
        <f>IF(ISNUMBER(P50),MAX('Adjustment factors'!$S$16,(0.2+0.8*P50)),IF(ISTEXT(N50),VLOOKUP(N50,Afactors,2,FALSE),""))</f>
        <v/>
      </c>
      <c r="CO50" s="616" t="str">
        <f>IF(ISNUMBER(S50),MAX('Adjustment factors'!$S$16,0.2+0.8*S50),IF(ISTEXT(Q50),VLOOKUP(Q50,Afactors,2,FALSE),""))</f>
        <v/>
      </c>
      <c r="CP50" s="611" t="str">
        <f t="shared" si="59"/>
        <v/>
      </c>
      <c r="CQ50" s="612" t="str">
        <f t="shared" si="60"/>
        <v/>
      </c>
      <c r="CR50" s="340"/>
      <c r="CS50" s="340"/>
      <c r="CT50" s="340"/>
      <c r="CU50" s="340"/>
      <c r="CV50" s="333"/>
      <c r="CW50" s="333"/>
      <c r="CX50" s="333"/>
      <c r="CY50" s="333"/>
      <c r="DA50" s="313" t="str">
        <f t="shared" si="31"/>
        <v>OK</v>
      </c>
      <c r="DB50" s="313" t="str">
        <f t="shared" si="32"/>
        <v>OK</v>
      </c>
      <c r="DC50" s="313" t="str">
        <f t="shared" si="33"/>
        <v>OK</v>
      </c>
      <c r="DD50" s="313" t="str">
        <f t="shared" si="34"/>
        <v>OK</v>
      </c>
      <c r="DE50" s="153" t="str">
        <f t="shared" si="35"/>
        <v>OK</v>
      </c>
      <c r="DF50" s="314" t="str">
        <f t="shared" si="36"/>
        <v>OK</v>
      </c>
      <c r="DG50" s="482" t="str">
        <f t="shared" si="61"/>
        <v>OK</v>
      </c>
      <c r="DH50" s="482" t="str">
        <f>IF(OR(AND(T50='Adjustment factors'!$R$28,'Class 3, 5-9'!U50='Adjustment factors'!$R$29),AND('Class 3, 5-9'!T50='Adjustment factors'!$R$29,'Class 3, 5-9'!U50='Adjustment factors'!$R$28)),"Invalid combination of adjustment factors",IF(AND(T50=U50,NOT(ISBLANK(T50)),NOT(ISBLANK(U50))),"Same colour factor selected twice","OK"))</f>
        <v>OK</v>
      </c>
      <c r="DI50" s="313" t="str">
        <f t="shared" si="37"/>
        <v>OK</v>
      </c>
      <c r="DJ50" s="153" t="str">
        <f t="shared" si="62"/>
        <v>OK</v>
      </c>
      <c r="DK50" s="153" t="str">
        <f t="shared" si="38"/>
        <v>OK</v>
      </c>
      <c r="DL50" s="313" t="str">
        <f t="shared" si="39"/>
        <v>OK</v>
      </c>
      <c r="DM50" s="153" t="str">
        <f t="shared" si="40"/>
        <v>OK</v>
      </c>
      <c r="DN50" s="153" t="str">
        <f t="shared" si="63"/>
        <v>OK</v>
      </c>
      <c r="DO50" s="154" t="str">
        <f t="shared" si="64"/>
        <v>OK</v>
      </c>
      <c r="DP50" s="153" t="str">
        <f t="shared" si="41"/>
        <v>OK</v>
      </c>
      <c r="DQ50" s="313" t="str">
        <f t="shared" si="42"/>
        <v>OK</v>
      </c>
      <c r="DR50" s="153" t="str">
        <f t="shared" si="65"/>
        <v>OK</v>
      </c>
      <c r="DS50" s="153" t="str">
        <f t="shared" si="43"/>
        <v>OK</v>
      </c>
      <c r="DT50" s="313" t="str">
        <f t="shared" si="73"/>
        <v>OK</v>
      </c>
      <c r="DU50" s="153" t="str">
        <f t="shared" si="45"/>
        <v>OK</v>
      </c>
      <c r="DV50" s="153" t="str">
        <f t="shared" si="66"/>
        <v>OK</v>
      </c>
      <c r="DW50" s="154" t="str">
        <f t="shared" si="67"/>
        <v>OK</v>
      </c>
      <c r="DX50" s="157">
        <f t="shared" si="68"/>
        <v>0</v>
      </c>
      <c r="DY50" s="156" t="str">
        <f t="shared" si="69"/>
        <v>OK</v>
      </c>
    </row>
    <row r="51" spans="1:129" ht="13" hidden="1" x14ac:dyDescent="0.3">
      <c r="A51" s="333"/>
      <c r="B51" s="333"/>
      <c r="C51" s="331" t="str">
        <f t="shared" si="46"/>
        <v>-</v>
      </c>
      <c r="D51" s="584">
        <v>28</v>
      </c>
      <c r="E51" s="585"/>
      <c r="F51" s="586"/>
      <c r="G51" s="600"/>
      <c r="H51" s="587"/>
      <c r="I51" s="601"/>
      <c r="J51" s="585"/>
      <c r="K51" s="617"/>
      <c r="L51" s="602"/>
      <c r="M51" s="603"/>
      <c r="N51" s="588"/>
      <c r="O51" s="604"/>
      <c r="P51" s="605"/>
      <c r="Q51" s="588"/>
      <c r="R51" s="604"/>
      <c r="S51" s="605"/>
      <c r="T51" s="606"/>
      <c r="U51" s="606"/>
      <c r="V51" s="429" t="str">
        <f t="shared" si="0"/>
        <v/>
      </c>
      <c r="W51" s="430" t="str">
        <f t="shared" si="47"/>
        <v/>
      </c>
      <c r="X51" s="66" t="str">
        <f>IF(AND(ISNUMBER(P51),N51=FixedDim),MAX('Adjustment factors'!$S$16,0.2+0.8*P51),IF(ISTEXT(N51),VLOOKUP(N51,Afactors,2,TRUE),""))</f>
        <v/>
      </c>
      <c r="Y51" s="17" t="str">
        <f>IF(AND(ISNUMBER(S51),Q51=FixedDim),MAX('Adjustment factors'!$S$16,0.2+0.8*S51),IF(ISTEXT(Q51),VLOOKUP(Q51,Afactors,2,TRUE),""))</f>
        <v/>
      </c>
      <c r="Z51" s="297" t="str">
        <f>IF(ISBLANK(T51),"",VLOOKUP(T51,'Adjustment factors'!$R$27:$S$30,2,TRUE))</f>
        <v/>
      </c>
      <c r="AA51" s="297" t="str">
        <f>IF(ISBLANK(U51),"",VLOOKUP(U51,'Adjustment factors'!$R$27:$S$30,2,TRUE))</f>
        <v/>
      </c>
      <c r="AB51" s="480">
        <f t="shared" si="48"/>
        <v>1</v>
      </c>
      <c r="AC51" s="18" t="b">
        <f t="shared" si="1"/>
        <v>0</v>
      </c>
      <c r="AD51" s="18" t="b">
        <f t="shared" si="2"/>
        <v>0</v>
      </c>
      <c r="AE51" s="18" t="b">
        <f t="shared" si="70"/>
        <v>0</v>
      </c>
      <c r="AF51" s="17" t="str">
        <f t="shared" si="3"/>
        <v/>
      </c>
      <c r="AG51" s="18" t="str">
        <f t="shared" si="4"/>
        <v/>
      </c>
      <c r="AH51" s="17" t="str">
        <f t="shared" si="71"/>
        <v/>
      </c>
      <c r="AI51" s="297" t="e">
        <f t="shared" si="49"/>
        <v>#VALUE!</v>
      </c>
      <c r="AJ51" s="79" t="e">
        <f t="shared" si="5"/>
        <v>#VALUE!</v>
      </c>
      <c r="AK51" s="17" t="str">
        <f t="shared" si="72"/>
        <v/>
      </c>
      <c r="AL51" s="80" t="e">
        <f t="shared" si="6"/>
        <v>#VALUE!</v>
      </c>
      <c r="AM51" s="139" t="b">
        <f t="shared" si="7"/>
        <v>1</v>
      </c>
      <c r="AN51" s="139" t="b">
        <f>AND(COUNTA(E51)&gt;0,ISNUMBER(F51),OR(COUNT(G51:H51)=0,COUNT(G51:H51)=2,AND(ISNUMBER(G51),ISNUMBER(VALUE(LEFT(H51,SUM(LEN(H51)-LEN(SUBSTITUTE(H51,{"0","1","2","3","4","5","6","7","8","9","."},"")))))))),ISNUMBER(I51),ISTEXT(J51))</f>
        <v>0</v>
      </c>
      <c r="AO51" s="19" t="b">
        <f t="shared" si="8"/>
        <v>0</v>
      </c>
      <c r="AP51" s="19" t="b">
        <f t="shared" si="9"/>
        <v>1</v>
      </c>
      <c r="AQ51" s="19" t="b">
        <f>IF(AND(COUNTBLANK(E51:J51)=6,OR(AN52:AN$523)),NOT(AN51))</f>
        <v>0</v>
      </c>
      <c r="AR51" s="19" t="str">
        <f t="shared" si="10"/>
        <v/>
      </c>
      <c r="AS51" s="19" t="b">
        <f t="shared" si="11"/>
        <v>1</v>
      </c>
      <c r="AT51" s="19" t="str">
        <f t="shared" si="12"/>
        <v/>
      </c>
      <c r="AU51" s="19" t="b">
        <f t="shared" si="13"/>
        <v>1</v>
      </c>
      <c r="AV51" s="140" t="str">
        <f t="shared" si="50"/>
        <v/>
      </c>
      <c r="AW51" s="19" t="str">
        <f t="shared" si="14"/>
        <v/>
      </c>
      <c r="AX51" s="81">
        <f t="shared" si="15"/>
        <v>0</v>
      </c>
      <c r="AY51" s="81" t="str">
        <f t="shared" si="16"/>
        <v/>
      </c>
      <c r="AZ51" s="307" t="str">
        <f t="shared" si="51"/>
        <v/>
      </c>
      <c r="BA51" s="281" t="str">
        <f t="shared" si="52"/>
        <v/>
      </c>
      <c r="BB51" s="281" t="str">
        <f t="shared" si="53"/>
        <v/>
      </c>
      <c r="BC51" s="953"/>
      <c r="BD51" s="955"/>
      <c r="BE51" s="219" t="str">
        <f t="shared" si="17"/>
        <v>n/a</v>
      </c>
      <c r="BF51" s="215" t="b">
        <f t="shared" si="18"/>
        <v>0</v>
      </c>
      <c r="BG51" s="145" t="b">
        <f t="shared" si="19"/>
        <v>0</v>
      </c>
      <c r="BH51" s="145" t="b">
        <f t="shared" si="20"/>
        <v>0</v>
      </c>
      <c r="BI51" s="216" t="b">
        <f t="shared" si="21"/>
        <v>0</v>
      </c>
      <c r="BJ51" s="215" t="b">
        <f t="shared" si="22"/>
        <v>0</v>
      </c>
      <c r="BK51" s="145" t="b">
        <f t="shared" si="23"/>
        <v>0</v>
      </c>
      <c r="BL51" s="216" t="b">
        <f t="shared" si="24"/>
        <v>0</v>
      </c>
      <c r="BM51" s="217" t="str">
        <f t="shared" si="54"/>
        <v/>
      </c>
      <c r="BN51" s="146" t="str">
        <f t="shared" si="55"/>
        <v/>
      </c>
      <c r="BO51" s="147" t="str">
        <f t="shared" si="56"/>
        <v/>
      </c>
      <c r="BP51" s="148" t="str">
        <f t="shared" si="57"/>
        <v/>
      </c>
      <c r="BT51" s="50">
        <v>28</v>
      </c>
      <c r="BU51" s="50" t="str">
        <f t="shared" si="25"/>
        <v>-</v>
      </c>
      <c r="BW51" s="333"/>
      <c r="BX51" s="333"/>
      <c r="BY51" s="333"/>
      <c r="BZ51" s="333"/>
      <c r="CA51" s="333"/>
      <c r="CB51" s="333"/>
      <c r="CC51" s="333"/>
      <c r="CD51" s="333"/>
      <c r="CE51" s="333"/>
      <c r="CF51" s="333"/>
      <c r="CG51" s="354">
        <f t="shared" si="26"/>
        <v>28</v>
      </c>
      <c r="CH51" s="613">
        <f t="shared" si="27"/>
        <v>0</v>
      </c>
      <c r="CI51" s="613">
        <f t="shared" si="28"/>
        <v>0</v>
      </c>
      <c r="CJ51" s="614" t="str">
        <f t="shared" si="29"/>
        <v/>
      </c>
      <c r="CK51" s="615" t="str">
        <f t="shared" si="30"/>
        <v/>
      </c>
      <c r="CL51" s="610" t="str">
        <f>IF(ISBLANK(H51),"",IF(AND(ISNUMBER(F51),ISNUMBER(G51),ISNUMBER(H51)),ROUND(F51/(H51*G51),2),ROUND(F51/(VALUE(LEFT(H51,SUM(LEN(H51)-LEN(SUBSTITUTE(H51,{"0","1","2","3","4","5","6","7","8","9","."},"")))))*G51),2)))</f>
        <v/>
      </c>
      <c r="CM51" s="616" t="str">
        <f t="shared" si="58"/>
        <v/>
      </c>
      <c r="CN51" s="616" t="str">
        <f>IF(ISNUMBER(P51),MAX('Adjustment factors'!$S$16,(0.2+0.8*P51)),IF(ISTEXT(N51),VLOOKUP(N51,Afactors,2,FALSE),""))</f>
        <v/>
      </c>
      <c r="CO51" s="616" t="str">
        <f>IF(ISNUMBER(S51),MAX('Adjustment factors'!$S$16,0.2+0.8*S51),IF(ISTEXT(Q51),VLOOKUP(Q51,Afactors,2,FALSE),""))</f>
        <v/>
      </c>
      <c r="CP51" s="611" t="str">
        <f t="shared" si="59"/>
        <v/>
      </c>
      <c r="CQ51" s="612" t="str">
        <f t="shared" si="60"/>
        <v/>
      </c>
      <c r="CR51" s="340"/>
      <c r="CS51" s="340"/>
      <c r="CT51" s="340"/>
      <c r="CU51" s="340"/>
      <c r="CV51" s="333"/>
      <c r="CW51" s="333"/>
      <c r="CX51" s="333"/>
      <c r="CY51" s="333"/>
      <c r="DA51" s="313" t="str">
        <f t="shared" si="31"/>
        <v>OK</v>
      </c>
      <c r="DB51" s="313" t="str">
        <f t="shared" si="32"/>
        <v>OK</v>
      </c>
      <c r="DC51" s="313" t="str">
        <f t="shared" si="33"/>
        <v>OK</v>
      </c>
      <c r="DD51" s="313" t="str">
        <f t="shared" si="34"/>
        <v>OK</v>
      </c>
      <c r="DE51" s="153" t="str">
        <f t="shared" si="35"/>
        <v>OK</v>
      </c>
      <c r="DF51" s="314" t="str">
        <f t="shared" si="36"/>
        <v>OK</v>
      </c>
      <c r="DG51" s="482" t="str">
        <f t="shared" si="61"/>
        <v>OK</v>
      </c>
      <c r="DH51" s="482" t="str">
        <f>IF(OR(AND(T51='Adjustment factors'!$R$28,'Class 3, 5-9'!U51='Adjustment factors'!$R$29),AND('Class 3, 5-9'!T51='Adjustment factors'!$R$29,'Class 3, 5-9'!U51='Adjustment factors'!$R$28)),"Invalid combination of adjustment factors",IF(AND(T51=U51,NOT(ISBLANK(T51)),NOT(ISBLANK(U51))),"Same colour factor selected twice","OK"))</f>
        <v>OK</v>
      </c>
      <c r="DI51" s="313" t="str">
        <f t="shared" si="37"/>
        <v>OK</v>
      </c>
      <c r="DJ51" s="153" t="str">
        <f t="shared" si="62"/>
        <v>OK</v>
      </c>
      <c r="DK51" s="153" t="str">
        <f t="shared" si="38"/>
        <v>OK</v>
      </c>
      <c r="DL51" s="313" t="str">
        <f t="shared" si="39"/>
        <v>OK</v>
      </c>
      <c r="DM51" s="153" t="str">
        <f t="shared" si="40"/>
        <v>OK</v>
      </c>
      <c r="DN51" s="153" t="str">
        <f t="shared" si="63"/>
        <v>OK</v>
      </c>
      <c r="DO51" s="154" t="str">
        <f t="shared" si="64"/>
        <v>OK</v>
      </c>
      <c r="DP51" s="153" t="str">
        <f t="shared" si="41"/>
        <v>OK</v>
      </c>
      <c r="DQ51" s="313" t="str">
        <f t="shared" si="42"/>
        <v>OK</v>
      </c>
      <c r="DR51" s="153" t="str">
        <f t="shared" si="65"/>
        <v>OK</v>
      </c>
      <c r="DS51" s="153" t="str">
        <f t="shared" si="43"/>
        <v>OK</v>
      </c>
      <c r="DT51" s="313" t="str">
        <f t="shared" si="73"/>
        <v>OK</v>
      </c>
      <c r="DU51" s="153" t="str">
        <f t="shared" si="45"/>
        <v>OK</v>
      </c>
      <c r="DV51" s="153" t="str">
        <f t="shared" si="66"/>
        <v>OK</v>
      </c>
      <c r="DW51" s="154" t="str">
        <f t="shared" si="67"/>
        <v>OK</v>
      </c>
      <c r="DX51" s="157">
        <f t="shared" si="68"/>
        <v>0</v>
      </c>
      <c r="DY51" s="156" t="str">
        <f t="shared" si="69"/>
        <v>OK</v>
      </c>
    </row>
    <row r="52" spans="1:129" ht="13" hidden="1" x14ac:dyDescent="0.3">
      <c r="A52" s="333"/>
      <c r="B52" s="333"/>
      <c r="C52" s="331" t="str">
        <f t="shared" si="46"/>
        <v>-</v>
      </c>
      <c r="D52" s="584">
        <v>29</v>
      </c>
      <c r="E52" s="585"/>
      <c r="F52" s="586"/>
      <c r="G52" s="600"/>
      <c r="H52" s="587"/>
      <c r="I52" s="601"/>
      <c r="J52" s="585"/>
      <c r="K52" s="617"/>
      <c r="L52" s="602"/>
      <c r="M52" s="603"/>
      <c r="N52" s="588"/>
      <c r="O52" s="604"/>
      <c r="P52" s="605"/>
      <c r="Q52" s="588"/>
      <c r="R52" s="604"/>
      <c r="S52" s="605"/>
      <c r="T52" s="606"/>
      <c r="U52" s="606"/>
      <c r="V52" s="429" t="str">
        <f t="shared" si="0"/>
        <v/>
      </c>
      <c r="W52" s="430" t="str">
        <f t="shared" si="47"/>
        <v/>
      </c>
      <c r="X52" s="66" t="str">
        <f>IF(AND(ISNUMBER(P52),N52=FixedDim),MAX('Adjustment factors'!$S$16,0.2+0.8*P52),IF(ISTEXT(N52),VLOOKUP(N52,Afactors,2,TRUE),""))</f>
        <v/>
      </c>
      <c r="Y52" s="17" t="str">
        <f>IF(AND(ISNUMBER(S52),Q52=FixedDim),MAX('Adjustment factors'!$S$16,0.2+0.8*S52),IF(ISTEXT(Q52),VLOOKUP(Q52,Afactors,2,TRUE),""))</f>
        <v/>
      </c>
      <c r="Z52" s="297" t="str">
        <f>IF(ISBLANK(T52),"",VLOOKUP(T52,'Adjustment factors'!$R$27:$S$30,2,TRUE))</f>
        <v/>
      </c>
      <c r="AA52" s="297" t="str">
        <f>IF(ISBLANK(U52),"",VLOOKUP(U52,'Adjustment factors'!$R$27:$S$30,2,TRUE))</f>
        <v/>
      </c>
      <c r="AB52" s="480">
        <f t="shared" si="48"/>
        <v>1</v>
      </c>
      <c r="AC52" s="18" t="b">
        <f t="shared" si="1"/>
        <v>0</v>
      </c>
      <c r="AD52" s="18" t="b">
        <f t="shared" si="2"/>
        <v>0</v>
      </c>
      <c r="AE52" s="18" t="b">
        <f t="shared" si="70"/>
        <v>0</v>
      </c>
      <c r="AF52" s="17" t="str">
        <f t="shared" si="3"/>
        <v/>
      </c>
      <c r="AG52" s="18" t="str">
        <f t="shared" si="4"/>
        <v/>
      </c>
      <c r="AH52" s="17" t="str">
        <f t="shared" si="71"/>
        <v/>
      </c>
      <c r="AI52" s="297" t="e">
        <f t="shared" si="49"/>
        <v>#VALUE!</v>
      </c>
      <c r="AJ52" s="79" t="e">
        <f t="shared" si="5"/>
        <v>#VALUE!</v>
      </c>
      <c r="AK52" s="17" t="str">
        <f t="shared" si="72"/>
        <v/>
      </c>
      <c r="AL52" s="80" t="e">
        <f t="shared" si="6"/>
        <v>#VALUE!</v>
      </c>
      <c r="AM52" s="139" t="b">
        <f t="shared" si="7"/>
        <v>1</v>
      </c>
      <c r="AN52" s="139" t="b">
        <f>AND(COUNTA(E52)&gt;0,ISNUMBER(F52),OR(COUNT(G52:H52)=0,COUNT(G52:H52)=2,AND(ISNUMBER(G52),ISNUMBER(VALUE(LEFT(H52,SUM(LEN(H52)-LEN(SUBSTITUTE(H52,{"0","1","2","3","4","5","6","7","8","9","."},"")))))))),ISNUMBER(I52),ISTEXT(J52))</f>
        <v>0</v>
      </c>
      <c r="AO52" s="19" t="b">
        <f t="shared" si="8"/>
        <v>0</v>
      </c>
      <c r="AP52" s="19" t="b">
        <f t="shared" si="9"/>
        <v>1</v>
      </c>
      <c r="AQ52" s="19" t="b">
        <f>IF(AND(COUNTBLANK(E52:J52)=6,OR(AN53:AN$523)),NOT(AN52))</f>
        <v>0</v>
      </c>
      <c r="AR52" s="19" t="str">
        <f t="shared" si="10"/>
        <v/>
      </c>
      <c r="AS52" s="19" t="b">
        <f t="shared" si="11"/>
        <v>1</v>
      </c>
      <c r="AT52" s="19" t="str">
        <f t="shared" si="12"/>
        <v/>
      </c>
      <c r="AU52" s="19" t="b">
        <f t="shared" si="13"/>
        <v>1</v>
      </c>
      <c r="AV52" s="140" t="str">
        <f t="shared" si="50"/>
        <v/>
      </c>
      <c r="AW52" s="19" t="str">
        <f t="shared" si="14"/>
        <v/>
      </c>
      <c r="AX52" s="81">
        <f t="shared" si="15"/>
        <v>0</v>
      </c>
      <c r="AY52" s="81" t="str">
        <f t="shared" si="16"/>
        <v/>
      </c>
      <c r="AZ52" s="307" t="str">
        <f t="shared" si="51"/>
        <v/>
      </c>
      <c r="BA52" s="281" t="str">
        <f t="shared" si="52"/>
        <v/>
      </c>
      <c r="BB52" s="281" t="str">
        <f t="shared" si="53"/>
        <v/>
      </c>
      <c r="BC52" s="953"/>
      <c r="BD52" s="955"/>
      <c r="BE52" s="219" t="str">
        <f t="shared" si="17"/>
        <v>n/a</v>
      </c>
      <c r="BF52" s="215" t="b">
        <f t="shared" si="18"/>
        <v>0</v>
      </c>
      <c r="BG52" s="145" t="b">
        <f t="shared" si="19"/>
        <v>0</v>
      </c>
      <c r="BH52" s="145" t="b">
        <f t="shared" si="20"/>
        <v>0</v>
      </c>
      <c r="BI52" s="216" t="b">
        <f t="shared" si="21"/>
        <v>0</v>
      </c>
      <c r="BJ52" s="215" t="b">
        <f t="shared" si="22"/>
        <v>0</v>
      </c>
      <c r="BK52" s="145" t="b">
        <f t="shared" si="23"/>
        <v>0</v>
      </c>
      <c r="BL52" s="216" t="b">
        <f t="shared" si="24"/>
        <v>0</v>
      </c>
      <c r="BM52" s="217" t="str">
        <f t="shared" si="54"/>
        <v/>
      </c>
      <c r="BN52" s="146" t="str">
        <f t="shared" si="55"/>
        <v/>
      </c>
      <c r="BO52" s="147" t="str">
        <f t="shared" si="56"/>
        <v/>
      </c>
      <c r="BP52" s="148" t="str">
        <f t="shared" si="57"/>
        <v/>
      </c>
      <c r="BT52" s="50">
        <v>29</v>
      </c>
      <c r="BU52" s="50" t="str">
        <f t="shared" si="25"/>
        <v>-</v>
      </c>
      <c r="BW52" s="333"/>
      <c r="BX52" s="333"/>
      <c r="BY52" s="333"/>
      <c r="BZ52" s="333"/>
      <c r="CA52" s="333"/>
      <c r="CB52" s="333"/>
      <c r="CC52" s="333"/>
      <c r="CD52" s="333"/>
      <c r="CE52" s="333"/>
      <c r="CF52" s="333"/>
      <c r="CG52" s="354">
        <f t="shared" si="26"/>
        <v>29</v>
      </c>
      <c r="CH52" s="613">
        <f t="shared" si="27"/>
        <v>0</v>
      </c>
      <c r="CI52" s="613">
        <f t="shared" si="28"/>
        <v>0</v>
      </c>
      <c r="CJ52" s="614" t="str">
        <f t="shared" si="29"/>
        <v/>
      </c>
      <c r="CK52" s="615" t="str">
        <f t="shared" si="30"/>
        <v/>
      </c>
      <c r="CL52" s="610" t="str">
        <f>IF(ISBLANK(H52),"",IF(AND(ISNUMBER(F52),ISNUMBER(G52),ISNUMBER(H52)),ROUND(F52/(H52*G52),2),ROUND(F52/(VALUE(LEFT(H52,SUM(LEN(H52)-LEN(SUBSTITUTE(H52,{"0","1","2","3","4","5","6","7","8","9","."},"")))))*G52),2)))</f>
        <v/>
      </c>
      <c r="CM52" s="616" t="str">
        <f t="shared" si="58"/>
        <v/>
      </c>
      <c r="CN52" s="616" t="str">
        <f>IF(ISNUMBER(P52),MAX('Adjustment factors'!$S$16,(0.2+0.8*P52)),IF(ISTEXT(N52),VLOOKUP(N52,Afactors,2,FALSE),""))</f>
        <v/>
      </c>
      <c r="CO52" s="616" t="str">
        <f>IF(ISNUMBER(S52),MAX('Adjustment factors'!$S$16,0.2+0.8*S52),IF(ISTEXT(Q52),VLOOKUP(Q52,Afactors,2,FALSE),""))</f>
        <v/>
      </c>
      <c r="CP52" s="611" t="str">
        <f t="shared" si="59"/>
        <v/>
      </c>
      <c r="CQ52" s="612" t="str">
        <f t="shared" si="60"/>
        <v/>
      </c>
      <c r="CR52" s="340"/>
      <c r="CS52" s="340"/>
      <c r="CT52" s="340"/>
      <c r="CU52" s="340"/>
      <c r="CV52" s="333"/>
      <c r="CW52" s="333"/>
      <c r="CX52" s="333"/>
      <c r="CY52" s="333"/>
      <c r="DA52" s="313" t="str">
        <f t="shared" si="31"/>
        <v>OK</v>
      </c>
      <c r="DB52" s="313" t="str">
        <f t="shared" si="32"/>
        <v>OK</v>
      </c>
      <c r="DC52" s="313" t="str">
        <f t="shared" si="33"/>
        <v>OK</v>
      </c>
      <c r="DD52" s="313" t="str">
        <f t="shared" si="34"/>
        <v>OK</v>
      </c>
      <c r="DE52" s="153" t="str">
        <f t="shared" si="35"/>
        <v>OK</v>
      </c>
      <c r="DF52" s="314" t="str">
        <f t="shared" si="36"/>
        <v>OK</v>
      </c>
      <c r="DG52" s="482" t="str">
        <f t="shared" si="61"/>
        <v>OK</v>
      </c>
      <c r="DH52" s="482" t="str">
        <f>IF(OR(AND(T52='Adjustment factors'!$R$28,'Class 3, 5-9'!U52='Adjustment factors'!$R$29),AND('Class 3, 5-9'!T52='Adjustment factors'!$R$29,'Class 3, 5-9'!U52='Adjustment factors'!$R$28)),"Invalid combination of adjustment factors",IF(AND(T52=U52,NOT(ISBLANK(T52)),NOT(ISBLANK(U52))),"Same colour factor selected twice","OK"))</f>
        <v>OK</v>
      </c>
      <c r="DI52" s="313" t="str">
        <f t="shared" si="37"/>
        <v>OK</v>
      </c>
      <c r="DJ52" s="153" t="str">
        <f t="shared" si="62"/>
        <v>OK</v>
      </c>
      <c r="DK52" s="153" t="str">
        <f t="shared" si="38"/>
        <v>OK</v>
      </c>
      <c r="DL52" s="313" t="str">
        <f t="shared" si="39"/>
        <v>OK</v>
      </c>
      <c r="DM52" s="153" t="str">
        <f t="shared" si="40"/>
        <v>OK</v>
      </c>
      <c r="DN52" s="153" t="str">
        <f t="shared" si="63"/>
        <v>OK</v>
      </c>
      <c r="DO52" s="154" t="str">
        <f t="shared" si="64"/>
        <v>OK</v>
      </c>
      <c r="DP52" s="153" t="str">
        <f t="shared" si="41"/>
        <v>OK</v>
      </c>
      <c r="DQ52" s="313" t="str">
        <f t="shared" si="42"/>
        <v>OK</v>
      </c>
      <c r="DR52" s="153" t="str">
        <f t="shared" si="65"/>
        <v>OK</v>
      </c>
      <c r="DS52" s="153" t="str">
        <f t="shared" si="43"/>
        <v>OK</v>
      </c>
      <c r="DT52" s="313" t="str">
        <f t="shared" si="73"/>
        <v>OK</v>
      </c>
      <c r="DU52" s="153" t="str">
        <f t="shared" si="45"/>
        <v>OK</v>
      </c>
      <c r="DV52" s="153" t="str">
        <f t="shared" si="66"/>
        <v>OK</v>
      </c>
      <c r="DW52" s="154" t="str">
        <f t="shared" si="67"/>
        <v>OK</v>
      </c>
      <c r="DX52" s="157">
        <f t="shared" si="68"/>
        <v>0</v>
      </c>
      <c r="DY52" s="156" t="str">
        <f t="shared" si="69"/>
        <v>OK</v>
      </c>
    </row>
    <row r="53" spans="1:129" ht="13" hidden="1" x14ac:dyDescent="0.3">
      <c r="A53" s="333"/>
      <c r="B53" s="333"/>
      <c r="C53" s="331" t="str">
        <f t="shared" si="46"/>
        <v>-</v>
      </c>
      <c r="D53" s="584">
        <v>30</v>
      </c>
      <c r="E53" s="585"/>
      <c r="F53" s="586"/>
      <c r="G53" s="600"/>
      <c r="H53" s="587"/>
      <c r="I53" s="601"/>
      <c r="J53" s="585"/>
      <c r="K53" s="617"/>
      <c r="L53" s="602"/>
      <c r="M53" s="603"/>
      <c r="N53" s="588"/>
      <c r="O53" s="604"/>
      <c r="P53" s="605"/>
      <c r="Q53" s="588"/>
      <c r="R53" s="604"/>
      <c r="S53" s="605"/>
      <c r="T53" s="606"/>
      <c r="U53" s="606"/>
      <c r="V53" s="429" t="str">
        <f t="shared" si="0"/>
        <v/>
      </c>
      <c r="W53" s="430" t="str">
        <f t="shared" si="47"/>
        <v/>
      </c>
      <c r="X53" s="66" t="str">
        <f>IF(AND(ISNUMBER(P53),N53=FixedDim),MAX('Adjustment factors'!$S$16,0.2+0.8*P53),IF(ISTEXT(N53),VLOOKUP(N53,Afactors,2,TRUE),""))</f>
        <v/>
      </c>
      <c r="Y53" s="17" t="str">
        <f>IF(AND(ISNUMBER(S53),Q53=FixedDim),MAX('Adjustment factors'!$S$16,0.2+0.8*S53),IF(ISTEXT(Q53),VLOOKUP(Q53,Afactors,2,TRUE),""))</f>
        <v/>
      </c>
      <c r="Z53" s="297" t="str">
        <f>IF(ISBLANK(T53),"",VLOOKUP(T53,'Adjustment factors'!$R$27:$S$30,2,TRUE))</f>
        <v/>
      </c>
      <c r="AA53" s="297" t="str">
        <f>IF(ISBLANK(U53),"",VLOOKUP(U53,'Adjustment factors'!$R$27:$S$30,2,TRUE))</f>
        <v/>
      </c>
      <c r="AB53" s="480">
        <f t="shared" si="48"/>
        <v>1</v>
      </c>
      <c r="AC53" s="18" t="b">
        <f t="shared" si="1"/>
        <v>0</v>
      </c>
      <c r="AD53" s="18" t="b">
        <f t="shared" si="2"/>
        <v>0</v>
      </c>
      <c r="AE53" s="18" t="b">
        <f t="shared" si="70"/>
        <v>0</v>
      </c>
      <c r="AF53" s="17" t="str">
        <f t="shared" si="3"/>
        <v/>
      </c>
      <c r="AG53" s="18" t="str">
        <f t="shared" si="4"/>
        <v/>
      </c>
      <c r="AH53" s="17" t="str">
        <f t="shared" si="71"/>
        <v/>
      </c>
      <c r="AI53" s="297" t="e">
        <f t="shared" si="49"/>
        <v>#VALUE!</v>
      </c>
      <c r="AJ53" s="79" t="e">
        <f t="shared" si="5"/>
        <v>#VALUE!</v>
      </c>
      <c r="AK53" s="17" t="str">
        <f t="shared" si="72"/>
        <v/>
      </c>
      <c r="AL53" s="80" t="e">
        <f t="shared" si="6"/>
        <v>#VALUE!</v>
      </c>
      <c r="AM53" s="139" t="b">
        <f t="shared" si="7"/>
        <v>1</v>
      </c>
      <c r="AN53" s="139" t="b">
        <f>AND(COUNTA(E53)&gt;0,ISNUMBER(F53),OR(COUNT(G53:H53)=0,COUNT(G53:H53)=2,AND(ISNUMBER(G53),ISNUMBER(VALUE(LEFT(H53,SUM(LEN(H53)-LEN(SUBSTITUTE(H53,{"0","1","2","3","4","5","6","7","8","9","."},"")))))))),ISNUMBER(I53),ISTEXT(J53))</f>
        <v>0</v>
      </c>
      <c r="AO53" s="19" t="b">
        <f t="shared" si="8"/>
        <v>0</v>
      </c>
      <c r="AP53" s="19" t="b">
        <f t="shared" si="9"/>
        <v>1</v>
      </c>
      <c r="AQ53" s="19" t="b">
        <f>IF(AND(COUNTBLANK(E53:J53)=6,OR(AN54:AN$523)),NOT(AN53))</f>
        <v>0</v>
      </c>
      <c r="AR53" s="19" t="str">
        <f t="shared" si="10"/>
        <v/>
      </c>
      <c r="AS53" s="19" t="b">
        <f t="shared" si="11"/>
        <v>1</v>
      </c>
      <c r="AT53" s="19" t="str">
        <f t="shared" si="12"/>
        <v/>
      </c>
      <c r="AU53" s="19" t="b">
        <f t="shared" si="13"/>
        <v>1</v>
      </c>
      <c r="AV53" s="140" t="str">
        <f t="shared" si="50"/>
        <v/>
      </c>
      <c r="AW53" s="19" t="str">
        <f t="shared" si="14"/>
        <v/>
      </c>
      <c r="AX53" s="81">
        <f t="shared" si="15"/>
        <v>0</v>
      </c>
      <c r="AY53" s="81" t="str">
        <f t="shared" si="16"/>
        <v/>
      </c>
      <c r="AZ53" s="307" t="str">
        <f t="shared" si="51"/>
        <v/>
      </c>
      <c r="BA53" s="281" t="str">
        <f t="shared" si="52"/>
        <v/>
      </c>
      <c r="BB53" s="281" t="str">
        <f t="shared" si="53"/>
        <v/>
      </c>
      <c r="BC53" s="953"/>
      <c r="BD53" s="955"/>
      <c r="BE53" s="219" t="str">
        <f t="shared" si="17"/>
        <v>n/a</v>
      </c>
      <c r="BF53" s="215" t="b">
        <f t="shared" si="18"/>
        <v>0</v>
      </c>
      <c r="BG53" s="145" t="b">
        <f t="shared" si="19"/>
        <v>0</v>
      </c>
      <c r="BH53" s="145" t="b">
        <f t="shared" si="20"/>
        <v>0</v>
      </c>
      <c r="BI53" s="216" t="b">
        <f t="shared" si="21"/>
        <v>0</v>
      </c>
      <c r="BJ53" s="215" t="b">
        <f t="shared" si="22"/>
        <v>0</v>
      </c>
      <c r="BK53" s="145" t="b">
        <f t="shared" si="23"/>
        <v>0</v>
      </c>
      <c r="BL53" s="216" t="b">
        <f t="shared" si="24"/>
        <v>0</v>
      </c>
      <c r="BM53" s="217" t="str">
        <f t="shared" si="54"/>
        <v/>
      </c>
      <c r="BN53" s="146" t="str">
        <f t="shared" si="55"/>
        <v/>
      </c>
      <c r="BO53" s="147" t="str">
        <f t="shared" si="56"/>
        <v/>
      </c>
      <c r="BP53" s="148" t="str">
        <f t="shared" si="57"/>
        <v/>
      </c>
      <c r="BT53" s="50">
        <v>30</v>
      </c>
      <c r="BU53" s="50" t="str">
        <f t="shared" si="25"/>
        <v>-</v>
      </c>
      <c r="BW53" s="333"/>
      <c r="BX53" s="333"/>
      <c r="BY53" s="333"/>
      <c r="BZ53" s="333"/>
      <c r="CA53" s="333"/>
      <c r="CB53" s="333"/>
      <c r="CC53" s="333"/>
      <c r="CD53" s="333"/>
      <c r="CE53" s="333"/>
      <c r="CF53" s="333"/>
      <c r="CG53" s="354">
        <f t="shared" si="26"/>
        <v>30</v>
      </c>
      <c r="CH53" s="613">
        <f t="shared" si="27"/>
        <v>0</v>
      </c>
      <c r="CI53" s="613">
        <f t="shared" si="28"/>
        <v>0</v>
      </c>
      <c r="CJ53" s="614" t="str">
        <f t="shared" si="29"/>
        <v/>
      </c>
      <c r="CK53" s="615" t="str">
        <f t="shared" si="30"/>
        <v/>
      </c>
      <c r="CL53" s="610" t="str">
        <f>IF(ISBLANK(H53),"",IF(AND(ISNUMBER(F53),ISNUMBER(G53),ISNUMBER(H53)),ROUND(F53/(H53*G53),2),ROUND(F53/(VALUE(LEFT(H53,SUM(LEN(H53)-LEN(SUBSTITUTE(H53,{"0","1","2","3","4","5","6","7","8","9","."},"")))))*G53),2)))</f>
        <v/>
      </c>
      <c r="CM53" s="616" t="str">
        <f t="shared" si="58"/>
        <v/>
      </c>
      <c r="CN53" s="616" t="str">
        <f>IF(ISNUMBER(P53),MAX('Adjustment factors'!$S$16,(0.2+0.8*P53)),IF(ISTEXT(N53),VLOOKUP(N53,Afactors,2,FALSE),""))</f>
        <v/>
      </c>
      <c r="CO53" s="616" t="str">
        <f>IF(ISNUMBER(S53),MAX('Adjustment factors'!$S$16,0.2+0.8*S53),IF(ISTEXT(Q53),VLOOKUP(Q53,Afactors,2,FALSE),""))</f>
        <v/>
      </c>
      <c r="CP53" s="611" t="str">
        <f t="shared" si="59"/>
        <v/>
      </c>
      <c r="CQ53" s="612" t="str">
        <f t="shared" si="60"/>
        <v/>
      </c>
      <c r="CR53" s="340"/>
      <c r="CS53" s="340"/>
      <c r="CT53" s="340"/>
      <c r="CU53" s="340"/>
      <c r="CV53" s="333"/>
      <c r="CW53" s="333"/>
      <c r="CX53" s="333"/>
      <c r="CY53" s="333"/>
      <c r="DA53" s="313" t="str">
        <f t="shared" si="31"/>
        <v>OK</v>
      </c>
      <c r="DB53" s="313" t="str">
        <f t="shared" si="32"/>
        <v>OK</v>
      </c>
      <c r="DC53" s="313" t="str">
        <f t="shared" si="33"/>
        <v>OK</v>
      </c>
      <c r="DD53" s="313" t="str">
        <f t="shared" si="34"/>
        <v>OK</v>
      </c>
      <c r="DE53" s="153" t="str">
        <f t="shared" si="35"/>
        <v>OK</v>
      </c>
      <c r="DF53" s="314" t="str">
        <f t="shared" si="36"/>
        <v>OK</v>
      </c>
      <c r="DG53" s="482" t="str">
        <f t="shared" si="61"/>
        <v>OK</v>
      </c>
      <c r="DH53" s="482" t="str">
        <f>IF(OR(AND(T53='Adjustment factors'!$R$28,'Class 3, 5-9'!U53='Adjustment factors'!$R$29),AND('Class 3, 5-9'!T53='Adjustment factors'!$R$29,'Class 3, 5-9'!U53='Adjustment factors'!$R$28)),"Invalid combination of adjustment factors",IF(AND(T53=U53,NOT(ISBLANK(T53)),NOT(ISBLANK(U53))),"Same colour factor selected twice","OK"))</f>
        <v>OK</v>
      </c>
      <c r="DI53" s="313" t="str">
        <f t="shared" si="37"/>
        <v>OK</v>
      </c>
      <c r="DJ53" s="153" t="str">
        <f t="shared" si="62"/>
        <v>OK</v>
      </c>
      <c r="DK53" s="153" t="str">
        <f t="shared" si="38"/>
        <v>OK</v>
      </c>
      <c r="DL53" s="313" t="str">
        <f t="shared" si="39"/>
        <v>OK</v>
      </c>
      <c r="DM53" s="153" t="str">
        <f t="shared" si="40"/>
        <v>OK</v>
      </c>
      <c r="DN53" s="153" t="str">
        <f t="shared" si="63"/>
        <v>OK</v>
      </c>
      <c r="DO53" s="154" t="str">
        <f t="shared" si="64"/>
        <v>OK</v>
      </c>
      <c r="DP53" s="153" t="str">
        <f t="shared" si="41"/>
        <v>OK</v>
      </c>
      <c r="DQ53" s="313" t="str">
        <f t="shared" si="42"/>
        <v>OK</v>
      </c>
      <c r="DR53" s="153" t="str">
        <f t="shared" si="65"/>
        <v>OK</v>
      </c>
      <c r="DS53" s="153" t="str">
        <f t="shared" si="43"/>
        <v>OK</v>
      </c>
      <c r="DT53" s="313" t="str">
        <f t="shared" si="73"/>
        <v>OK</v>
      </c>
      <c r="DU53" s="153" t="str">
        <f t="shared" si="45"/>
        <v>OK</v>
      </c>
      <c r="DV53" s="153" t="str">
        <f t="shared" si="66"/>
        <v>OK</v>
      </c>
      <c r="DW53" s="154" t="str">
        <f t="shared" si="67"/>
        <v>OK</v>
      </c>
      <c r="DX53" s="157">
        <f t="shared" si="68"/>
        <v>0</v>
      </c>
      <c r="DY53" s="156" t="str">
        <f t="shared" si="69"/>
        <v>OK</v>
      </c>
    </row>
    <row r="54" spans="1:129" ht="13" hidden="1" x14ac:dyDescent="0.3">
      <c r="A54" s="333"/>
      <c r="B54" s="333"/>
      <c r="C54" s="331" t="str">
        <f t="shared" si="46"/>
        <v>-</v>
      </c>
      <c r="D54" s="584">
        <v>31</v>
      </c>
      <c r="E54" s="585"/>
      <c r="F54" s="586"/>
      <c r="G54" s="600"/>
      <c r="H54" s="587"/>
      <c r="I54" s="601"/>
      <c r="J54" s="585"/>
      <c r="K54" s="617"/>
      <c r="L54" s="602"/>
      <c r="M54" s="603"/>
      <c r="N54" s="588"/>
      <c r="O54" s="604"/>
      <c r="P54" s="605"/>
      <c r="Q54" s="588"/>
      <c r="R54" s="604"/>
      <c r="S54" s="605"/>
      <c r="T54" s="606"/>
      <c r="U54" s="606"/>
      <c r="V54" s="429" t="str">
        <f t="shared" si="0"/>
        <v/>
      </c>
      <c r="W54" s="430" t="str">
        <f t="shared" si="47"/>
        <v/>
      </c>
      <c r="X54" s="66" t="str">
        <f>IF(AND(ISNUMBER(P54),N54=FixedDim),MAX('Adjustment factors'!$S$16,0.2+0.8*P54),IF(ISTEXT(N54),VLOOKUP(N54,Afactors,2,TRUE),""))</f>
        <v/>
      </c>
      <c r="Y54" s="17" t="str">
        <f>IF(AND(ISNUMBER(S54),Q54=FixedDim),MAX('Adjustment factors'!$S$16,0.2+0.8*S54),IF(ISTEXT(Q54),VLOOKUP(Q54,Afactors,2,TRUE),""))</f>
        <v/>
      </c>
      <c r="Z54" s="297" t="str">
        <f>IF(ISBLANK(T54),"",VLOOKUP(T54,'Adjustment factors'!$R$27:$S$30,2,TRUE))</f>
        <v/>
      </c>
      <c r="AA54" s="297" t="str">
        <f>IF(ISBLANK(U54),"",VLOOKUP(U54,'Adjustment factors'!$R$27:$S$30,2,TRUE))</f>
        <v/>
      </c>
      <c r="AB54" s="480">
        <f t="shared" si="48"/>
        <v>1</v>
      </c>
      <c r="AC54" s="18" t="b">
        <f t="shared" si="1"/>
        <v>0</v>
      </c>
      <c r="AD54" s="18" t="b">
        <f t="shared" si="2"/>
        <v>0</v>
      </c>
      <c r="AE54" s="18" t="b">
        <f t="shared" si="70"/>
        <v>0</v>
      </c>
      <c r="AF54" s="17" t="str">
        <f t="shared" si="3"/>
        <v/>
      </c>
      <c r="AG54" s="18" t="str">
        <f t="shared" si="4"/>
        <v/>
      </c>
      <c r="AH54" s="17" t="str">
        <f t="shared" si="71"/>
        <v/>
      </c>
      <c r="AI54" s="297" t="e">
        <f t="shared" si="49"/>
        <v>#VALUE!</v>
      </c>
      <c r="AJ54" s="79" t="e">
        <f t="shared" si="5"/>
        <v>#VALUE!</v>
      </c>
      <c r="AK54" s="17" t="str">
        <f t="shared" si="72"/>
        <v/>
      </c>
      <c r="AL54" s="80" t="e">
        <f t="shared" si="6"/>
        <v>#VALUE!</v>
      </c>
      <c r="AM54" s="139" t="b">
        <f t="shared" si="7"/>
        <v>1</v>
      </c>
      <c r="AN54" s="139" t="b">
        <f>AND(COUNTA(E54)&gt;0,ISNUMBER(F54),OR(COUNT(G54:H54)=0,COUNT(G54:H54)=2,AND(ISNUMBER(G54),ISNUMBER(VALUE(LEFT(H54,SUM(LEN(H54)-LEN(SUBSTITUTE(H54,{"0","1","2","3","4","5","6","7","8","9","."},"")))))))),ISNUMBER(I54),ISTEXT(J54))</f>
        <v>0</v>
      </c>
      <c r="AO54" s="19" t="b">
        <f t="shared" si="8"/>
        <v>0</v>
      </c>
      <c r="AP54" s="19" t="b">
        <f t="shared" si="9"/>
        <v>1</v>
      </c>
      <c r="AQ54" s="19" t="b">
        <f>IF(AND(COUNTBLANK(E54:J54)=6,OR(AN55:AN$523)),NOT(AN54))</f>
        <v>0</v>
      </c>
      <c r="AR54" s="19" t="str">
        <f t="shared" si="10"/>
        <v/>
      </c>
      <c r="AS54" s="19" t="b">
        <f t="shared" si="11"/>
        <v>1</v>
      </c>
      <c r="AT54" s="19" t="str">
        <f t="shared" si="12"/>
        <v/>
      </c>
      <c r="AU54" s="19" t="b">
        <f t="shared" si="13"/>
        <v>1</v>
      </c>
      <c r="AV54" s="140" t="str">
        <f t="shared" si="50"/>
        <v/>
      </c>
      <c r="AW54" s="19" t="str">
        <f t="shared" si="14"/>
        <v/>
      </c>
      <c r="AX54" s="81">
        <f t="shared" si="15"/>
        <v>0</v>
      </c>
      <c r="AY54" s="81" t="str">
        <f t="shared" si="16"/>
        <v/>
      </c>
      <c r="AZ54" s="307" t="str">
        <f t="shared" si="51"/>
        <v/>
      </c>
      <c r="BA54" s="281" t="str">
        <f t="shared" si="52"/>
        <v/>
      </c>
      <c r="BB54" s="281" t="str">
        <f t="shared" si="53"/>
        <v/>
      </c>
      <c r="BC54" s="953"/>
      <c r="BD54" s="955"/>
      <c r="BE54" s="219" t="str">
        <f t="shared" si="17"/>
        <v>n/a</v>
      </c>
      <c r="BF54" s="215" t="b">
        <f t="shared" si="18"/>
        <v>0</v>
      </c>
      <c r="BG54" s="145" t="b">
        <f t="shared" si="19"/>
        <v>0</v>
      </c>
      <c r="BH54" s="145" t="b">
        <f t="shared" si="20"/>
        <v>0</v>
      </c>
      <c r="BI54" s="216" t="b">
        <f t="shared" si="21"/>
        <v>0</v>
      </c>
      <c r="BJ54" s="215" t="b">
        <f t="shared" si="22"/>
        <v>0</v>
      </c>
      <c r="BK54" s="145" t="b">
        <f t="shared" si="23"/>
        <v>0</v>
      </c>
      <c r="BL54" s="216" t="b">
        <f t="shared" si="24"/>
        <v>0</v>
      </c>
      <c r="BM54" s="217" t="str">
        <f t="shared" si="54"/>
        <v/>
      </c>
      <c r="BN54" s="146" t="str">
        <f t="shared" si="55"/>
        <v/>
      </c>
      <c r="BO54" s="147" t="str">
        <f t="shared" si="56"/>
        <v/>
      </c>
      <c r="BP54" s="148" t="str">
        <f t="shared" si="57"/>
        <v/>
      </c>
      <c r="BT54" s="50">
        <v>31</v>
      </c>
      <c r="BU54" s="50" t="str">
        <f t="shared" si="25"/>
        <v>-</v>
      </c>
      <c r="BW54" s="333"/>
      <c r="BX54" s="333"/>
      <c r="BY54" s="333"/>
      <c r="BZ54" s="333"/>
      <c r="CA54" s="333"/>
      <c r="CB54" s="333"/>
      <c r="CC54" s="333"/>
      <c r="CD54" s="333"/>
      <c r="CE54" s="333"/>
      <c r="CF54" s="333"/>
      <c r="CG54" s="354">
        <f t="shared" si="26"/>
        <v>31</v>
      </c>
      <c r="CH54" s="613">
        <f t="shared" si="27"/>
        <v>0</v>
      </c>
      <c r="CI54" s="613">
        <f t="shared" si="28"/>
        <v>0</v>
      </c>
      <c r="CJ54" s="614" t="str">
        <f t="shared" si="29"/>
        <v/>
      </c>
      <c r="CK54" s="615" t="str">
        <f t="shared" si="30"/>
        <v/>
      </c>
      <c r="CL54" s="610" t="str">
        <f>IF(ISBLANK(H54),"",IF(AND(ISNUMBER(F54),ISNUMBER(G54),ISNUMBER(H54)),ROUND(F54/(H54*G54),2),ROUND(F54/(VALUE(LEFT(H54,SUM(LEN(H54)-LEN(SUBSTITUTE(H54,{"0","1","2","3","4","5","6","7","8","9","."},"")))))*G54),2)))</f>
        <v/>
      </c>
      <c r="CM54" s="616" t="str">
        <f t="shared" si="58"/>
        <v/>
      </c>
      <c r="CN54" s="616" t="str">
        <f>IF(ISNUMBER(P54),MAX('Adjustment factors'!$S$16,(0.2+0.8*P54)),IF(ISTEXT(N54),VLOOKUP(N54,Afactors,2,FALSE),""))</f>
        <v/>
      </c>
      <c r="CO54" s="616" t="str">
        <f>IF(ISNUMBER(S54),MAX('Adjustment factors'!$S$16,0.2+0.8*S54),IF(ISTEXT(Q54),VLOOKUP(Q54,Afactors,2,FALSE),""))</f>
        <v/>
      </c>
      <c r="CP54" s="611" t="str">
        <f t="shared" si="59"/>
        <v/>
      </c>
      <c r="CQ54" s="612" t="str">
        <f t="shared" si="60"/>
        <v/>
      </c>
      <c r="CR54" s="340"/>
      <c r="CS54" s="340"/>
      <c r="CT54" s="340"/>
      <c r="CU54" s="340"/>
      <c r="CV54" s="333"/>
      <c r="CW54" s="333"/>
      <c r="CX54" s="333"/>
      <c r="CY54" s="333"/>
      <c r="DA54" s="313" t="str">
        <f t="shared" si="31"/>
        <v>OK</v>
      </c>
      <c r="DB54" s="313" t="str">
        <f t="shared" si="32"/>
        <v>OK</v>
      </c>
      <c r="DC54" s="313" t="str">
        <f t="shared" si="33"/>
        <v>OK</v>
      </c>
      <c r="DD54" s="313" t="str">
        <f t="shared" si="34"/>
        <v>OK</v>
      </c>
      <c r="DE54" s="153" t="str">
        <f t="shared" si="35"/>
        <v>OK</v>
      </c>
      <c r="DF54" s="314" t="str">
        <f t="shared" si="36"/>
        <v>OK</v>
      </c>
      <c r="DG54" s="482" t="str">
        <f t="shared" si="61"/>
        <v>OK</v>
      </c>
      <c r="DH54" s="482" t="str">
        <f>IF(OR(AND(T54='Adjustment factors'!$R$28,'Class 3, 5-9'!U54='Adjustment factors'!$R$29),AND('Class 3, 5-9'!T54='Adjustment factors'!$R$29,'Class 3, 5-9'!U54='Adjustment factors'!$R$28)),"Invalid combination of adjustment factors",IF(AND(T54=U54,NOT(ISBLANK(T54)),NOT(ISBLANK(U54))),"Same colour factor selected twice","OK"))</f>
        <v>OK</v>
      </c>
      <c r="DI54" s="313" t="str">
        <f t="shared" si="37"/>
        <v>OK</v>
      </c>
      <c r="DJ54" s="153" t="str">
        <f t="shared" si="62"/>
        <v>OK</v>
      </c>
      <c r="DK54" s="153" t="str">
        <f t="shared" si="38"/>
        <v>OK</v>
      </c>
      <c r="DL54" s="313" t="str">
        <f t="shared" si="39"/>
        <v>OK</v>
      </c>
      <c r="DM54" s="153" t="str">
        <f t="shared" si="40"/>
        <v>OK</v>
      </c>
      <c r="DN54" s="153" t="str">
        <f t="shared" si="63"/>
        <v>OK</v>
      </c>
      <c r="DO54" s="154" t="str">
        <f t="shared" si="64"/>
        <v>OK</v>
      </c>
      <c r="DP54" s="153" t="str">
        <f t="shared" si="41"/>
        <v>OK</v>
      </c>
      <c r="DQ54" s="313" t="str">
        <f t="shared" si="42"/>
        <v>OK</v>
      </c>
      <c r="DR54" s="153" t="str">
        <f t="shared" si="65"/>
        <v>OK</v>
      </c>
      <c r="DS54" s="153" t="str">
        <f t="shared" si="43"/>
        <v>OK</v>
      </c>
      <c r="DT54" s="313" t="str">
        <f t="shared" si="73"/>
        <v>OK</v>
      </c>
      <c r="DU54" s="153" t="str">
        <f t="shared" si="45"/>
        <v>OK</v>
      </c>
      <c r="DV54" s="153" t="str">
        <f t="shared" si="66"/>
        <v>OK</v>
      </c>
      <c r="DW54" s="154" t="str">
        <f t="shared" si="67"/>
        <v>OK</v>
      </c>
      <c r="DX54" s="157">
        <f t="shared" si="68"/>
        <v>0</v>
      </c>
      <c r="DY54" s="156" t="str">
        <f t="shared" si="69"/>
        <v>OK</v>
      </c>
    </row>
    <row r="55" spans="1:129" ht="13" hidden="1" x14ac:dyDescent="0.3">
      <c r="A55" s="333"/>
      <c r="B55" s="333"/>
      <c r="C55" s="331" t="str">
        <f t="shared" si="46"/>
        <v>-</v>
      </c>
      <c r="D55" s="584">
        <v>32</v>
      </c>
      <c r="E55" s="585"/>
      <c r="F55" s="586"/>
      <c r="G55" s="600"/>
      <c r="H55" s="587"/>
      <c r="I55" s="601"/>
      <c r="J55" s="585"/>
      <c r="K55" s="617"/>
      <c r="L55" s="602"/>
      <c r="M55" s="603"/>
      <c r="N55" s="588"/>
      <c r="O55" s="604"/>
      <c r="P55" s="605"/>
      <c r="Q55" s="588"/>
      <c r="R55" s="604"/>
      <c r="S55" s="605"/>
      <c r="T55" s="606"/>
      <c r="U55" s="606"/>
      <c r="V55" s="429" t="str">
        <f t="shared" si="0"/>
        <v/>
      </c>
      <c r="W55" s="430" t="str">
        <f t="shared" si="47"/>
        <v/>
      </c>
      <c r="X55" s="66" t="str">
        <f>IF(AND(ISNUMBER(P55),N55=FixedDim),MAX('Adjustment factors'!$S$16,0.2+0.8*P55),IF(ISTEXT(N55),VLOOKUP(N55,Afactors,2,TRUE),""))</f>
        <v/>
      </c>
      <c r="Y55" s="17" t="str">
        <f>IF(AND(ISNUMBER(S55),Q55=FixedDim),MAX('Adjustment factors'!$S$16,0.2+0.8*S55),IF(ISTEXT(Q55),VLOOKUP(Q55,Afactors,2,TRUE),""))</f>
        <v/>
      </c>
      <c r="Z55" s="297" t="str">
        <f>IF(ISBLANK(T55),"",VLOOKUP(T55,'Adjustment factors'!$R$27:$S$30,2,TRUE))</f>
        <v/>
      </c>
      <c r="AA55" s="297" t="str">
        <f>IF(ISBLANK(U55),"",VLOOKUP(U55,'Adjustment factors'!$R$27:$S$30,2,TRUE))</f>
        <v/>
      </c>
      <c r="AB55" s="480">
        <f t="shared" si="48"/>
        <v>1</v>
      </c>
      <c r="AC55" s="18" t="b">
        <f t="shared" si="1"/>
        <v>0</v>
      </c>
      <c r="AD55" s="18" t="b">
        <f t="shared" si="2"/>
        <v>0</v>
      </c>
      <c r="AE55" s="18" t="b">
        <f t="shared" si="70"/>
        <v>0</v>
      </c>
      <c r="AF55" s="17" t="str">
        <f t="shared" si="3"/>
        <v/>
      </c>
      <c r="AG55" s="18" t="str">
        <f t="shared" si="4"/>
        <v/>
      </c>
      <c r="AH55" s="17" t="str">
        <f t="shared" si="71"/>
        <v/>
      </c>
      <c r="AI55" s="297" t="e">
        <f t="shared" si="49"/>
        <v>#VALUE!</v>
      </c>
      <c r="AJ55" s="79" t="e">
        <f t="shared" si="5"/>
        <v>#VALUE!</v>
      </c>
      <c r="AK55" s="17" t="str">
        <f t="shared" si="72"/>
        <v/>
      </c>
      <c r="AL55" s="80" t="e">
        <f t="shared" si="6"/>
        <v>#VALUE!</v>
      </c>
      <c r="AM55" s="139" t="b">
        <f t="shared" si="7"/>
        <v>1</v>
      </c>
      <c r="AN55" s="139" t="b">
        <f>AND(COUNTA(E55)&gt;0,ISNUMBER(F55),OR(COUNT(G55:H55)=0,COUNT(G55:H55)=2,AND(ISNUMBER(G55),ISNUMBER(VALUE(LEFT(H55,SUM(LEN(H55)-LEN(SUBSTITUTE(H55,{"0","1","2","3","4","5","6","7","8","9","."},"")))))))),ISNUMBER(I55),ISTEXT(J55))</f>
        <v>0</v>
      </c>
      <c r="AO55" s="19" t="b">
        <f t="shared" si="8"/>
        <v>0</v>
      </c>
      <c r="AP55" s="19" t="b">
        <f t="shared" si="9"/>
        <v>1</v>
      </c>
      <c r="AQ55" s="19" t="b">
        <f>IF(AND(COUNTBLANK(E55:J55)=6,OR(AN56:AN$523)),NOT(AN55))</f>
        <v>0</v>
      </c>
      <c r="AR55" s="19" t="str">
        <f t="shared" si="10"/>
        <v/>
      </c>
      <c r="AS55" s="19" t="b">
        <f t="shared" si="11"/>
        <v>1</v>
      </c>
      <c r="AT55" s="19" t="str">
        <f t="shared" si="12"/>
        <v/>
      </c>
      <c r="AU55" s="19" t="b">
        <f t="shared" si="13"/>
        <v>1</v>
      </c>
      <c r="AV55" s="140" t="str">
        <f t="shared" si="50"/>
        <v/>
      </c>
      <c r="AW55" s="19" t="str">
        <f t="shared" si="14"/>
        <v/>
      </c>
      <c r="AX55" s="81">
        <f t="shared" si="15"/>
        <v>0</v>
      </c>
      <c r="AY55" s="81" t="str">
        <f t="shared" si="16"/>
        <v/>
      </c>
      <c r="AZ55" s="307" t="str">
        <f t="shared" si="51"/>
        <v/>
      </c>
      <c r="BA55" s="281" t="str">
        <f t="shared" si="52"/>
        <v/>
      </c>
      <c r="BB55" s="281" t="str">
        <f t="shared" si="53"/>
        <v/>
      </c>
      <c r="BC55" s="953"/>
      <c r="BD55" s="955"/>
      <c r="BE55" s="219" t="str">
        <f t="shared" si="17"/>
        <v>n/a</v>
      </c>
      <c r="BF55" s="215" t="b">
        <f t="shared" si="18"/>
        <v>0</v>
      </c>
      <c r="BG55" s="145" t="b">
        <f t="shared" si="19"/>
        <v>0</v>
      </c>
      <c r="BH55" s="145" t="b">
        <f t="shared" si="20"/>
        <v>0</v>
      </c>
      <c r="BI55" s="216" t="b">
        <f t="shared" si="21"/>
        <v>0</v>
      </c>
      <c r="BJ55" s="215" t="b">
        <f t="shared" si="22"/>
        <v>0</v>
      </c>
      <c r="BK55" s="145" t="b">
        <f t="shared" si="23"/>
        <v>0</v>
      </c>
      <c r="BL55" s="216" t="b">
        <f t="shared" si="24"/>
        <v>0</v>
      </c>
      <c r="BM55" s="217" t="str">
        <f t="shared" si="54"/>
        <v/>
      </c>
      <c r="BN55" s="146" t="str">
        <f t="shared" si="55"/>
        <v/>
      </c>
      <c r="BO55" s="147" t="str">
        <f t="shared" si="56"/>
        <v/>
      </c>
      <c r="BP55" s="148" t="str">
        <f t="shared" si="57"/>
        <v/>
      </c>
      <c r="BT55" s="50">
        <v>32</v>
      </c>
      <c r="BU55" s="50" t="str">
        <f t="shared" si="25"/>
        <v>-</v>
      </c>
      <c r="BW55" s="333"/>
      <c r="BX55" s="333"/>
      <c r="BY55" s="333"/>
      <c r="BZ55" s="333"/>
      <c r="CA55" s="333"/>
      <c r="CB55" s="333"/>
      <c r="CC55" s="333"/>
      <c r="CD55" s="333"/>
      <c r="CE55" s="333"/>
      <c r="CF55" s="333"/>
      <c r="CG55" s="354">
        <f t="shared" si="26"/>
        <v>32</v>
      </c>
      <c r="CH55" s="613">
        <f t="shared" si="27"/>
        <v>0</v>
      </c>
      <c r="CI55" s="613">
        <f t="shared" si="28"/>
        <v>0</v>
      </c>
      <c r="CJ55" s="614" t="str">
        <f t="shared" si="29"/>
        <v/>
      </c>
      <c r="CK55" s="615" t="str">
        <f t="shared" si="30"/>
        <v/>
      </c>
      <c r="CL55" s="610" t="str">
        <f>IF(ISBLANK(H55),"",IF(AND(ISNUMBER(F55),ISNUMBER(G55),ISNUMBER(H55)),ROUND(F55/(H55*G55),2),ROUND(F55/(VALUE(LEFT(H55,SUM(LEN(H55)-LEN(SUBSTITUTE(H55,{"0","1","2","3","4","5","6","7","8","9","."},"")))))*G55),2)))</f>
        <v/>
      </c>
      <c r="CM55" s="616" t="str">
        <f t="shared" si="58"/>
        <v/>
      </c>
      <c r="CN55" s="616" t="str">
        <f>IF(ISNUMBER(P55),MAX('Adjustment factors'!$S$16,(0.2+0.8*P55)),IF(ISTEXT(N55),VLOOKUP(N55,Afactors,2,FALSE),""))</f>
        <v/>
      </c>
      <c r="CO55" s="616" t="str">
        <f>IF(ISNUMBER(S55),MAX('Adjustment factors'!$S$16,0.2+0.8*S55),IF(ISTEXT(Q55),VLOOKUP(Q55,Afactors,2,FALSE),""))</f>
        <v/>
      </c>
      <c r="CP55" s="611" t="str">
        <f t="shared" si="59"/>
        <v/>
      </c>
      <c r="CQ55" s="612" t="str">
        <f t="shared" si="60"/>
        <v/>
      </c>
      <c r="CR55" s="340"/>
      <c r="CS55" s="340"/>
      <c r="CT55" s="340"/>
      <c r="CU55" s="340"/>
      <c r="CV55" s="333"/>
      <c r="CW55" s="333"/>
      <c r="CX55" s="333"/>
      <c r="CY55" s="333"/>
      <c r="DA55" s="313" t="str">
        <f t="shared" si="31"/>
        <v>OK</v>
      </c>
      <c r="DB55" s="313" t="str">
        <f t="shared" si="32"/>
        <v>OK</v>
      </c>
      <c r="DC55" s="313" t="str">
        <f t="shared" si="33"/>
        <v>OK</v>
      </c>
      <c r="DD55" s="313" t="str">
        <f t="shared" si="34"/>
        <v>OK</v>
      </c>
      <c r="DE55" s="153" t="str">
        <f t="shared" si="35"/>
        <v>OK</v>
      </c>
      <c r="DF55" s="314" t="str">
        <f t="shared" si="36"/>
        <v>OK</v>
      </c>
      <c r="DG55" s="482" t="str">
        <f t="shared" si="61"/>
        <v>OK</v>
      </c>
      <c r="DH55" s="482" t="str">
        <f>IF(OR(AND(T55='Adjustment factors'!$R$28,'Class 3, 5-9'!U55='Adjustment factors'!$R$29),AND('Class 3, 5-9'!T55='Adjustment factors'!$R$29,'Class 3, 5-9'!U55='Adjustment factors'!$R$28)),"Invalid combination of adjustment factors",IF(AND(T55=U55,NOT(ISBLANK(T55)),NOT(ISBLANK(U55))),"Same colour factor selected twice","OK"))</f>
        <v>OK</v>
      </c>
      <c r="DI55" s="313" t="str">
        <f t="shared" si="37"/>
        <v>OK</v>
      </c>
      <c r="DJ55" s="153" t="str">
        <f t="shared" si="62"/>
        <v>OK</v>
      </c>
      <c r="DK55" s="153" t="str">
        <f t="shared" si="38"/>
        <v>OK</v>
      </c>
      <c r="DL55" s="313" t="str">
        <f t="shared" si="39"/>
        <v>OK</v>
      </c>
      <c r="DM55" s="153" t="str">
        <f t="shared" si="40"/>
        <v>OK</v>
      </c>
      <c r="DN55" s="153" t="str">
        <f t="shared" si="63"/>
        <v>OK</v>
      </c>
      <c r="DO55" s="154" t="str">
        <f t="shared" si="64"/>
        <v>OK</v>
      </c>
      <c r="DP55" s="153" t="str">
        <f t="shared" si="41"/>
        <v>OK</v>
      </c>
      <c r="DQ55" s="313" t="str">
        <f t="shared" si="42"/>
        <v>OK</v>
      </c>
      <c r="DR55" s="153" t="str">
        <f t="shared" si="65"/>
        <v>OK</v>
      </c>
      <c r="DS55" s="153" t="str">
        <f t="shared" si="43"/>
        <v>OK</v>
      </c>
      <c r="DT55" s="313" t="str">
        <f t="shared" si="73"/>
        <v>OK</v>
      </c>
      <c r="DU55" s="153" t="str">
        <f t="shared" si="45"/>
        <v>OK</v>
      </c>
      <c r="DV55" s="153" t="str">
        <f t="shared" si="66"/>
        <v>OK</v>
      </c>
      <c r="DW55" s="154" t="str">
        <f t="shared" si="67"/>
        <v>OK</v>
      </c>
      <c r="DX55" s="157">
        <f t="shared" si="68"/>
        <v>0</v>
      </c>
      <c r="DY55" s="156" t="str">
        <f t="shared" si="69"/>
        <v>OK</v>
      </c>
    </row>
    <row r="56" spans="1:129" ht="13" hidden="1" x14ac:dyDescent="0.3">
      <c r="A56" s="333"/>
      <c r="B56" s="333"/>
      <c r="C56" s="331" t="str">
        <f t="shared" si="46"/>
        <v>-</v>
      </c>
      <c r="D56" s="584">
        <v>33</v>
      </c>
      <c r="E56" s="585"/>
      <c r="F56" s="586"/>
      <c r="G56" s="600"/>
      <c r="H56" s="587"/>
      <c r="I56" s="601"/>
      <c r="J56" s="585"/>
      <c r="K56" s="617"/>
      <c r="L56" s="602"/>
      <c r="M56" s="603"/>
      <c r="N56" s="588"/>
      <c r="O56" s="604"/>
      <c r="P56" s="605"/>
      <c r="Q56" s="588"/>
      <c r="R56" s="604"/>
      <c r="S56" s="605"/>
      <c r="T56" s="606"/>
      <c r="U56" s="606"/>
      <c r="V56" s="429" t="str">
        <f t="shared" si="0"/>
        <v/>
      </c>
      <c r="W56" s="430" t="str">
        <f t="shared" si="47"/>
        <v/>
      </c>
      <c r="X56" s="66" t="str">
        <f>IF(AND(ISNUMBER(P56),N56=FixedDim),MAX('Adjustment factors'!$S$16,0.2+0.8*P56),IF(ISTEXT(N56),VLOOKUP(N56,Afactors,2,TRUE),""))</f>
        <v/>
      </c>
      <c r="Y56" s="17" t="str">
        <f>IF(AND(ISNUMBER(S56),Q56=FixedDim),MAX('Adjustment factors'!$S$16,0.2+0.8*S56),IF(ISTEXT(Q56),VLOOKUP(Q56,Afactors,2,TRUE),""))</f>
        <v/>
      </c>
      <c r="Z56" s="297" t="str">
        <f>IF(ISBLANK(T56),"",VLOOKUP(T56,'Adjustment factors'!$R$27:$S$30,2,TRUE))</f>
        <v/>
      </c>
      <c r="AA56" s="297" t="str">
        <f>IF(ISBLANK(U56),"",VLOOKUP(U56,'Adjustment factors'!$R$27:$S$30,2,TRUE))</f>
        <v/>
      </c>
      <c r="AB56" s="480">
        <f t="shared" si="48"/>
        <v>1</v>
      </c>
      <c r="AC56" s="18" t="b">
        <f t="shared" si="1"/>
        <v>0</v>
      </c>
      <c r="AD56" s="18" t="b">
        <f t="shared" si="2"/>
        <v>0</v>
      </c>
      <c r="AE56" s="18" t="b">
        <f t="shared" si="70"/>
        <v>0</v>
      </c>
      <c r="AF56" s="17" t="str">
        <f t="shared" si="3"/>
        <v/>
      </c>
      <c r="AG56" s="18" t="str">
        <f t="shared" si="4"/>
        <v/>
      </c>
      <c r="AH56" s="17" t="str">
        <f t="shared" si="71"/>
        <v/>
      </c>
      <c r="AI56" s="297" t="e">
        <f t="shared" si="49"/>
        <v>#VALUE!</v>
      </c>
      <c r="AJ56" s="79" t="e">
        <f t="shared" si="5"/>
        <v>#VALUE!</v>
      </c>
      <c r="AK56" s="17" t="str">
        <f t="shared" si="72"/>
        <v/>
      </c>
      <c r="AL56" s="80" t="e">
        <f t="shared" si="6"/>
        <v>#VALUE!</v>
      </c>
      <c r="AM56" s="139" t="b">
        <f t="shared" si="7"/>
        <v>1</v>
      </c>
      <c r="AN56" s="139" t="b">
        <f>AND(COUNTA(E56)&gt;0,ISNUMBER(F56),OR(COUNT(G56:H56)=0,COUNT(G56:H56)=2,AND(ISNUMBER(G56),ISNUMBER(VALUE(LEFT(H56,SUM(LEN(H56)-LEN(SUBSTITUTE(H56,{"0","1","2","3","4","5","6","7","8","9","."},"")))))))),ISNUMBER(I56),ISTEXT(J56))</f>
        <v>0</v>
      </c>
      <c r="AO56" s="19" t="b">
        <f t="shared" si="8"/>
        <v>0</v>
      </c>
      <c r="AP56" s="19" t="b">
        <f t="shared" si="9"/>
        <v>1</v>
      </c>
      <c r="AQ56" s="19" t="b">
        <f>IF(AND(COUNTBLANK(E56:J56)=6,OR(AN57:AN$523)),NOT(AN56))</f>
        <v>0</v>
      </c>
      <c r="AR56" s="19" t="str">
        <f t="shared" si="10"/>
        <v/>
      </c>
      <c r="AS56" s="19" t="b">
        <f t="shared" si="11"/>
        <v>1</v>
      </c>
      <c r="AT56" s="19" t="str">
        <f t="shared" si="12"/>
        <v/>
      </c>
      <c r="AU56" s="19" t="b">
        <f t="shared" si="13"/>
        <v>1</v>
      </c>
      <c r="AV56" s="140" t="str">
        <f t="shared" si="50"/>
        <v/>
      </c>
      <c r="AW56" s="19" t="str">
        <f t="shared" si="14"/>
        <v/>
      </c>
      <c r="AX56" s="81">
        <f t="shared" si="15"/>
        <v>0</v>
      </c>
      <c r="AY56" s="81" t="str">
        <f t="shared" si="16"/>
        <v/>
      </c>
      <c r="AZ56" s="307" t="str">
        <f t="shared" si="51"/>
        <v/>
      </c>
      <c r="BA56" s="281" t="str">
        <f t="shared" si="52"/>
        <v/>
      </c>
      <c r="BB56" s="281" t="str">
        <f t="shared" si="53"/>
        <v/>
      </c>
      <c r="BC56" s="953"/>
      <c r="BD56" s="955"/>
      <c r="BE56" s="219" t="str">
        <f t="shared" si="17"/>
        <v>n/a</v>
      </c>
      <c r="BF56" s="215" t="b">
        <f t="shared" si="18"/>
        <v>0</v>
      </c>
      <c r="BG56" s="145" t="b">
        <f t="shared" si="19"/>
        <v>0</v>
      </c>
      <c r="BH56" s="145" t="b">
        <f t="shared" si="20"/>
        <v>0</v>
      </c>
      <c r="BI56" s="216" t="b">
        <f t="shared" si="21"/>
        <v>0</v>
      </c>
      <c r="BJ56" s="215" t="b">
        <f t="shared" ref="BJ56:BJ87" si="74">AND(AM56,AN56,AR56,AT56,Passcheck,InputIssuesOne=0,TopInputsOKOne)</f>
        <v>0</v>
      </c>
      <c r="BK56" s="145" t="b">
        <f t="shared" ref="BK56:BK87" si="75">AND(AM56,AN56,AR56,AT56,FailCheck,InputIssuesOne=0,TopInputsOKOne)</f>
        <v>0</v>
      </c>
      <c r="BL56" s="216" t="b">
        <f t="shared" ref="BL56:BL87" si="76">DX56&gt;0</f>
        <v>0</v>
      </c>
      <c r="BM56" s="217" t="str">
        <f t="shared" si="54"/>
        <v/>
      </c>
      <c r="BN56" s="146" t="str">
        <f t="shared" si="55"/>
        <v/>
      </c>
      <c r="BO56" s="147" t="str">
        <f t="shared" si="56"/>
        <v/>
      </c>
      <c r="BP56" s="148" t="str">
        <f t="shared" si="57"/>
        <v/>
      </c>
      <c r="BT56" s="50">
        <v>33</v>
      </c>
      <c r="BU56" s="50" t="str">
        <f t="shared" si="25"/>
        <v>-</v>
      </c>
      <c r="BW56" s="333"/>
      <c r="BX56" s="333"/>
      <c r="BY56" s="333"/>
      <c r="BZ56" s="333"/>
      <c r="CA56" s="333"/>
      <c r="CB56" s="333"/>
      <c r="CC56" s="333"/>
      <c r="CD56" s="333"/>
      <c r="CE56" s="333"/>
      <c r="CF56" s="333"/>
      <c r="CG56" s="354">
        <f t="shared" si="26"/>
        <v>33</v>
      </c>
      <c r="CH56" s="613">
        <f t="shared" si="27"/>
        <v>0</v>
      </c>
      <c r="CI56" s="613">
        <f t="shared" si="28"/>
        <v>0</v>
      </c>
      <c r="CJ56" s="614" t="str">
        <f t="shared" si="29"/>
        <v/>
      </c>
      <c r="CK56" s="615" t="str">
        <f t="shared" si="30"/>
        <v/>
      </c>
      <c r="CL56" s="610" t="str">
        <f>IF(ISBLANK(H56),"",IF(AND(ISNUMBER(F56),ISNUMBER(G56),ISNUMBER(H56)),ROUND(F56/(H56*G56),2),ROUND(F56/(VALUE(LEFT(H56,SUM(LEN(H56)-LEN(SUBSTITUTE(H56,{"0","1","2","3","4","5","6","7","8","9","."},"")))))*G56),2)))</f>
        <v/>
      </c>
      <c r="CM56" s="616" t="str">
        <f t="shared" si="58"/>
        <v/>
      </c>
      <c r="CN56" s="616" t="str">
        <f>IF(ISNUMBER(P56),MAX('Adjustment factors'!$S$16,(0.2+0.8*P56)),IF(ISTEXT(N56),VLOOKUP(N56,Afactors,2,FALSE),""))</f>
        <v/>
      </c>
      <c r="CO56" s="616" t="str">
        <f>IF(ISNUMBER(S56),MAX('Adjustment factors'!$S$16,0.2+0.8*S56),IF(ISTEXT(Q56),VLOOKUP(Q56,Afactors,2,FALSE),""))</f>
        <v/>
      </c>
      <c r="CP56" s="611" t="str">
        <f t="shared" si="59"/>
        <v/>
      </c>
      <c r="CQ56" s="612" t="str">
        <f t="shared" si="60"/>
        <v/>
      </c>
      <c r="CR56" s="340"/>
      <c r="CS56" s="340"/>
      <c r="CT56" s="340"/>
      <c r="CU56" s="340"/>
      <c r="CV56" s="333"/>
      <c r="CW56" s="333"/>
      <c r="CX56" s="333"/>
      <c r="CY56" s="333"/>
      <c r="DA56" s="313" t="str">
        <f t="shared" si="31"/>
        <v>OK</v>
      </c>
      <c r="DB56" s="313" t="str">
        <f t="shared" si="32"/>
        <v>OK</v>
      </c>
      <c r="DC56" s="313" t="str">
        <f t="shared" si="33"/>
        <v>OK</v>
      </c>
      <c r="DD56" s="313" t="str">
        <f t="shared" si="34"/>
        <v>OK</v>
      </c>
      <c r="DE56" s="153" t="str">
        <f t="shared" si="35"/>
        <v>OK</v>
      </c>
      <c r="DF56" s="314" t="str">
        <f t="shared" si="36"/>
        <v>OK</v>
      </c>
      <c r="DG56" s="482" t="str">
        <f t="shared" si="61"/>
        <v>OK</v>
      </c>
      <c r="DH56" s="482" t="str">
        <f>IF(OR(AND(T56='Adjustment factors'!$R$28,'Class 3, 5-9'!U56='Adjustment factors'!$R$29),AND('Class 3, 5-9'!T56='Adjustment factors'!$R$29,'Class 3, 5-9'!U56='Adjustment factors'!$R$28)),"Invalid combination of adjustment factors",IF(AND(T56=U56,NOT(ISBLANK(T56)),NOT(ISBLANK(U56))),"Same colour factor selected twice","OK"))</f>
        <v>OK</v>
      </c>
      <c r="DI56" s="313" t="str">
        <f t="shared" si="37"/>
        <v>OK</v>
      </c>
      <c r="DJ56" s="153" t="str">
        <f t="shared" si="62"/>
        <v>OK</v>
      </c>
      <c r="DK56" s="153" t="str">
        <f t="shared" si="38"/>
        <v>OK</v>
      </c>
      <c r="DL56" s="313" t="str">
        <f t="shared" si="39"/>
        <v>OK</v>
      </c>
      <c r="DM56" s="153" t="str">
        <f t="shared" si="40"/>
        <v>OK</v>
      </c>
      <c r="DN56" s="153" t="str">
        <f t="shared" si="63"/>
        <v>OK</v>
      </c>
      <c r="DO56" s="154" t="str">
        <f t="shared" si="64"/>
        <v>OK</v>
      </c>
      <c r="DP56" s="153" t="str">
        <f t="shared" si="41"/>
        <v>OK</v>
      </c>
      <c r="DQ56" s="313" t="str">
        <f t="shared" si="42"/>
        <v>OK</v>
      </c>
      <c r="DR56" s="153" t="str">
        <f t="shared" si="65"/>
        <v>OK</v>
      </c>
      <c r="DS56" s="153" t="str">
        <f t="shared" si="43"/>
        <v>OK</v>
      </c>
      <c r="DT56" s="313" t="str">
        <f t="shared" si="73"/>
        <v>OK</v>
      </c>
      <c r="DU56" s="153" t="str">
        <f t="shared" si="45"/>
        <v>OK</v>
      </c>
      <c r="DV56" s="153" t="str">
        <f t="shared" si="66"/>
        <v>OK</v>
      </c>
      <c r="DW56" s="154" t="str">
        <f t="shared" si="67"/>
        <v>OK</v>
      </c>
      <c r="DX56" s="157">
        <f t="shared" si="68"/>
        <v>0</v>
      </c>
      <c r="DY56" s="156" t="str">
        <f t="shared" si="69"/>
        <v>OK</v>
      </c>
    </row>
    <row r="57" spans="1:129" ht="13" hidden="1" x14ac:dyDescent="0.3">
      <c r="A57" s="333"/>
      <c r="B57" s="333"/>
      <c r="C57" s="331" t="str">
        <f t="shared" si="46"/>
        <v>-</v>
      </c>
      <c r="D57" s="584">
        <v>34</v>
      </c>
      <c r="E57" s="585"/>
      <c r="F57" s="586"/>
      <c r="G57" s="600"/>
      <c r="H57" s="587"/>
      <c r="I57" s="601"/>
      <c r="J57" s="585"/>
      <c r="K57" s="617"/>
      <c r="L57" s="602"/>
      <c r="M57" s="603"/>
      <c r="N57" s="588"/>
      <c r="O57" s="604"/>
      <c r="P57" s="605"/>
      <c r="Q57" s="588"/>
      <c r="R57" s="604"/>
      <c r="S57" s="605"/>
      <c r="T57" s="606"/>
      <c r="U57" s="606"/>
      <c r="V57" s="429" t="str">
        <f t="shared" si="0"/>
        <v/>
      </c>
      <c r="W57" s="430" t="str">
        <f t="shared" si="47"/>
        <v/>
      </c>
      <c r="X57" s="66" t="str">
        <f>IF(AND(ISNUMBER(P57),N57=FixedDim),MAX('Adjustment factors'!$S$16,0.2+0.8*P57),IF(ISTEXT(N57),VLOOKUP(N57,Afactors,2,TRUE),""))</f>
        <v/>
      </c>
      <c r="Y57" s="17" t="str">
        <f>IF(AND(ISNUMBER(S57),Q57=FixedDim),MAX('Adjustment factors'!$S$16,0.2+0.8*S57),IF(ISTEXT(Q57),VLOOKUP(Q57,Afactors,2,TRUE),""))</f>
        <v/>
      </c>
      <c r="Z57" s="297" t="str">
        <f>IF(ISBLANK(T57),"",VLOOKUP(T57,'Adjustment factors'!$R$27:$S$30,2,TRUE))</f>
        <v/>
      </c>
      <c r="AA57" s="297" t="str">
        <f>IF(ISBLANK(U57),"",VLOOKUP(U57,'Adjustment factors'!$R$27:$S$30,2,TRUE))</f>
        <v/>
      </c>
      <c r="AB57" s="480">
        <f t="shared" si="48"/>
        <v>1</v>
      </c>
      <c r="AC57" s="18" t="b">
        <f t="shared" si="1"/>
        <v>0</v>
      </c>
      <c r="AD57" s="18" t="b">
        <f t="shared" si="2"/>
        <v>0</v>
      </c>
      <c r="AE57" s="18" t="b">
        <f t="shared" si="70"/>
        <v>0</v>
      </c>
      <c r="AF57" s="17" t="str">
        <f t="shared" si="3"/>
        <v/>
      </c>
      <c r="AG57" s="18" t="str">
        <f t="shared" si="4"/>
        <v/>
      </c>
      <c r="AH57" s="17" t="str">
        <f t="shared" si="71"/>
        <v/>
      </c>
      <c r="AI57" s="297" t="e">
        <f t="shared" si="49"/>
        <v>#VALUE!</v>
      </c>
      <c r="AJ57" s="79" t="e">
        <f t="shared" si="5"/>
        <v>#VALUE!</v>
      </c>
      <c r="AK57" s="17" t="str">
        <f t="shared" si="72"/>
        <v/>
      </c>
      <c r="AL57" s="80" t="e">
        <f t="shared" si="6"/>
        <v>#VALUE!</v>
      </c>
      <c r="AM57" s="139" t="b">
        <f t="shared" si="7"/>
        <v>1</v>
      </c>
      <c r="AN57" s="139" t="b">
        <f>AND(COUNTA(E57)&gt;0,ISNUMBER(F57),OR(COUNT(G57:H57)=0,COUNT(G57:H57)=2,AND(ISNUMBER(G57),ISNUMBER(VALUE(LEFT(H57,SUM(LEN(H57)-LEN(SUBSTITUTE(H57,{"0","1","2","3","4","5","6","7","8","9","."},"")))))))),ISNUMBER(I57),ISTEXT(J57))</f>
        <v>0</v>
      </c>
      <c r="AO57" s="19" t="b">
        <f t="shared" si="8"/>
        <v>0</v>
      </c>
      <c r="AP57" s="19" t="b">
        <f t="shared" si="9"/>
        <v>1</v>
      </c>
      <c r="AQ57" s="19" t="b">
        <f>IF(AND(COUNTBLANK(E57:J57)=6,OR(AN58:AN$523)),NOT(AN57))</f>
        <v>0</v>
      </c>
      <c r="AR57" s="19" t="str">
        <f t="shared" si="10"/>
        <v/>
      </c>
      <c r="AS57" s="19" t="b">
        <f t="shared" si="11"/>
        <v>1</v>
      </c>
      <c r="AT57" s="19" t="str">
        <f t="shared" si="12"/>
        <v/>
      </c>
      <c r="AU57" s="19" t="b">
        <f t="shared" si="13"/>
        <v>1</v>
      </c>
      <c r="AV57" s="140" t="str">
        <f t="shared" si="50"/>
        <v/>
      </c>
      <c r="AW57" s="19" t="str">
        <f t="shared" si="14"/>
        <v/>
      </c>
      <c r="AX57" s="81">
        <f t="shared" si="15"/>
        <v>0</v>
      </c>
      <c r="AY57" s="81" t="str">
        <f t="shared" si="16"/>
        <v/>
      </c>
      <c r="AZ57" s="307" t="str">
        <f t="shared" si="51"/>
        <v/>
      </c>
      <c r="BA57" s="281" t="str">
        <f t="shared" si="52"/>
        <v/>
      </c>
      <c r="BB57" s="281" t="str">
        <f t="shared" si="53"/>
        <v/>
      </c>
      <c r="BC57" s="953"/>
      <c r="BD57" s="955"/>
      <c r="BE57" s="219" t="str">
        <f t="shared" si="17"/>
        <v>n/a</v>
      </c>
      <c r="BF57" s="215" t="b">
        <f t="shared" si="18"/>
        <v>0</v>
      </c>
      <c r="BG57" s="145" t="b">
        <f t="shared" si="19"/>
        <v>0</v>
      </c>
      <c r="BH57" s="145" t="b">
        <f t="shared" si="20"/>
        <v>0</v>
      </c>
      <c r="BI57" s="216" t="b">
        <f t="shared" si="21"/>
        <v>0</v>
      </c>
      <c r="BJ57" s="215" t="b">
        <f t="shared" si="74"/>
        <v>0</v>
      </c>
      <c r="BK57" s="145" t="b">
        <f t="shared" si="75"/>
        <v>0</v>
      </c>
      <c r="BL57" s="216" t="b">
        <f t="shared" si="76"/>
        <v>0</v>
      </c>
      <c r="BM57" s="217" t="str">
        <f t="shared" si="54"/>
        <v/>
      </c>
      <c r="BN57" s="146" t="str">
        <f t="shared" si="55"/>
        <v/>
      </c>
      <c r="BO57" s="147" t="str">
        <f t="shared" si="56"/>
        <v/>
      </c>
      <c r="BP57" s="148" t="str">
        <f t="shared" si="57"/>
        <v/>
      </c>
      <c r="BT57" s="50">
        <v>34</v>
      </c>
      <c r="BU57" s="50" t="str">
        <f t="shared" si="25"/>
        <v>-</v>
      </c>
      <c r="BW57" s="333"/>
      <c r="BX57" s="333"/>
      <c r="BY57" s="333"/>
      <c r="BZ57" s="333"/>
      <c r="CA57" s="333"/>
      <c r="CB57" s="333"/>
      <c r="CC57" s="333"/>
      <c r="CD57" s="333"/>
      <c r="CE57" s="333"/>
      <c r="CF57" s="333"/>
      <c r="CG57" s="354">
        <f t="shared" si="26"/>
        <v>34</v>
      </c>
      <c r="CH57" s="613">
        <f t="shared" si="27"/>
        <v>0</v>
      </c>
      <c r="CI57" s="613">
        <f t="shared" si="28"/>
        <v>0</v>
      </c>
      <c r="CJ57" s="614" t="str">
        <f t="shared" si="29"/>
        <v/>
      </c>
      <c r="CK57" s="615" t="str">
        <f t="shared" si="30"/>
        <v/>
      </c>
      <c r="CL57" s="610" t="str">
        <f>IF(ISBLANK(H57),"",IF(AND(ISNUMBER(F57),ISNUMBER(G57),ISNUMBER(H57)),ROUND(F57/(H57*G57),2),ROUND(F57/(VALUE(LEFT(H57,SUM(LEN(H57)-LEN(SUBSTITUTE(H57,{"0","1","2","3","4","5","6","7","8","9","."},"")))))*G57),2)))</f>
        <v/>
      </c>
      <c r="CM57" s="616" t="str">
        <f t="shared" si="58"/>
        <v/>
      </c>
      <c r="CN57" s="616" t="str">
        <f>IF(ISNUMBER(P57),MAX('Adjustment factors'!$S$16,(0.2+0.8*P57)),IF(ISTEXT(N57),VLOOKUP(N57,Afactors,2,FALSE),""))</f>
        <v/>
      </c>
      <c r="CO57" s="616" t="str">
        <f>IF(ISNUMBER(S57),MAX('Adjustment factors'!$S$16,0.2+0.8*S57),IF(ISTEXT(Q57),VLOOKUP(Q57,Afactors,2,FALSE),""))</f>
        <v/>
      </c>
      <c r="CP57" s="611" t="str">
        <f t="shared" si="59"/>
        <v/>
      </c>
      <c r="CQ57" s="612" t="str">
        <f t="shared" si="60"/>
        <v/>
      </c>
      <c r="CR57" s="340"/>
      <c r="CS57" s="340"/>
      <c r="CT57" s="340"/>
      <c r="CU57" s="340"/>
      <c r="CV57" s="333"/>
      <c r="CW57" s="333"/>
      <c r="CX57" s="333"/>
      <c r="CY57" s="333"/>
      <c r="DA57" s="313" t="str">
        <f t="shared" si="31"/>
        <v>OK</v>
      </c>
      <c r="DB57" s="313" t="str">
        <f t="shared" si="32"/>
        <v>OK</v>
      </c>
      <c r="DC57" s="313" t="str">
        <f t="shared" si="33"/>
        <v>OK</v>
      </c>
      <c r="DD57" s="313" t="str">
        <f t="shared" si="34"/>
        <v>OK</v>
      </c>
      <c r="DE57" s="153" t="str">
        <f t="shared" si="35"/>
        <v>OK</v>
      </c>
      <c r="DF57" s="314" t="str">
        <f t="shared" si="36"/>
        <v>OK</v>
      </c>
      <c r="DG57" s="482" t="str">
        <f t="shared" si="61"/>
        <v>OK</v>
      </c>
      <c r="DH57" s="482" t="str">
        <f>IF(OR(AND(T57='Adjustment factors'!$R$28,'Class 3, 5-9'!U57='Adjustment factors'!$R$29),AND('Class 3, 5-9'!T57='Adjustment factors'!$R$29,'Class 3, 5-9'!U57='Adjustment factors'!$R$28)),"Invalid combination of adjustment factors",IF(AND(T57=U57,NOT(ISBLANK(T57)),NOT(ISBLANK(U57))),"Same colour factor selected twice","OK"))</f>
        <v>OK</v>
      </c>
      <c r="DI57" s="313" t="str">
        <f t="shared" si="37"/>
        <v>OK</v>
      </c>
      <c r="DJ57" s="153" t="str">
        <f t="shared" si="62"/>
        <v>OK</v>
      </c>
      <c r="DK57" s="153" t="str">
        <f t="shared" si="38"/>
        <v>OK</v>
      </c>
      <c r="DL57" s="313" t="str">
        <f t="shared" si="39"/>
        <v>OK</v>
      </c>
      <c r="DM57" s="153" t="str">
        <f t="shared" si="40"/>
        <v>OK</v>
      </c>
      <c r="DN57" s="153" t="str">
        <f t="shared" si="63"/>
        <v>OK</v>
      </c>
      <c r="DO57" s="154" t="str">
        <f t="shared" si="64"/>
        <v>OK</v>
      </c>
      <c r="DP57" s="153" t="str">
        <f t="shared" si="41"/>
        <v>OK</v>
      </c>
      <c r="DQ57" s="313" t="str">
        <f t="shared" si="42"/>
        <v>OK</v>
      </c>
      <c r="DR57" s="153" t="str">
        <f t="shared" si="65"/>
        <v>OK</v>
      </c>
      <c r="DS57" s="153" t="str">
        <f t="shared" si="43"/>
        <v>OK</v>
      </c>
      <c r="DT57" s="313" t="str">
        <f t="shared" si="73"/>
        <v>OK</v>
      </c>
      <c r="DU57" s="153" t="str">
        <f t="shared" si="45"/>
        <v>OK</v>
      </c>
      <c r="DV57" s="153" t="str">
        <f t="shared" si="66"/>
        <v>OK</v>
      </c>
      <c r="DW57" s="154" t="str">
        <f t="shared" si="67"/>
        <v>OK</v>
      </c>
      <c r="DX57" s="157">
        <f t="shared" si="68"/>
        <v>0</v>
      </c>
      <c r="DY57" s="156" t="str">
        <f t="shared" si="69"/>
        <v>OK</v>
      </c>
    </row>
    <row r="58" spans="1:129" ht="13" hidden="1" x14ac:dyDescent="0.3">
      <c r="A58" s="333"/>
      <c r="B58" s="333"/>
      <c r="C58" s="331" t="str">
        <f t="shared" si="46"/>
        <v>-</v>
      </c>
      <c r="D58" s="584">
        <v>35</v>
      </c>
      <c r="E58" s="585"/>
      <c r="F58" s="586"/>
      <c r="G58" s="600"/>
      <c r="H58" s="587"/>
      <c r="I58" s="601"/>
      <c r="J58" s="585"/>
      <c r="K58" s="617"/>
      <c r="L58" s="602"/>
      <c r="M58" s="603"/>
      <c r="N58" s="588"/>
      <c r="O58" s="604"/>
      <c r="P58" s="605"/>
      <c r="Q58" s="588"/>
      <c r="R58" s="604"/>
      <c r="S58" s="605"/>
      <c r="T58" s="606"/>
      <c r="U58" s="606"/>
      <c r="V58" s="429" t="str">
        <f t="shared" si="0"/>
        <v/>
      </c>
      <c r="W58" s="430" t="str">
        <f t="shared" si="47"/>
        <v/>
      </c>
      <c r="X58" s="66" t="str">
        <f>IF(AND(ISNUMBER(P58),N58=FixedDim),MAX('Adjustment factors'!$S$16,0.2+0.8*P58),IF(ISTEXT(N58),VLOOKUP(N58,Afactors,2,TRUE),""))</f>
        <v/>
      </c>
      <c r="Y58" s="17" t="str">
        <f>IF(AND(ISNUMBER(S58),Q58=FixedDim),MAX('Adjustment factors'!$S$16,0.2+0.8*S58),IF(ISTEXT(Q58),VLOOKUP(Q58,Afactors,2,TRUE),""))</f>
        <v/>
      </c>
      <c r="Z58" s="297" t="str">
        <f>IF(ISBLANK(T58),"",VLOOKUP(T58,'Adjustment factors'!$R$27:$S$30,2,TRUE))</f>
        <v/>
      </c>
      <c r="AA58" s="297" t="str">
        <f>IF(ISBLANK(U58),"",VLOOKUP(U58,'Adjustment factors'!$R$27:$S$30,2,TRUE))</f>
        <v/>
      </c>
      <c r="AB58" s="480">
        <f t="shared" si="48"/>
        <v>1</v>
      </c>
      <c r="AC58" s="18" t="b">
        <f t="shared" si="1"/>
        <v>0</v>
      </c>
      <c r="AD58" s="18" t="b">
        <f t="shared" si="2"/>
        <v>0</v>
      </c>
      <c r="AE58" s="18" t="b">
        <f t="shared" si="70"/>
        <v>0</v>
      </c>
      <c r="AF58" s="17" t="str">
        <f t="shared" si="3"/>
        <v/>
      </c>
      <c r="AG58" s="18" t="str">
        <f t="shared" si="4"/>
        <v/>
      </c>
      <c r="AH58" s="17" t="str">
        <f t="shared" si="71"/>
        <v/>
      </c>
      <c r="AI58" s="297" t="e">
        <f t="shared" si="49"/>
        <v>#VALUE!</v>
      </c>
      <c r="AJ58" s="79" t="e">
        <f t="shared" si="5"/>
        <v>#VALUE!</v>
      </c>
      <c r="AK58" s="17" t="str">
        <f t="shared" si="72"/>
        <v/>
      </c>
      <c r="AL58" s="80" t="e">
        <f t="shared" si="6"/>
        <v>#VALUE!</v>
      </c>
      <c r="AM58" s="139" t="b">
        <f t="shared" si="7"/>
        <v>1</v>
      </c>
      <c r="AN58" s="139" t="b">
        <f>AND(COUNTA(E58)&gt;0,ISNUMBER(F58),OR(COUNT(G58:H58)=0,COUNT(G58:H58)=2,AND(ISNUMBER(G58),ISNUMBER(VALUE(LEFT(H58,SUM(LEN(H58)-LEN(SUBSTITUTE(H58,{"0","1","2","3","4","5","6","7","8","9","."},"")))))))),ISNUMBER(I58),ISTEXT(J58))</f>
        <v>0</v>
      </c>
      <c r="AO58" s="19" t="b">
        <f t="shared" si="8"/>
        <v>0</v>
      </c>
      <c r="AP58" s="19" t="b">
        <f t="shared" si="9"/>
        <v>1</v>
      </c>
      <c r="AQ58" s="19" t="b">
        <f>IF(AND(COUNTBLANK(E58:J58)=6,OR(AN59:AN$523)),NOT(AN58))</f>
        <v>0</v>
      </c>
      <c r="AR58" s="19" t="str">
        <f t="shared" si="10"/>
        <v/>
      </c>
      <c r="AS58" s="19" t="b">
        <f t="shared" si="11"/>
        <v>1</v>
      </c>
      <c r="AT58" s="19" t="str">
        <f t="shared" si="12"/>
        <v/>
      </c>
      <c r="AU58" s="19" t="b">
        <f t="shared" si="13"/>
        <v>1</v>
      </c>
      <c r="AV58" s="140" t="str">
        <f t="shared" si="50"/>
        <v/>
      </c>
      <c r="AW58" s="19" t="str">
        <f t="shared" si="14"/>
        <v/>
      </c>
      <c r="AX58" s="81">
        <f t="shared" si="15"/>
        <v>0</v>
      </c>
      <c r="AY58" s="81" t="str">
        <f t="shared" si="16"/>
        <v/>
      </c>
      <c r="AZ58" s="307" t="str">
        <f t="shared" si="51"/>
        <v/>
      </c>
      <c r="BA58" s="281" t="str">
        <f t="shared" si="52"/>
        <v/>
      </c>
      <c r="BB58" s="281" t="str">
        <f t="shared" si="53"/>
        <v/>
      </c>
      <c r="BC58" s="953"/>
      <c r="BD58" s="955"/>
      <c r="BE58" s="219" t="str">
        <f t="shared" si="17"/>
        <v>n/a</v>
      </c>
      <c r="BF58" s="215" t="b">
        <f t="shared" si="18"/>
        <v>0</v>
      </c>
      <c r="BG58" s="145" t="b">
        <f t="shared" si="19"/>
        <v>0</v>
      </c>
      <c r="BH58" s="145" t="b">
        <f t="shared" si="20"/>
        <v>0</v>
      </c>
      <c r="BI58" s="216" t="b">
        <f t="shared" si="21"/>
        <v>0</v>
      </c>
      <c r="BJ58" s="215" t="b">
        <f t="shared" si="74"/>
        <v>0</v>
      </c>
      <c r="BK58" s="145" t="b">
        <f t="shared" si="75"/>
        <v>0</v>
      </c>
      <c r="BL58" s="216" t="b">
        <f t="shared" si="76"/>
        <v>0</v>
      </c>
      <c r="BM58" s="217" t="str">
        <f t="shared" si="54"/>
        <v/>
      </c>
      <c r="BN58" s="146" t="str">
        <f t="shared" si="55"/>
        <v/>
      </c>
      <c r="BO58" s="147" t="str">
        <f t="shared" si="56"/>
        <v/>
      </c>
      <c r="BP58" s="148" t="str">
        <f t="shared" si="57"/>
        <v/>
      </c>
      <c r="BT58" s="50">
        <v>35</v>
      </c>
      <c r="BU58" s="50" t="str">
        <f t="shared" si="25"/>
        <v>-</v>
      </c>
      <c r="BW58" s="333"/>
      <c r="BX58" s="333"/>
      <c r="BY58" s="333"/>
      <c r="BZ58" s="333"/>
      <c r="CA58" s="333"/>
      <c r="CB58" s="333"/>
      <c r="CC58" s="333"/>
      <c r="CD58" s="333"/>
      <c r="CE58" s="333"/>
      <c r="CF58" s="333"/>
      <c r="CG58" s="354">
        <f t="shared" si="26"/>
        <v>35</v>
      </c>
      <c r="CH58" s="613">
        <f t="shared" si="27"/>
        <v>0</v>
      </c>
      <c r="CI58" s="613">
        <f t="shared" si="28"/>
        <v>0</v>
      </c>
      <c r="CJ58" s="614" t="str">
        <f t="shared" si="29"/>
        <v/>
      </c>
      <c r="CK58" s="615" t="str">
        <f t="shared" si="30"/>
        <v/>
      </c>
      <c r="CL58" s="610" t="str">
        <f>IF(ISBLANK(H58),"",IF(AND(ISNUMBER(F58),ISNUMBER(G58),ISNUMBER(H58)),ROUND(F58/(H58*G58),2),ROUND(F58/(VALUE(LEFT(H58,SUM(LEN(H58)-LEN(SUBSTITUTE(H58,{"0","1","2","3","4","5","6","7","8","9","."},"")))))*G58),2)))</f>
        <v/>
      </c>
      <c r="CM58" s="616" t="str">
        <f t="shared" si="58"/>
        <v/>
      </c>
      <c r="CN58" s="616" t="str">
        <f>IF(ISNUMBER(P58),MAX('Adjustment factors'!$S$16,(0.2+0.8*P58)),IF(ISTEXT(N58),VLOOKUP(N58,Afactors,2,FALSE),""))</f>
        <v/>
      </c>
      <c r="CO58" s="616" t="str">
        <f>IF(ISNUMBER(S58),MAX('Adjustment factors'!$S$16,0.2+0.8*S58),IF(ISTEXT(Q58),VLOOKUP(Q58,Afactors,2,FALSE),""))</f>
        <v/>
      </c>
      <c r="CP58" s="611" t="str">
        <f t="shared" si="59"/>
        <v/>
      </c>
      <c r="CQ58" s="612" t="str">
        <f t="shared" si="60"/>
        <v/>
      </c>
      <c r="CR58" s="340"/>
      <c r="CS58" s="340"/>
      <c r="CT58" s="340"/>
      <c r="CU58" s="340"/>
      <c r="CV58" s="333"/>
      <c r="CW58" s="333"/>
      <c r="CX58" s="333"/>
      <c r="CY58" s="333"/>
      <c r="DA58" s="313" t="str">
        <f t="shared" si="31"/>
        <v>OK</v>
      </c>
      <c r="DB58" s="313" t="str">
        <f t="shared" si="32"/>
        <v>OK</v>
      </c>
      <c r="DC58" s="313" t="str">
        <f t="shared" si="33"/>
        <v>OK</v>
      </c>
      <c r="DD58" s="313" t="str">
        <f t="shared" si="34"/>
        <v>OK</v>
      </c>
      <c r="DE58" s="153" t="str">
        <f t="shared" si="35"/>
        <v>OK</v>
      </c>
      <c r="DF58" s="314" t="str">
        <f t="shared" si="36"/>
        <v>OK</v>
      </c>
      <c r="DG58" s="482" t="str">
        <f t="shared" si="61"/>
        <v>OK</v>
      </c>
      <c r="DH58" s="482" t="str">
        <f>IF(OR(AND(T58='Adjustment factors'!$R$28,'Class 3, 5-9'!U58='Adjustment factors'!$R$29),AND('Class 3, 5-9'!T58='Adjustment factors'!$R$29,'Class 3, 5-9'!U58='Adjustment factors'!$R$28)),"Invalid combination of adjustment factors",IF(AND(T58=U58,NOT(ISBLANK(T58)),NOT(ISBLANK(U58))),"Same colour factor selected twice","OK"))</f>
        <v>OK</v>
      </c>
      <c r="DI58" s="313" t="str">
        <f t="shared" si="37"/>
        <v>OK</v>
      </c>
      <c r="DJ58" s="153" t="str">
        <f t="shared" si="62"/>
        <v>OK</v>
      </c>
      <c r="DK58" s="153" t="str">
        <f t="shared" si="38"/>
        <v>OK</v>
      </c>
      <c r="DL58" s="313" t="str">
        <f t="shared" si="39"/>
        <v>OK</v>
      </c>
      <c r="DM58" s="153" t="str">
        <f t="shared" si="40"/>
        <v>OK</v>
      </c>
      <c r="DN58" s="153" t="str">
        <f t="shared" si="63"/>
        <v>OK</v>
      </c>
      <c r="DO58" s="154" t="str">
        <f t="shared" si="64"/>
        <v>OK</v>
      </c>
      <c r="DP58" s="153" t="str">
        <f t="shared" si="41"/>
        <v>OK</v>
      </c>
      <c r="DQ58" s="313" t="str">
        <f t="shared" si="42"/>
        <v>OK</v>
      </c>
      <c r="DR58" s="153" t="str">
        <f t="shared" si="65"/>
        <v>OK</v>
      </c>
      <c r="DS58" s="153" t="str">
        <f t="shared" si="43"/>
        <v>OK</v>
      </c>
      <c r="DT58" s="313" t="str">
        <f t="shared" si="73"/>
        <v>OK</v>
      </c>
      <c r="DU58" s="153" t="str">
        <f t="shared" si="45"/>
        <v>OK</v>
      </c>
      <c r="DV58" s="153" t="str">
        <f t="shared" si="66"/>
        <v>OK</v>
      </c>
      <c r="DW58" s="154" t="str">
        <f t="shared" si="67"/>
        <v>OK</v>
      </c>
      <c r="DX58" s="157">
        <f t="shared" si="68"/>
        <v>0</v>
      </c>
      <c r="DY58" s="156" t="str">
        <f t="shared" si="69"/>
        <v>OK</v>
      </c>
    </row>
    <row r="59" spans="1:129" ht="13" hidden="1" x14ac:dyDescent="0.3">
      <c r="A59" s="333"/>
      <c r="B59" s="333"/>
      <c r="C59" s="331" t="str">
        <f t="shared" si="46"/>
        <v>-</v>
      </c>
      <c r="D59" s="584">
        <v>36</v>
      </c>
      <c r="E59" s="585"/>
      <c r="F59" s="586"/>
      <c r="G59" s="600"/>
      <c r="H59" s="587"/>
      <c r="I59" s="601"/>
      <c r="J59" s="585"/>
      <c r="K59" s="617"/>
      <c r="L59" s="602"/>
      <c r="M59" s="603"/>
      <c r="N59" s="588"/>
      <c r="O59" s="604"/>
      <c r="P59" s="605"/>
      <c r="Q59" s="588"/>
      <c r="R59" s="604"/>
      <c r="S59" s="605"/>
      <c r="T59" s="606"/>
      <c r="U59" s="606"/>
      <c r="V59" s="429" t="str">
        <f t="shared" si="0"/>
        <v/>
      </c>
      <c r="W59" s="430" t="str">
        <f t="shared" si="47"/>
        <v/>
      </c>
      <c r="X59" s="66" t="str">
        <f>IF(AND(ISNUMBER(P59),N59=FixedDim),MAX('Adjustment factors'!$S$16,0.2+0.8*P59),IF(ISTEXT(N59),VLOOKUP(N59,Afactors,2,TRUE),""))</f>
        <v/>
      </c>
      <c r="Y59" s="17" t="str">
        <f>IF(AND(ISNUMBER(S59),Q59=FixedDim),MAX('Adjustment factors'!$S$16,0.2+0.8*S59),IF(ISTEXT(Q59),VLOOKUP(Q59,Afactors,2,TRUE),""))</f>
        <v/>
      </c>
      <c r="Z59" s="297" t="str">
        <f>IF(ISBLANK(T59),"",VLOOKUP(T59,'Adjustment factors'!$R$27:$S$30,2,TRUE))</f>
        <v/>
      </c>
      <c r="AA59" s="297" t="str">
        <f>IF(ISBLANK(U59),"",VLOOKUP(U59,'Adjustment factors'!$R$27:$S$30,2,TRUE))</f>
        <v/>
      </c>
      <c r="AB59" s="480">
        <f t="shared" si="48"/>
        <v>1</v>
      </c>
      <c r="AC59" s="18" t="b">
        <f t="shared" si="1"/>
        <v>0</v>
      </c>
      <c r="AD59" s="18" t="b">
        <f t="shared" si="2"/>
        <v>0</v>
      </c>
      <c r="AE59" s="18" t="b">
        <f t="shared" si="70"/>
        <v>0</v>
      </c>
      <c r="AF59" s="17" t="str">
        <f t="shared" si="3"/>
        <v/>
      </c>
      <c r="AG59" s="18" t="str">
        <f t="shared" si="4"/>
        <v/>
      </c>
      <c r="AH59" s="17" t="str">
        <f t="shared" si="71"/>
        <v/>
      </c>
      <c r="AI59" s="297" t="e">
        <f t="shared" si="49"/>
        <v>#VALUE!</v>
      </c>
      <c r="AJ59" s="79" t="e">
        <f t="shared" si="5"/>
        <v>#VALUE!</v>
      </c>
      <c r="AK59" s="17" t="str">
        <f t="shared" si="72"/>
        <v/>
      </c>
      <c r="AL59" s="80" t="e">
        <f t="shared" si="6"/>
        <v>#VALUE!</v>
      </c>
      <c r="AM59" s="139" t="b">
        <f t="shared" si="7"/>
        <v>1</v>
      </c>
      <c r="AN59" s="139" t="b">
        <f>AND(COUNTA(E59)&gt;0,ISNUMBER(F59),OR(COUNT(G59:H59)=0,COUNT(G59:H59)=2,AND(ISNUMBER(G59),ISNUMBER(VALUE(LEFT(H59,SUM(LEN(H59)-LEN(SUBSTITUTE(H59,{"0","1","2","3","4","5","6","7","8","9","."},"")))))))),ISNUMBER(I59),ISTEXT(J59))</f>
        <v>0</v>
      </c>
      <c r="AO59" s="19" t="b">
        <f t="shared" si="8"/>
        <v>0</v>
      </c>
      <c r="AP59" s="19" t="b">
        <f t="shared" si="9"/>
        <v>1</v>
      </c>
      <c r="AQ59" s="19" t="b">
        <f>IF(AND(COUNTBLANK(E59:J59)=6,OR(AN60:AN$523)),NOT(AN59))</f>
        <v>0</v>
      </c>
      <c r="AR59" s="19" t="str">
        <f t="shared" si="10"/>
        <v/>
      </c>
      <c r="AS59" s="19" t="b">
        <f t="shared" si="11"/>
        <v>1</v>
      </c>
      <c r="AT59" s="19" t="str">
        <f t="shared" si="12"/>
        <v/>
      </c>
      <c r="AU59" s="19" t="b">
        <f t="shared" si="13"/>
        <v>1</v>
      </c>
      <c r="AV59" s="140" t="str">
        <f t="shared" si="50"/>
        <v/>
      </c>
      <c r="AW59" s="19" t="str">
        <f t="shared" si="14"/>
        <v/>
      </c>
      <c r="AX59" s="81">
        <f t="shared" si="15"/>
        <v>0</v>
      </c>
      <c r="AY59" s="81" t="str">
        <f t="shared" si="16"/>
        <v/>
      </c>
      <c r="AZ59" s="307" t="str">
        <f t="shared" si="51"/>
        <v/>
      </c>
      <c r="BA59" s="281" t="str">
        <f t="shared" si="52"/>
        <v/>
      </c>
      <c r="BB59" s="281" t="str">
        <f t="shared" si="53"/>
        <v/>
      </c>
      <c r="BC59" s="953"/>
      <c r="BD59" s="955"/>
      <c r="BE59" s="219" t="str">
        <f t="shared" si="17"/>
        <v>n/a</v>
      </c>
      <c r="BF59" s="215" t="b">
        <f t="shared" si="18"/>
        <v>0</v>
      </c>
      <c r="BG59" s="145" t="b">
        <f t="shared" si="19"/>
        <v>0</v>
      </c>
      <c r="BH59" s="145" t="b">
        <f t="shared" si="20"/>
        <v>0</v>
      </c>
      <c r="BI59" s="216" t="b">
        <f t="shared" si="21"/>
        <v>0</v>
      </c>
      <c r="BJ59" s="215" t="b">
        <f t="shared" si="74"/>
        <v>0</v>
      </c>
      <c r="BK59" s="145" t="b">
        <f t="shared" si="75"/>
        <v>0</v>
      </c>
      <c r="BL59" s="216" t="b">
        <f t="shared" si="76"/>
        <v>0</v>
      </c>
      <c r="BM59" s="217" t="str">
        <f t="shared" si="54"/>
        <v/>
      </c>
      <c r="BN59" s="146" t="str">
        <f t="shared" si="55"/>
        <v/>
      </c>
      <c r="BO59" s="147" t="str">
        <f t="shared" si="56"/>
        <v/>
      </c>
      <c r="BP59" s="148" t="str">
        <f t="shared" si="57"/>
        <v/>
      </c>
      <c r="BT59" s="50">
        <v>36</v>
      </c>
      <c r="BU59" s="50" t="str">
        <f t="shared" si="25"/>
        <v>-</v>
      </c>
      <c r="BW59" s="333"/>
      <c r="BX59" s="333"/>
      <c r="BY59" s="333"/>
      <c r="BZ59" s="333"/>
      <c r="CA59" s="333"/>
      <c r="CB59" s="333"/>
      <c r="CC59" s="333"/>
      <c r="CD59" s="333"/>
      <c r="CE59" s="333"/>
      <c r="CF59" s="333"/>
      <c r="CG59" s="354">
        <f t="shared" si="26"/>
        <v>36</v>
      </c>
      <c r="CH59" s="613">
        <f t="shared" si="27"/>
        <v>0</v>
      </c>
      <c r="CI59" s="613">
        <f t="shared" si="28"/>
        <v>0</v>
      </c>
      <c r="CJ59" s="614" t="str">
        <f t="shared" si="29"/>
        <v/>
      </c>
      <c r="CK59" s="615" t="str">
        <f t="shared" si="30"/>
        <v/>
      </c>
      <c r="CL59" s="610" t="str">
        <f>IF(ISBLANK(H59),"",IF(AND(ISNUMBER(F59),ISNUMBER(G59),ISNUMBER(H59)),ROUND(F59/(H59*G59),2),ROUND(F59/(VALUE(LEFT(H59,SUM(LEN(H59)-LEN(SUBSTITUTE(H59,{"0","1","2","3","4","5","6","7","8","9","."},"")))))*G59),2)))</f>
        <v/>
      </c>
      <c r="CM59" s="616" t="str">
        <f t="shared" si="58"/>
        <v/>
      </c>
      <c r="CN59" s="616" t="str">
        <f>IF(ISNUMBER(P59),MAX('Adjustment factors'!$S$16,(0.2+0.8*P59)),IF(ISTEXT(N59),VLOOKUP(N59,Afactors,2,FALSE),""))</f>
        <v/>
      </c>
      <c r="CO59" s="616" t="str">
        <f>IF(ISNUMBER(S59),MAX('Adjustment factors'!$S$16,0.2+0.8*S59),IF(ISTEXT(Q59),VLOOKUP(Q59,Afactors,2,FALSE),""))</f>
        <v/>
      </c>
      <c r="CP59" s="611" t="str">
        <f t="shared" si="59"/>
        <v/>
      </c>
      <c r="CQ59" s="612" t="str">
        <f t="shared" si="60"/>
        <v/>
      </c>
      <c r="CR59" s="340"/>
      <c r="CS59" s="340"/>
      <c r="CT59" s="340"/>
      <c r="CU59" s="340"/>
      <c r="CV59" s="333"/>
      <c r="CW59" s="333"/>
      <c r="CX59" s="333"/>
      <c r="CY59" s="333"/>
      <c r="DA59" s="313" t="str">
        <f t="shared" si="31"/>
        <v>OK</v>
      </c>
      <c r="DB59" s="313" t="str">
        <f t="shared" si="32"/>
        <v>OK</v>
      </c>
      <c r="DC59" s="313" t="str">
        <f t="shared" si="33"/>
        <v>OK</v>
      </c>
      <c r="DD59" s="313" t="str">
        <f t="shared" si="34"/>
        <v>OK</v>
      </c>
      <c r="DE59" s="153" t="str">
        <f t="shared" si="35"/>
        <v>OK</v>
      </c>
      <c r="DF59" s="314" t="str">
        <f t="shared" si="36"/>
        <v>OK</v>
      </c>
      <c r="DG59" s="482" t="str">
        <f t="shared" si="61"/>
        <v>OK</v>
      </c>
      <c r="DH59" s="482" t="str">
        <f>IF(OR(AND(T59='Adjustment factors'!$R$28,'Class 3, 5-9'!U59='Adjustment factors'!$R$29),AND('Class 3, 5-9'!T59='Adjustment factors'!$R$29,'Class 3, 5-9'!U59='Adjustment factors'!$R$28)),"Invalid combination of adjustment factors",IF(AND(T59=U59,NOT(ISBLANK(T59)),NOT(ISBLANK(U59))),"Same colour factor selected twice","OK"))</f>
        <v>OK</v>
      </c>
      <c r="DI59" s="313" t="str">
        <f t="shared" si="37"/>
        <v>OK</v>
      </c>
      <c r="DJ59" s="153" t="str">
        <f t="shared" si="62"/>
        <v>OK</v>
      </c>
      <c r="DK59" s="153" t="str">
        <f t="shared" si="38"/>
        <v>OK</v>
      </c>
      <c r="DL59" s="313" t="str">
        <f t="shared" si="39"/>
        <v>OK</v>
      </c>
      <c r="DM59" s="153" t="str">
        <f t="shared" si="40"/>
        <v>OK</v>
      </c>
      <c r="DN59" s="153" t="str">
        <f t="shared" si="63"/>
        <v>OK</v>
      </c>
      <c r="DO59" s="154" t="str">
        <f t="shared" si="64"/>
        <v>OK</v>
      </c>
      <c r="DP59" s="153" t="str">
        <f t="shared" si="41"/>
        <v>OK</v>
      </c>
      <c r="DQ59" s="313" t="str">
        <f t="shared" si="42"/>
        <v>OK</v>
      </c>
      <c r="DR59" s="153" t="str">
        <f t="shared" si="65"/>
        <v>OK</v>
      </c>
      <c r="DS59" s="153" t="str">
        <f t="shared" si="43"/>
        <v>OK</v>
      </c>
      <c r="DT59" s="313" t="str">
        <f t="shared" si="73"/>
        <v>OK</v>
      </c>
      <c r="DU59" s="153" t="str">
        <f t="shared" si="45"/>
        <v>OK</v>
      </c>
      <c r="DV59" s="153" t="str">
        <f t="shared" si="66"/>
        <v>OK</v>
      </c>
      <c r="DW59" s="154" t="str">
        <f t="shared" si="67"/>
        <v>OK</v>
      </c>
      <c r="DX59" s="157">
        <f t="shared" si="68"/>
        <v>0</v>
      </c>
      <c r="DY59" s="156" t="str">
        <f t="shared" si="69"/>
        <v>OK</v>
      </c>
    </row>
    <row r="60" spans="1:129" ht="13" hidden="1" x14ac:dyDescent="0.3">
      <c r="A60" s="333"/>
      <c r="B60" s="333"/>
      <c r="C60" s="331" t="str">
        <f t="shared" si="46"/>
        <v>-</v>
      </c>
      <c r="D60" s="584">
        <v>37</v>
      </c>
      <c r="E60" s="585"/>
      <c r="F60" s="586"/>
      <c r="G60" s="600"/>
      <c r="H60" s="587"/>
      <c r="I60" s="601"/>
      <c r="J60" s="585"/>
      <c r="K60" s="617"/>
      <c r="L60" s="602"/>
      <c r="M60" s="603"/>
      <c r="N60" s="588"/>
      <c r="O60" s="604"/>
      <c r="P60" s="605"/>
      <c r="Q60" s="588"/>
      <c r="R60" s="604"/>
      <c r="S60" s="605"/>
      <c r="T60" s="606"/>
      <c r="U60" s="606"/>
      <c r="V60" s="429" t="str">
        <f t="shared" si="0"/>
        <v/>
      </c>
      <c r="W60" s="430" t="str">
        <f t="shared" si="47"/>
        <v/>
      </c>
      <c r="X60" s="66" t="str">
        <f>IF(AND(ISNUMBER(P60),N60=FixedDim),MAX('Adjustment factors'!$S$16,0.2+0.8*P60),IF(ISTEXT(N60),VLOOKUP(N60,Afactors,2,TRUE),""))</f>
        <v/>
      </c>
      <c r="Y60" s="17" t="str">
        <f>IF(AND(ISNUMBER(S60),Q60=FixedDim),MAX('Adjustment factors'!$S$16,0.2+0.8*S60),IF(ISTEXT(Q60),VLOOKUP(Q60,Afactors,2,TRUE),""))</f>
        <v/>
      </c>
      <c r="Z60" s="297" t="str">
        <f>IF(ISBLANK(T60),"",VLOOKUP(T60,'Adjustment factors'!$R$27:$S$30,2,TRUE))</f>
        <v/>
      </c>
      <c r="AA60" s="297" t="str">
        <f>IF(ISBLANK(U60),"",VLOOKUP(U60,'Adjustment factors'!$R$27:$S$30,2,TRUE))</f>
        <v/>
      </c>
      <c r="AB60" s="480">
        <f t="shared" si="48"/>
        <v>1</v>
      </c>
      <c r="AC60" s="18" t="b">
        <f t="shared" si="1"/>
        <v>0</v>
      </c>
      <c r="AD60" s="18" t="b">
        <f t="shared" si="2"/>
        <v>0</v>
      </c>
      <c r="AE60" s="18" t="b">
        <f t="shared" si="70"/>
        <v>0</v>
      </c>
      <c r="AF60" s="17" t="str">
        <f t="shared" si="3"/>
        <v/>
      </c>
      <c r="AG60" s="18" t="str">
        <f t="shared" si="4"/>
        <v/>
      </c>
      <c r="AH60" s="17" t="str">
        <f t="shared" si="71"/>
        <v/>
      </c>
      <c r="AI60" s="297" t="e">
        <f t="shared" si="49"/>
        <v>#VALUE!</v>
      </c>
      <c r="AJ60" s="79" t="e">
        <f t="shared" si="5"/>
        <v>#VALUE!</v>
      </c>
      <c r="AK60" s="17" t="str">
        <f t="shared" si="72"/>
        <v/>
      </c>
      <c r="AL60" s="80" t="e">
        <f t="shared" si="6"/>
        <v>#VALUE!</v>
      </c>
      <c r="AM60" s="139" t="b">
        <f t="shared" si="7"/>
        <v>1</v>
      </c>
      <c r="AN60" s="139" t="b">
        <f>AND(COUNTA(E60)&gt;0,ISNUMBER(F60),OR(COUNT(G60:H60)=0,COUNT(G60:H60)=2,AND(ISNUMBER(G60),ISNUMBER(VALUE(LEFT(H60,SUM(LEN(H60)-LEN(SUBSTITUTE(H60,{"0","1","2","3","4","5","6","7","8","9","."},"")))))))),ISNUMBER(I60),ISTEXT(J60))</f>
        <v>0</v>
      </c>
      <c r="AO60" s="19" t="b">
        <f t="shared" si="8"/>
        <v>0</v>
      </c>
      <c r="AP60" s="19" t="b">
        <f t="shared" si="9"/>
        <v>1</v>
      </c>
      <c r="AQ60" s="19" t="b">
        <f>IF(AND(COUNTBLANK(E60:J60)=6,OR(AN61:AN$523)),NOT(AN60))</f>
        <v>0</v>
      </c>
      <c r="AR60" s="19" t="str">
        <f t="shared" si="10"/>
        <v/>
      </c>
      <c r="AS60" s="19" t="b">
        <f t="shared" si="11"/>
        <v>1</v>
      </c>
      <c r="AT60" s="19" t="str">
        <f t="shared" si="12"/>
        <v/>
      </c>
      <c r="AU60" s="19" t="b">
        <f t="shared" si="13"/>
        <v>1</v>
      </c>
      <c r="AV60" s="140" t="str">
        <f t="shared" si="50"/>
        <v/>
      </c>
      <c r="AW60" s="19" t="str">
        <f t="shared" si="14"/>
        <v/>
      </c>
      <c r="AX60" s="81">
        <f t="shared" si="15"/>
        <v>0</v>
      </c>
      <c r="AY60" s="81" t="str">
        <f t="shared" si="16"/>
        <v/>
      </c>
      <c r="AZ60" s="307" t="str">
        <f t="shared" si="51"/>
        <v/>
      </c>
      <c r="BA60" s="281" t="str">
        <f t="shared" si="52"/>
        <v/>
      </c>
      <c r="BB60" s="281" t="str">
        <f t="shared" si="53"/>
        <v/>
      </c>
      <c r="BC60" s="953"/>
      <c r="BD60" s="955"/>
      <c r="BE60" s="219" t="str">
        <f t="shared" si="17"/>
        <v>n/a</v>
      </c>
      <c r="BF60" s="215" t="b">
        <f t="shared" si="18"/>
        <v>0</v>
      </c>
      <c r="BG60" s="145" t="b">
        <f t="shared" si="19"/>
        <v>0</v>
      </c>
      <c r="BH60" s="145" t="b">
        <f t="shared" si="20"/>
        <v>0</v>
      </c>
      <c r="BI60" s="216" t="b">
        <f t="shared" si="21"/>
        <v>0</v>
      </c>
      <c r="BJ60" s="215" t="b">
        <f t="shared" si="74"/>
        <v>0</v>
      </c>
      <c r="BK60" s="145" t="b">
        <f t="shared" si="75"/>
        <v>0</v>
      </c>
      <c r="BL60" s="216" t="b">
        <f t="shared" si="76"/>
        <v>0</v>
      </c>
      <c r="BM60" s="217" t="str">
        <f t="shared" si="54"/>
        <v/>
      </c>
      <c r="BN60" s="146" t="str">
        <f t="shared" si="55"/>
        <v/>
      </c>
      <c r="BO60" s="147" t="str">
        <f t="shared" si="56"/>
        <v/>
      </c>
      <c r="BP60" s="148" t="str">
        <f t="shared" si="57"/>
        <v/>
      </c>
      <c r="BT60" s="50">
        <v>37</v>
      </c>
      <c r="BU60" s="50" t="str">
        <f t="shared" si="25"/>
        <v>-</v>
      </c>
      <c r="BW60" s="333"/>
      <c r="BX60" s="333"/>
      <c r="BY60" s="333"/>
      <c r="BZ60" s="333"/>
      <c r="CA60" s="333"/>
      <c r="CB60" s="333"/>
      <c r="CC60" s="333"/>
      <c r="CD60" s="333"/>
      <c r="CE60" s="333"/>
      <c r="CF60" s="333"/>
      <c r="CG60" s="354">
        <f t="shared" si="26"/>
        <v>37</v>
      </c>
      <c r="CH60" s="613">
        <f t="shared" si="27"/>
        <v>0</v>
      </c>
      <c r="CI60" s="613">
        <f t="shared" si="28"/>
        <v>0</v>
      </c>
      <c r="CJ60" s="614" t="str">
        <f t="shared" si="29"/>
        <v/>
      </c>
      <c r="CK60" s="615" t="str">
        <f t="shared" si="30"/>
        <v/>
      </c>
      <c r="CL60" s="610" t="str">
        <f>IF(ISBLANK(H60),"",IF(AND(ISNUMBER(F60),ISNUMBER(G60),ISNUMBER(H60)),ROUND(F60/(H60*G60),2),ROUND(F60/(VALUE(LEFT(H60,SUM(LEN(H60)-LEN(SUBSTITUTE(H60,{"0","1","2","3","4","5","6","7","8","9","."},"")))))*G60),2)))</f>
        <v/>
      </c>
      <c r="CM60" s="616" t="str">
        <f t="shared" si="58"/>
        <v/>
      </c>
      <c r="CN60" s="616" t="str">
        <f>IF(ISNUMBER(P60),MAX('Adjustment factors'!$S$16,(0.2+0.8*P60)),IF(ISTEXT(N60),VLOOKUP(N60,Afactors,2,FALSE),""))</f>
        <v/>
      </c>
      <c r="CO60" s="616" t="str">
        <f>IF(ISNUMBER(S60),MAX('Adjustment factors'!$S$16,0.2+0.8*S60),IF(ISTEXT(Q60),VLOOKUP(Q60,Afactors,2,FALSE),""))</f>
        <v/>
      </c>
      <c r="CP60" s="611" t="str">
        <f t="shared" si="59"/>
        <v/>
      </c>
      <c r="CQ60" s="612" t="str">
        <f t="shared" si="60"/>
        <v/>
      </c>
      <c r="CR60" s="340"/>
      <c r="CS60" s="340"/>
      <c r="CT60" s="340"/>
      <c r="CU60" s="340"/>
      <c r="CV60" s="333"/>
      <c r="CW60" s="333"/>
      <c r="CX60" s="333"/>
      <c r="CY60" s="333"/>
      <c r="DA60" s="313" t="str">
        <f t="shared" si="31"/>
        <v>OK</v>
      </c>
      <c r="DB60" s="313" t="str">
        <f t="shared" si="32"/>
        <v>OK</v>
      </c>
      <c r="DC60" s="313" t="str">
        <f t="shared" si="33"/>
        <v>OK</v>
      </c>
      <c r="DD60" s="313" t="str">
        <f t="shared" si="34"/>
        <v>OK</v>
      </c>
      <c r="DE60" s="153" t="str">
        <f t="shared" si="35"/>
        <v>OK</v>
      </c>
      <c r="DF60" s="314" t="str">
        <f t="shared" si="36"/>
        <v>OK</v>
      </c>
      <c r="DG60" s="482" t="str">
        <f t="shared" si="61"/>
        <v>OK</v>
      </c>
      <c r="DH60" s="482" t="str">
        <f>IF(OR(AND(T60='Adjustment factors'!$R$28,'Class 3, 5-9'!U60='Adjustment factors'!$R$29),AND('Class 3, 5-9'!T60='Adjustment factors'!$R$29,'Class 3, 5-9'!U60='Adjustment factors'!$R$28)),"Invalid combination of adjustment factors",IF(AND(T60=U60,NOT(ISBLANK(T60)),NOT(ISBLANK(U60))),"Same colour factor selected twice","OK"))</f>
        <v>OK</v>
      </c>
      <c r="DI60" s="313" t="str">
        <f t="shared" si="37"/>
        <v>OK</v>
      </c>
      <c r="DJ60" s="153" t="str">
        <f t="shared" si="62"/>
        <v>OK</v>
      </c>
      <c r="DK60" s="153" t="str">
        <f t="shared" si="38"/>
        <v>OK</v>
      </c>
      <c r="DL60" s="313" t="str">
        <f t="shared" si="39"/>
        <v>OK</v>
      </c>
      <c r="DM60" s="153" t="str">
        <f t="shared" si="40"/>
        <v>OK</v>
      </c>
      <c r="DN60" s="153" t="str">
        <f t="shared" si="63"/>
        <v>OK</v>
      </c>
      <c r="DO60" s="154" t="str">
        <f t="shared" si="64"/>
        <v>OK</v>
      </c>
      <c r="DP60" s="153" t="str">
        <f t="shared" si="41"/>
        <v>OK</v>
      </c>
      <c r="DQ60" s="313" t="str">
        <f t="shared" si="42"/>
        <v>OK</v>
      </c>
      <c r="DR60" s="153" t="str">
        <f t="shared" si="65"/>
        <v>OK</v>
      </c>
      <c r="DS60" s="153" t="str">
        <f t="shared" si="43"/>
        <v>OK</v>
      </c>
      <c r="DT60" s="313" t="str">
        <f t="shared" si="73"/>
        <v>OK</v>
      </c>
      <c r="DU60" s="153" t="str">
        <f t="shared" si="45"/>
        <v>OK</v>
      </c>
      <c r="DV60" s="153" t="str">
        <f t="shared" si="66"/>
        <v>OK</v>
      </c>
      <c r="DW60" s="154" t="str">
        <f t="shared" si="67"/>
        <v>OK</v>
      </c>
      <c r="DX60" s="157">
        <f t="shared" si="68"/>
        <v>0</v>
      </c>
      <c r="DY60" s="156" t="str">
        <f t="shared" si="69"/>
        <v>OK</v>
      </c>
    </row>
    <row r="61" spans="1:129" ht="13" hidden="1" x14ac:dyDescent="0.3">
      <c r="A61" s="333"/>
      <c r="B61" s="333"/>
      <c r="C61" s="331" t="str">
        <f t="shared" si="46"/>
        <v>-</v>
      </c>
      <c r="D61" s="584">
        <v>38</v>
      </c>
      <c r="E61" s="585"/>
      <c r="F61" s="586"/>
      <c r="G61" s="600"/>
      <c r="H61" s="587"/>
      <c r="I61" s="601"/>
      <c r="J61" s="585"/>
      <c r="K61" s="617"/>
      <c r="L61" s="602"/>
      <c r="M61" s="603"/>
      <c r="N61" s="588"/>
      <c r="O61" s="604"/>
      <c r="P61" s="605"/>
      <c r="Q61" s="588"/>
      <c r="R61" s="604"/>
      <c r="S61" s="605"/>
      <c r="T61" s="606"/>
      <c r="U61" s="606"/>
      <c r="V61" s="429" t="str">
        <f t="shared" si="0"/>
        <v/>
      </c>
      <c r="W61" s="430" t="str">
        <f t="shared" si="47"/>
        <v/>
      </c>
      <c r="X61" s="66" t="str">
        <f>IF(AND(ISNUMBER(P61),N61=FixedDim),MAX('Adjustment factors'!$S$16,0.2+0.8*P61),IF(ISTEXT(N61),VLOOKUP(N61,Afactors,2,TRUE),""))</f>
        <v/>
      </c>
      <c r="Y61" s="17" t="str">
        <f>IF(AND(ISNUMBER(S61),Q61=FixedDim),MAX('Adjustment factors'!$S$16,0.2+0.8*S61),IF(ISTEXT(Q61),VLOOKUP(Q61,Afactors,2,TRUE),""))</f>
        <v/>
      </c>
      <c r="Z61" s="297" t="str">
        <f>IF(ISBLANK(T61),"",VLOOKUP(T61,'Adjustment factors'!$R$27:$S$30,2,TRUE))</f>
        <v/>
      </c>
      <c r="AA61" s="297" t="str">
        <f>IF(ISBLANK(U61),"",VLOOKUP(U61,'Adjustment factors'!$R$27:$S$30,2,TRUE))</f>
        <v/>
      </c>
      <c r="AB61" s="480">
        <f t="shared" si="48"/>
        <v>1</v>
      </c>
      <c r="AC61" s="18" t="b">
        <f t="shared" si="1"/>
        <v>0</v>
      </c>
      <c r="AD61" s="18" t="b">
        <f t="shared" si="2"/>
        <v>0</v>
      </c>
      <c r="AE61" s="18" t="b">
        <f t="shared" si="70"/>
        <v>0</v>
      </c>
      <c r="AF61" s="17" t="str">
        <f t="shared" si="3"/>
        <v/>
      </c>
      <c r="AG61" s="18" t="str">
        <f t="shared" si="4"/>
        <v/>
      </c>
      <c r="AH61" s="17" t="str">
        <f t="shared" si="71"/>
        <v/>
      </c>
      <c r="AI61" s="297" t="e">
        <f t="shared" si="49"/>
        <v>#VALUE!</v>
      </c>
      <c r="AJ61" s="79" t="e">
        <f t="shared" si="5"/>
        <v>#VALUE!</v>
      </c>
      <c r="AK61" s="17" t="str">
        <f t="shared" si="72"/>
        <v/>
      </c>
      <c r="AL61" s="80" t="e">
        <f t="shared" si="6"/>
        <v>#VALUE!</v>
      </c>
      <c r="AM61" s="139" t="b">
        <f t="shared" si="7"/>
        <v>1</v>
      </c>
      <c r="AN61" s="139" t="b">
        <f>AND(COUNTA(E61)&gt;0,ISNUMBER(F61),OR(COUNT(G61:H61)=0,COUNT(G61:H61)=2,AND(ISNUMBER(G61),ISNUMBER(VALUE(LEFT(H61,SUM(LEN(H61)-LEN(SUBSTITUTE(H61,{"0","1","2","3","4","5","6","7","8","9","."},"")))))))),ISNUMBER(I61),ISTEXT(J61))</f>
        <v>0</v>
      </c>
      <c r="AO61" s="19" t="b">
        <f t="shared" si="8"/>
        <v>0</v>
      </c>
      <c r="AP61" s="19" t="b">
        <f t="shared" si="9"/>
        <v>1</v>
      </c>
      <c r="AQ61" s="19" t="b">
        <f>IF(AND(COUNTBLANK(E61:J61)=6,OR(AN62:AN$523)),NOT(AN61))</f>
        <v>0</v>
      </c>
      <c r="AR61" s="19" t="str">
        <f t="shared" si="10"/>
        <v/>
      </c>
      <c r="AS61" s="19" t="b">
        <f t="shared" si="11"/>
        <v>1</v>
      </c>
      <c r="AT61" s="19" t="str">
        <f t="shared" si="12"/>
        <v/>
      </c>
      <c r="AU61" s="19" t="b">
        <f t="shared" si="13"/>
        <v>1</v>
      </c>
      <c r="AV61" s="140" t="str">
        <f t="shared" si="50"/>
        <v/>
      </c>
      <c r="AW61" s="19" t="str">
        <f t="shared" si="14"/>
        <v/>
      </c>
      <c r="AX61" s="81">
        <f t="shared" si="15"/>
        <v>0</v>
      </c>
      <c r="AY61" s="81" t="str">
        <f t="shared" si="16"/>
        <v/>
      </c>
      <c r="AZ61" s="307" t="str">
        <f t="shared" si="51"/>
        <v/>
      </c>
      <c r="BA61" s="281" t="str">
        <f t="shared" si="52"/>
        <v/>
      </c>
      <c r="BB61" s="281" t="str">
        <f t="shared" si="53"/>
        <v/>
      </c>
      <c r="BC61" s="953"/>
      <c r="BD61" s="955"/>
      <c r="BE61" s="219" t="str">
        <f t="shared" si="17"/>
        <v>n/a</v>
      </c>
      <c r="BF61" s="215" t="b">
        <f t="shared" si="18"/>
        <v>0</v>
      </c>
      <c r="BG61" s="145" t="b">
        <f t="shared" si="19"/>
        <v>0</v>
      </c>
      <c r="BH61" s="145" t="b">
        <f t="shared" si="20"/>
        <v>0</v>
      </c>
      <c r="BI61" s="216" t="b">
        <f t="shared" si="21"/>
        <v>0</v>
      </c>
      <c r="BJ61" s="215" t="b">
        <f t="shared" si="74"/>
        <v>0</v>
      </c>
      <c r="BK61" s="145" t="b">
        <f t="shared" si="75"/>
        <v>0</v>
      </c>
      <c r="BL61" s="216" t="b">
        <f t="shared" si="76"/>
        <v>0</v>
      </c>
      <c r="BM61" s="217" t="str">
        <f t="shared" si="54"/>
        <v/>
      </c>
      <c r="BN61" s="146" t="str">
        <f t="shared" si="55"/>
        <v/>
      </c>
      <c r="BO61" s="147" t="str">
        <f t="shared" si="56"/>
        <v/>
      </c>
      <c r="BP61" s="148" t="str">
        <f t="shared" si="57"/>
        <v/>
      </c>
      <c r="BT61" s="50">
        <v>38</v>
      </c>
      <c r="BU61" s="50" t="str">
        <f t="shared" si="25"/>
        <v>-</v>
      </c>
      <c r="BW61" s="333"/>
      <c r="BX61" s="333"/>
      <c r="BY61" s="333"/>
      <c r="BZ61" s="333"/>
      <c r="CA61" s="333"/>
      <c r="CB61" s="333"/>
      <c r="CC61" s="333"/>
      <c r="CD61" s="333"/>
      <c r="CE61" s="333"/>
      <c r="CF61" s="333"/>
      <c r="CG61" s="354">
        <f t="shared" si="26"/>
        <v>38</v>
      </c>
      <c r="CH61" s="613">
        <f t="shared" si="27"/>
        <v>0</v>
      </c>
      <c r="CI61" s="613">
        <f t="shared" si="28"/>
        <v>0</v>
      </c>
      <c r="CJ61" s="614" t="str">
        <f t="shared" si="29"/>
        <v/>
      </c>
      <c r="CK61" s="615" t="str">
        <f t="shared" si="30"/>
        <v/>
      </c>
      <c r="CL61" s="610" t="str">
        <f>IF(ISBLANK(H61),"",IF(AND(ISNUMBER(F61),ISNUMBER(G61),ISNUMBER(H61)),ROUND(F61/(H61*G61),2),ROUND(F61/(VALUE(LEFT(H61,SUM(LEN(H61)-LEN(SUBSTITUTE(H61,{"0","1","2","3","4","5","6","7","8","9","."},"")))))*G61),2)))</f>
        <v/>
      </c>
      <c r="CM61" s="616" t="str">
        <f t="shared" si="58"/>
        <v/>
      </c>
      <c r="CN61" s="616" t="str">
        <f>IF(ISNUMBER(P61),MAX('Adjustment factors'!$S$16,(0.2+0.8*P61)),IF(ISTEXT(N61),VLOOKUP(N61,Afactors,2,FALSE),""))</f>
        <v/>
      </c>
      <c r="CO61" s="616" t="str">
        <f>IF(ISNUMBER(S61),MAX('Adjustment factors'!$S$16,0.2+0.8*S61),IF(ISTEXT(Q61),VLOOKUP(Q61,Afactors,2,FALSE),""))</f>
        <v/>
      </c>
      <c r="CP61" s="611" t="str">
        <f t="shared" si="59"/>
        <v/>
      </c>
      <c r="CQ61" s="612" t="str">
        <f t="shared" si="60"/>
        <v/>
      </c>
      <c r="CR61" s="340"/>
      <c r="CS61" s="340"/>
      <c r="CT61" s="340"/>
      <c r="CU61" s="340"/>
      <c r="CV61" s="333"/>
      <c r="CW61" s="333"/>
      <c r="CX61" s="333"/>
      <c r="CY61" s="333"/>
      <c r="DA61" s="313" t="str">
        <f t="shared" si="31"/>
        <v>OK</v>
      </c>
      <c r="DB61" s="313" t="str">
        <f t="shared" si="32"/>
        <v>OK</v>
      </c>
      <c r="DC61" s="313" t="str">
        <f t="shared" si="33"/>
        <v>OK</v>
      </c>
      <c r="DD61" s="313" t="str">
        <f t="shared" si="34"/>
        <v>OK</v>
      </c>
      <c r="DE61" s="153" t="str">
        <f t="shared" si="35"/>
        <v>OK</v>
      </c>
      <c r="DF61" s="314" t="str">
        <f t="shared" si="36"/>
        <v>OK</v>
      </c>
      <c r="DG61" s="482" t="str">
        <f t="shared" si="61"/>
        <v>OK</v>
      </c>
      <c r="DH61" s="482" t="str">
        <f>IF(OR(AND(T61='Adjustment factors'!$R$28,'Class 3, 5-9'!U61='Adjustment factors'!$R$29),AND('Class 3, 5-9'!T61='Adjustment factors'!$R$29,'Class 3, 5-9'!U61='Adjustment factors'!$R$28)),"Invalid combination of adjustment factors",IF(AND(T61=U61,NOT(ISBLANK(T61)),NOT(ISBLANK(U61))),"Same colour factor selected twice","OK"))</f>
        <v>OK</v>
      </c>
      <c r="DI61" s="313" t="str">
        <f t="shared" si="37"/>
        <v>OK</v>
      </c>
      <c r="DJ61" s="153" t="str">
        <f t="shared" si="62"/>
        <v>OK</v>
      </c>
      <c r="DK61" s="153" t="str">
        <f t="shared" si="38"/>
        <v>OK</v>
      </c>
      <c r="DL61" s="313" t="str">
        <f t="shared" si="39"/>
        <v>OK</v>
      </c>
      <c r="DM61" s="153" t="str">
        <f t="shared" si="40"/>
        <v>OK</v>
      </c>
      <c r="DN61" s="153" t="str">
        <f t="shared" si="63"/>
        <v>OK</v>
      </c>
      <c r="DO61" s="154" t="str">
        <f t="shared" si="64"/>
        <v>OK</v>
      </c>
      <c r="DP61" s="153" t="str">
        <f t="shared" si="41"/>
        <v>OK</v>
      </c>
      <c r="DQ61" s="313" t="str">
        <f t="shared" si="42"/>
        <v>OK</v>
      </c>
      <c r="DR61" s="153" t="str">
        <f t="shared" si="65"/>
        <v>OK</v>
      </c>
      <c r="DS61" s="153" t="str">
        <f t="shared" si="43"/>
        <v>OK</v>
      </c>
      <c r="DT61" s="313" t="str">
        <f t="shared" si="73"/>
        <v>OK</v>
      </c>
      <c r="DU61" s="153" t="str">
        <f t="shared" si="45"/>
        <v>OK</v>
      </c>
      <c r="DV61" s="153" t="str">
        <f t="shared" si="66"/>
        <v>OK</v>
      </c>
      <c r="DW61" s="154" t="str">
        <f t="shared" si="67"/>
        <v>OK</v>
      </c>
      <c r="DX61" s="157">
        <f t="shared" si="68"/>
        <v>0</v>
      </c>
      <c r="DY61" s="156" t="str">
        <f t="shared" si="69"/>
        <v>OK</v>
      </c>
    </row>
    <row r="62" spans="1:129" ht="13" hidden="1" x14ac:dyDescent="0.3">
      <c r="A62" s="333"/>
      <c r="B62" s="333"/>
      <c r="C62" s="331" t="str">
        <f t="shared" si="46"/>
        <v>-</v>
      </c>
      <c r="D62" s="584">
        <v>39</v>
      </c>
      <c r="E62" s="585"/>
      <c r="F62" s="586"/>
      <c r="G62" s="600"/>
      <c r="H62" s="587"/>
      <c r="I62" s="601"/>
      <c r="J62" s="585"/>
      <c r="K62" s="617"/>
      <c r="L62" s="602"/>
      <c r="M62" s="603"/>
      <c r="N62" s="588"/>
      <c r="O62" s="604"/>
      <c r="P62" s="605"/>
      <c r="Q62" s="588"/>
      <c r="R62" s="604"/>
      <c r="S62" s="605"/>
      <c r="T62" s="606"/>
      <c r="U62" s="606"/>
      <c r="V62" s="429" t="str">
        <f t="shared" si="0"/>
        <v/>
      </c>
      <c r="W62" s="430" t="str">
        <f t="shared" si="47"/>
        <v/>
      </c>
      <c r="X62" s="66" t="str">
        <f>IF(AND(ISNUMBER(P62),N62=FixedDim),MAX('Adjustment factors'!$S$16,0.2+0.8*P62),IF(ISTEXT(N62),VLOOKUP(N62,Afactors,2,TRUE),""))</f>
        <v/>
      </c>
      <c r="Y62" s="17" t="str">
        <f>IF(AND(ISNUMBER(S62),Q62=FixedDim),MAX('Adjustment factors'!$S$16,0.2+0.8*S62),IF(ISTEXT(Q62),VLOOKUP(Q62,Afactors,2,TRUE),""))</f>
        <v/>
      </c>
      <c r="Z62" s="297" t="str">
        <f>IF(ISBLANK(T62),"",VLOOKUP(T62,'Adjustment factors'!$R$27:$S$30,2,TRUE))</f>
        <v/>
      </c>
      <c r="AA62" s="297" t="str">
        <f>IF(ISBLANK(U62),"",VLOOKUP(U62,'Adjustment factors'!$R$27:$S$30,2,TRUE))</f>
        <v/>
      </c>
      <c r="AB62" s="480">
        <f t="shared" si="48"/>
        <v>1</v>
      </c>
      <c r="AC62" s="18" t="b">
        <f t="shared" si="1"/>
        <v>0</v>
      </c>
      <c r="AD62" s="18" t="b">
        <f t="shared" si="2"/>
        <v>0</v>
      </c>
      <c r="AE62" s="18" t="b">
        <f t="shared" si="70"/>
        <v>0</v>
      </c>
      <c r="AF62" s="17" t="str">
        <f t="shared" si="3"/>
        <v/>
      </c>
      <c r="AG62" s="18" t="str">
        <f t="shared" si="4"/>
        <v/>
      </c>
      <c r="AH62" s="17" t="str">
        <f t="shared" si="71"/>
        <v/>
      </c>
      <c r="AI62" s="297" t="e">
        <f t="shared" si="49"/>
        <v>#VALUE!</v>
      </c>
      <c r="AJ62" s="79" t="e">
        <f t="shared" si="5"/>
        <v>#VALUE!</v>
      </c>
      <c r="AK62" s="17" t="str">
        <f t="shared" si="72"/>
        <v/>
      </c>
      <c r="AL62" s="80" t="e">
        <f t="shared" si="6"/>
        <v>#VALUE!</v>
      </c>
      <c r="AM62" s="139" t="b">
        <f t="shared" si="7"/>
        <v>1</v>
      </c>
      <c r="AN62" s="139" t="b">
        <f>AND(COUNTA(E62)&gt;0,ISNUMBER(F62),OR(COUNT(G62:H62)=0,COUNT(G62:H62)=2,AND(ISNUMBER(G62),ISNUMBER(VALUE(LEFT(H62,SUM(LEN(H62)-LEN(SUBSTITUTE(H62,{"0","1","2","3","4","5","6","7","8","9","."},"")))))))),ISNUMBER(I62),ISTEXT(J62))</f>
        <v>0</v>
      </c>
      <c r="AO62" s="19" t="b">
        <f t="shared" si="8"/>
        <v>0</v>
      </c>
      <c r="AP62" s="19" t="b">
        <f t="shared" si="9"/>
        <v>1</v>
      </c>
      <c r="AQ62" s="19" t="b">
        <f>IF(AND(COUNTBLANK(E62:J62)=6,OR(AN63:AN$523)),NOT(AN62))</f>
        <v>0</v>
      </c>
      <c r="AR62" s="19" t="str">
        <f t="shared" si="10"/>
        <v/>
      </c>
      <c r="AS62" s="19" t="b">
        <f t="shared" si="11"/>
        <v>1</v>
      </c>
      <c r="AT62" s="19" t="str">
        <f t="shared" si="12"/>
        <v/>
      </c>
      <c r="AU62" s="19" t="b">
        <f t="shared" si="13"/>
        <v>1</v>
      </c>
      <c r="AV62" s="140" t="str">
        <f t="shared" si="50"/>
        <v/>
      </c>
      <c r="AW62" s="19" t="str">
        <f t="shared" si="14"/>
        <v/>
      </c>
      <c r="AX62" s="81">
        <f t="shared" si="15"/>
        <v>0</v>
      </c>
      <c r="AY62" s="81" t="str">
        <f t="shared" si="16"/>
        <v/>
      </c>
      <c r="AZ62" s="307" t="str">
        <f t="shared" si="51"/>
        <v/>
      </c>
      <c r="BA62" s="281" t="str">
        <f t="shared" si="52"/>
        <v/>
      </c>
      <c r="BB62" s="281" t="str">
        <f t="shared" si="53"/>
        <v/>
      </c>
      <c r="BC62" s="953"/>
      <c r="BD62" s="955"/>
      <c r="BE62" s="219" t="str">
        <f t="shared" si="17"/>
        <v>n/a</v>
      </c>
      <c r="BF62" s="215" t="b">
        <f t="shared" si="18"/>
        <v>0</v>
      </c>
      <c r="BG62" s="145" t="b">
        <f t="shared" si="19"/>
        <v>0</v>
      </c>
      <c r="BH62" s="145" t="b">
        <f t="shared" si="20"/>
        <v>0</v>
      </c>
      <c r="BI62" s="216" t="b">
        <f t="shared" si="21"/>
        <v>0</v>
      </c>
      <c r="BJ62" s="215" t="b">
        <f t="shared" si="74"/>
        <v>0</v>
      </c>
      <c r="BK62" s="145" t="b">
        <f t="shared" si="75"/>
        <v>0</v>
      </c>
      <c r="BL62" s="216" t="b">
        <f t="shared" si="76"/>
        <v>0</v>
      </c>
      <c r="BM62" s="217" t="str">
        <f t="shared" si="54"/>
        <v/>
      </c>
      <c r="BN62" s="146" t="str">
        <f t="shared" si="55"/>
        <v/>
      </c>
      <c r="BO62" s="147" t="str">
        <f t="shared" si="56"/>
        <v/>
      </c>
      <c r="BP62" s="148" t="str">
        <f t="shared" si="57"/>
        <v/>
      </c>
      <c r="BT62" s="50">
        <v>39</v>
      </c>
      <c r="BU62" s="50" t="str">
        <f t="shared" si="25"/>
        <v>-</v>
      </c>
      <c r="BW62" s="333"/>
      <c r="BX62" s="333"/>
      <c r="BY62" s="333"/>
      <c r="BZ62" s="333"/>
      <c r="CA62" s="333"/>
      <c r="CB62" s="333"/>
      <c r="CC62" s="333"/>
      <c r="CD62" s="333"/>
      <c r="CE62" s="333"/>
      <c r="CF62" s="333"/>
      <c r="CG62" s="354">
        <f t="shared" si="26"/>
        <v>39</v>
      </c>
      <c r="CH62" s="613">
        <f t="shared" si="27"/>
        <v>0</v>
      </c>
      <c r="CI62" s="613">
        <f t="shared" si="28"/>
        <v>0</v>
      </c>
      <c r="CJ62" s="614" t="str">
        <f t="shared" si="29"/>
        <v/>
      </c>
      <c r="CK62" s="615" t="str">
        <f t="shared" si="30"/>
        <v/>
      </c>
      <c r="CL62" s="610" t="str">
        <f>IF(ISBLANK(H62),"",IF(AND(ISNUMBER(F62),ISNUMBER(G62),ISNUMBER(H62)),ROUND(F62/(H62*G62),2),ROUND(F62/(VALUE(LEFT(H62,SUM(LEN(H62)-LEN(SUBSTITUTE(H62,{"0","1","2","3","4","5","6","7","8","9","."},"")))))*G62),2)))</f>
        <v/>
      </c>
      <c r="CM62" s="616" t="str">
        <f t="shared" si="58"/>
        <v/>
      </c>
      <c r="CN62" s="616" t="str">
        <f>IF(ISNUMBER(P62),MAX('Adjustment factors'!$S$16,(0.2+0.8*P62)),IF(ISTEXT(N62),VLOOKUP(N62,Afactors,2,FALSE),""))</f>
        <v/>
      </c>
      <c r="CO62" s="616" t="str">
        <f>IF(ISNUMBER(S62),MAX('Adjustment factors'!$S$16,0.2+0.8*S62),IF(ISTEXT(Q62),VLOOKUP(Q62,Afactors,2,FALSE),""))</f>
        <v/>
      </c>
      <c r="CP62" s="611" t="str">
        <f t="shared" si="59"/>
        <v/>
      </c>
      <c r="CQ62" s="612" t="str">
        <f t="shared" si="60"/>
        <v/>
      </c>
      <c r="CR62" s="340"/>
      <c r="CS62" s="340"/>
      <c r="CT62" s="340"/>
      <c r="CU62" s="340"/>
      <c r="CV62" s="333"/>
      <c r="CW62" s="333"/>
      <c r="CX62" s="333"/>
      <c r="CY62" s="333"/>
      <c r="DA62" s="313" t="str">
        <f t="shared" si="31"/>
        <v>OK</v>
      </c>
      <c r="DB62" s="313" t="str">
        <f t="shared" si="32"/>
        <v>OK</v>
      </c>
      <c r="DC62" s="313" t="str">
        <f t="shared" si="33"/>
        <v>OK</v>
      </c>
      <c r="DD62" s="313" t="str">
        <f t="shared" si="34"/>
        <v>OK</v>
      </c>
      <c r="DE62" s="153" t="str">
        <f t="shared" si="35"/>
        <v>OK</v>
      </c>
      <c r="DF62" s="314" t="str">
        <f t="shared" si="36"/>
        <v>OK</v>
      </c>
      <c r="DG62" s="482" t="str">
        <f t="shared" si="61"/>
        <v>OK</v>
      </c>
      <c r="DH62" s="482" t="str">
        <f>IF(OR(AND(T62='Adjustment factors'!$R$28,'Class 3, 5-9'!U62='Adjustment factors'!$R$29),AND('Class 3, 5-9'!T62='Adjustment factors'!$R$29,'Class 3, 5-9'!U62='Adjustment factors'!$R$28)),"Invalid combination of adjustment factors",IF(AND(T62=U62,NOT(ISBLANK(T62)),NOT(ISBLANK(U62))),"Same colour factor selected twice","OK"))</f>
        <v>OK</v>
      </c>
      <c r="DI62" s="313" t="str">
        <f t="shared" si="37"/>
        <v>OK</v>
      </c>
      <c r="DJ62" s="153" t="str">
        <f t="shared" si="62"/>
        <v>OK</v>
      </c>
      <c r="DK62" s="153" t="str">
        <f t="shared" si="38"/>
        <v>OK</v>
      </c>
      <c r="DL62" s="313" t="str">
        <f t="shared" si="39"/>
        <v>OK</v>
      </c>
      <c r="DM62" s="153" t="str">
        <f t="shared" si="40"/>
        <v>OK</v>
      </c>
      <c r="DN62" s="153" t="str">
        <f t="shared" si="63"/>
        <v>OK</v>
      </c>
      <c r="DO62" s="154" t="str">
        <f t="shared" si="64"/>
        <v>OK</v>
      </c>
      <c r="DP62" s="153" t="str">
        <f t="shared" si="41"/>
        <v>OK</v>
      </c>
      <c r="DQ62" s="313" t="str">
        <f t="shared" si="42"/>
        <v>OK</v>
      </c>
      <c r="DR62" s="153" t="str">
        <f t="shared" si="65"/>
        <v>OK</v>
      </c>
      <c r="DS62" s="153" t="str">
        <f t="shared" si="43"/>
        <v>OK</v>
      </c>
      <c r="DT62" s="313" t="str">
        <f t="shared" si="73"/>
        <v>OK</v>
      </c>
      <c r="DU62" s="153" t="str">
        <f t="shared" si="45"/>
        <v>OK</v>
      </c>
      <c r="DV62" s="153" t="str">
        <f t="shared" si="66"/>
        <v>OK</v>
      </c>
      <c r="DW62" s="154" t="str">
        <f t="shared" si="67"/>
        <v>OK</v>
      </c>
      <c r="DX62" s="157">
        <f t="shared" si="68"/>
        <v>0</v>
      </c>
      <c r="DY62" s="156" t="str">
        <f t="shared" si="69"/>
        <v>OK</v>
      </c>
    </row>
    <row r="63" spans="1:129" ht="13" hidden="1" x14ac:dyDescent="0.3">
      <c r="A63" s="333"/>
      <c r="B63" s="333"/>
      <c r="C63" s="332" t="str">
        <f t="shared" si="46"/>
        <v>-</v>
      </c>
      <c r="D63" s="584">
        <v>40</v>
      </c>
      <c r="E63" s="585"/>
      <c r="F63" s="586"/>
      <c r="G63" s="600"/>
      <c r="H63" s="587"/>
      <c r="I63" s="601"/>
      <c r="J63" s="585"/>
      <c r="K63" s="617"/>
      <c r="L63" s="602"/>
      <c r="M63" s="603"/>
      <c r="N63" s="588"/>
      <c r="O63" s="604"/>
      <c r="P63" s="605"/>
      <c r="Q63" s="588"/>
      <c r="R63" s="604"/>
      <c r="S63" s="605"/>
      <c r="T63" s="606"/>
      <c r="U63" s="606"/>
      <c r="V63" s="429" t="str">
        <f t="shared" si="0"/>
        <v/>
      </c>
      <c r="W63" s="430" t="str">
        <f t="shared" si="47"/>
        <v/>
      </c>
      <c r="X63" s="66" t="str">
        <f>IF(AND(ISNUMBER(P63),N63=FixedDim),MAX('Adjustment factors'!$S$16,0.2+0.8*P63),IF(ISTEXT(N63),VLOOKUP(N63,Afactors,2,TRUE),""))</f>
        <v/>
      </c>
      <c r="Y63" s="17" t="str">
        <f>IF(AND(ISNUMBER(S63),Q63=FixedDim),MAX('Adjustment factors'!$S$16,0.2+0.8*S63),IF(ISTEXT(Q63),VLOOKUP(Q63,Afactors,2,TRUE),""))</f>
        <v/>
      </c>
      <c r="Z63" s="297" t="str">
        <f>IF(ISBLANK(T63),"",VLOOKUP(T63,'Adjustment factors'!$R$27:$S$30,2,TRUE))</f>
        <v/>
      </c>
      <c r="AA63" s="297" t="str">
        <f>IF(ISBLANK(U63),"",VLOOKUP(U63,'Adjustment factors'!$R$27:$S$30,2,TRUE))</f>
        <v/>
      </c>
      <c r="AB63" s="480">
        <f t="shared" si="48"/>
        <v>1</v>
      </c>
      <c r="AC63" s="18" t="b">
        <f t="shared" si="1"/>
        <v>0</v>
      </c>
      <c r="AD63" s="18" t="b">
        <f t="shared" si="2"/>
        <v>0</v>
      </c>
      <c r="AE63" s="18" t="b">
        <f t="shared" si="70"/>
        <v>0</v>
      </c>
      <c r="AF63" s="17" t="str">
        <f t="shared" si="3"/>
        <v/>
      </c>
      <c r="AG63" s="18" t="str">
        <f t="shared" si="4"/>
        <v/>
      </c>
      <c r="AH63" s="17" t="str">
        <f t="shared" si="71"/>
        <v/>
      </c>
      <c r="AI63" s="297" t="e">
        <f t="shared" si="49"/>
        <v>#VALUE!</v>
      </c>
      <c r="AJ63" s="79" t="e">
        <f t="shared" si="5"/>
        <v>#VALUE!</v>
      </c>
      <c r="AK63" s="17" t="str">
        <f t="shared" si="72"/>
        <v/>
      </c>
      <c r="AL63" s="80" t="e">
        <f t="shared" si="6"/>
        <v>#VALUE!</v>
      </c>
      <c r="AM63" s="139" t="b">
        <f t="shared" si="7"/>
        <v>1</v>
      </c>
      <c r="AN63" s="139" t="b">
        <f>AND(COUNTA(E63)&gt;0,ISNUMBER(F63),OR(COUNT(G63:H63)=0,COUNT(G63:H63)=2,AND(ISNUMBER(G63),ISNUMBER(VALUE(LEFT(H63,SUM(LEN(H63)-LEN(SUBSTITUTE(H63,{"0","1","2","3","4","5","6","7","8","9","."},"")))))))),ISNUMBER(I63),ISTEXT(J63))</f>
        <v>0</v>
      </c>
      <c r="AO63" s="19" t="b">
        <f t="shared" si="8"/>
        <v>0</v>
      </c>
      <c r="AP63" s="19" t="b">
        <f t="shared" si="9"/>
        <v>1</v>
      </c>
      <c r="AQ63" s="19" t="b">
        <f>IF(AND(COUNTBLANK(E63:J63)=6,OR(AN64:AN$523)),NOT(AN63))</f>
        <v>0</v>
      </c>
      <c r="AR63" s="19" t="str">
        <f t="shared" si="10"/>
        <v/>
      </c>
      <c r="AS63" s="19" t="b">
        <f t="shared" si="11"/>
        <v>1</v>
      </c>
      <c r="AT63" s="19" t="str">
        <f t="shared" si="12"/>
        <v/>
      </c>
      <c r="AU63" s="19" t="b">
        <f t="shared" si="13"/>
        <v>1</v>
      </c>
      <c r="AV63" s="140" t="str">
        <f t="shared" si="50"/>
        <v/>
      </c>
      <c r="AW63" s="19" t="str">
        <f t="shared" si="14"/>
        <v/>
      </c>
      <c r="AX63" s="81">
        <f t="shared" si="15"/>
        <v>0</v>
      </c>
      <c r="AY63" s="81" t="str">
        <f t="shared" si="16"/>
        <v/>
      </c>
      <c r="AZ63" s="307" t="str">
        <f t="shared" si="51"/>
        <v/>
      </c>
      <c r="BA63" s="281" t="str">
        <f t="shared" si="52"/>
        <v/>
      </c>
      <c r="BB63" s="281" t="str">
        <f t="shared" si="53"/>
        <v/>
      </c>
      <c r="BC63" s="953"/>
      <c r="BD63" s="955"/>
      <c r="BE63" s="219" t="str">
        <f t="shared" si="17"/>
        <v>n/a</v>
      </c>
      <c r="BF63" s="215" t="b">
        <f t="shared" si="18"/>
        <v>0</v>
      </c>
      <c r="BG63" s="145" t="b">
        <f t="shared" si="19"/>
        <v>0</v>
      </c>
      <c r="BH63" s="145" t="b">
        <f t="shared" si="20"/>
        <v>0</v>
      </c>
      <c r="BI63" s="216" t="b">
        <f t="shared" si="21"/>
        <v>0</v>
      </c>
      <c r="BJ63" s="215" t="b">
        <f t="shared" si="74"/>
        <v>0</v>
      </c>
      <c r="BK63" s="145" t="b">
        <f t="shared" si="75"/>
        <v>0</v>
      </c>
      <c r="BL63" s="216" t="b">
        <f t="shared" si="76"/>
        <v>0</v>
      </c>
      <c r="BM63" s="217" t="str">
        <f t="shared" si="54"/>
        <v/>
      </c>
      <c r="BN63" s="146" t="str">
        <f t="shared" si="55"/>
        <v/>
      </c>
      <c r="BO63" s="147" t="str">
        <f t="shared" si="56"/>
        <v/>
      </c>
      <c r="BP63" s="148" t="str">
        <f t="shared" si="57"/>
        <v/>
      </c>
      <c r="BT63" s="50">
        <v>40</v>
      </c>
      <c r="BU63" s="50" t="str">
        <f t="shared" si="25"/>
        <v>-</v>
      </c>
      <c r="BW63" s="333"/>
      <c r="BX63" s="333"/>
      <c r="BY63" s="333"/>
      <c r="BZ63" s="333"/>
      <c r="CA63" s="333"/>
      <c r="CB63" s="333"/>
      <c r="CC63" s="333"/>
      <c r="CD63" s="333"/>
      <c r="CE63" s="333"/>
      <c r="CF63" s="333"/>
      <c r="CG63" s="354">
        <f t="shared" si="26"/>
        <v>40</v>
      </c>
      <c r="CH63" s="613">
        <f t="shared" si="27"/>
        <v>0</v>
      </c>
      <c r="CI63" s="613">
        <f t="shared" si="28"/>
        <v>0</v>
      </c>
      <c r="CJ63" s="614" t="str">
        <f t="shared" si="29"/>
        <v/>
      </c>
      <c r="CK63" s="615" t="str">
        <f t="shared" si="30"/>
        <v/>
      </c>
      <c r="CL63" s="610" t="str">
        <f>IF(ISBLANK(H63),"",IF(AND(ISNUMBER(F63),ISNUMBER(G63),ISNUMBER(H63)),ROUND(F63/(H63*G63),2),ROUND(F63/(VALUE(LEFT(H63,SUM(LEN(H63)-LEN(SUBSTITUTE(H63,{"0","1","2","3","4","5","6","7","8","9","."},"")))))*G63),2)))</f>
        <v/>
      </c>
      <c r="CM63" s="616" t="str">
        <f t="shared" si="58"/>
        <v/>
      </c>
      <c r="CN63" s="616" t="str">
        <f>IF(ISNUMBER(P63),MAX('Adjustment factors'!$S$16,(0.2+0.8*P63)),IF(ISTEXT(N63),VLOOKUP(N63,Afactors,2,FALSE),""))</f>
        <v/>
      </c>
      <c r="CO63" s="616" t="str">
        <f>IF(ISNUMBER(S63),MAX('Adjustment factors'!$S$16,0.2+0.8*S63),IF(ISTEXT(Q63),VLOOKUP(Q63,Afactors,2,FALSE),""))</f>
        <v/>
      </c>
      <c r="CP63" s="611" t="str">
        <f t="shared" si="59"/>
        <v/>
      </c>
      <c r="CQ63" s="612" t="str">
        <f t="shared" si="60"/>
        <v/>
      </c>
      <c r="CR63" s="340"/>
      <c r="CS63" s="340"/>
      <c r="CT63" s="340"/>
      <c r="CU63" s="340"/>
      <c r="CV63" s="333"/>
      <c r="CW63" s="333"/>
      <c r="CX63" s="333"/>
      <c r="CY63" s="333"/>
      <c r="DA63" s="313" t="str">
        <f t="shared" si="31"/>
        <v>OK</v>
      </c>
      <c r="DB63" s="313" t="str">
        <f t="shared" si="32"/>
        <v>OK</v>
      </c>
      <c r="DC63" s="313" t="str">
        <f t="shared" si="33"/>
        <v>OK</v>
      </c>
      <c r="DD63" s="313" t="str">
        <f t="shared" si="34"/>
        <v>OK</v>
      </c>
      <c r="DE63" s="153" t="str">
        <f t="shared" si="35"/>
        <v>OK</v>
      </c>
      <c r="DF63" s="314" t="str">
        <f t="shared" si="36"/>
        <v>OK</v>
      </c>
      <c r="DG63" s="482" t="str">
        <f t="shared" si="61"/>
        <v>OK</v>
      </c>
      <c r="DH63" s="482" t="str">
        <f>IF(OR(AND(T63='Adjustment factors'!$R$28,'Class 3, 5-9'!U63='Adjustment factors'!$R$29),AND('Class 3, 5-9'!T63='Adjustment factors'!$R$29,'Class 3, 5-9'!U63='Adjustment factors'!$R$28)),"Invalid combination of adjustment factors",IF(AND(T63=U63,NOT(ISBLANK(T63)),NOT(ISBLANK(U63))),"Same colour factor selected twice","OK"))</f>
        <v>OK</v>
      </c>
      <c r="DI63" s="313" t="str">
        <f t="shared" si="37"/>
        <v>OK</v>
      </c>
      <c r="DJ63" s="153" t="str">
        <f t="shared" si="62"/>
        <v>OK</v>
      </c>
      <c r="DK63" s="153" t="str">
        <f t="shared" si="38"/>
        <v>OK</v>
      </c>
      <c r="DL63" s="313" t="str">
        <f t="shared" si="39"/>
        <v>OK</v>
      </c>
      <c r="DM63" s="153" t="str">
        <f t="shared" si="40"/>
        <v>OK</v>
      </c>
      <c r="DN63" s="153" t="str">
        <f t="shared" si="63"/>
        <v>OK</v>
      </c>
      <c r="DO63" s="154" t="str">
        <f t="shared" si="64"/>
        <v>OK</v>
      </c>
      <c r="DP63" s="153" t="str">
        <f t="shared" si="41"/>
        <v>OK</v>
      </c>
      <c r="DQ63" s="313" t="str">
        <f t="shared" si="42"/>
        <v>OK</v>
      </c>
      <c r="DR63" s="153" t="str">
        <f t="shared" si="65"/>
        <v>OK</v>
      </c>
      <c r="DS63" s="153" t="str">
        <f t="shared" si="43"/>
        <v>OK</v>
      </c>
      <c r="DT63" s="313" t="str">
        <f t="shared" si="73"/>
        <v>OK</v>
      </c>
      <c r="DU63" s="153" t="str">
        <f t="shared" si="45"/>
        <v>OK</v>
      </c>
      <c r="DV63" s="153" t="str">
        <f t="shared" si="66"/>
        <v>OK</v>
      </c>
      <c r="DW63" s="154" t="str">
        <f t="shared" si="67"/>
        <v>OK</v>
      </c>
      <c r="DX63" s="157">
        <f t="shared" si="68"/>
        <v>0</v>
      </c>
      <c r="DY63" s="156" t="str">
        <f t="shared" si="69"/>
        <v>OK</v>
      </c>
    </row>
    <row r="64" spans="1:129" ht="13" hidden="1" x14ac:dyDescent="0.3">
      <c r="A64" s="333"/>
      <c r="B64" s="333"/>
      <c r="C64" s="332" t="str">
        <f t="shared" si="46"/>
        <v>-</v>
      </c>
      <c r="D64" s="584">
        <f>D63+1</f>
        <v>41</v>
      </c>
      <c r="E64" s="585"/>
      <c r="F64" s="586"/>
      <c r="G64" s="600"/>
      <c r="H64" s="587"/>
      <c r="I64" s="601"/>
      <c r="J64" s="585"/>
      <c r="K64" s="617"/>
      <c r="L64" s="602"/>
      <c r="M64" s="603"/>
      <c r="N64" s="588"/>
      <c r="O64" s="604"/>
      <c r="P64" s="605"/>
      <c r="Q64" s="588"/>
      <c r="R64" s="604"/>
      <c r="S64" s="605"/>
      <c r="T64" s="606"/>
      <c r="U64" s="606"/>
      <c r="V64" s="429" t="str">
        <f t="shared" si="0"/>
        <v/>
      </c>
      <c r="W64" s="430" t="str">
        <f t="shared" si="47"/>
        <v/>
      </c>
      <c r="X64" s="66" t="str">
        <f>IF(AND(ISNUMBER(P64),N64=FixedDim),MAX('Adjustment factors'!$S$16,0.2+0.8*P64),IF(ISTEXT(N64),VLOOKUP(N64,Afactors,2,TRUE),""))</f>
        <v/>
      </c>
      <c r="Y64" s="17" t="str">
        <f>IF(AND(ISNUMBER(S64),Q64=FixedDim),MAX('Adjustment factors'!$S$16,0.2+0.8*S64),IF(ISTEXT(Q64),VLOOKUP(Q64,Afactors,2,TRUE),""))</f>
        <v/>
      </c>
      <c r="Z64" s="297" t="str">
        <f>IF(ISBLANK(T64),"",VLOOKUP(T64,'Adjustment factors'!$R$27:$S$30,2,TRUE))</f>
        <v/>
      </c>
      <c r="AA64" s="297" t="str">
        <f>IF(ISBLANK(U64),"",VLOOKUP(U64,'Adjustment factors'!$R$27:$S$30,2,TRUE))</f>
        <v/>
      </c>
      <c r="AB64" s="480">
        <f t="shared" si="48"/>
        <v>1</v>
      </c>
      <c r="AC64" s="18" t="b">
        <f t="shared" si="1"/>
        <v>0</v>
      </c>
      <c r="AD64" s="18" t="b">
        <f t="shared" si="2"/>
        <v>0</v>
      </c>
      <c r="AE64" s="18" t="b">
        <f t="shared" si="70"/>
        <v>0</v>
      </c>
      <c r="AF64" s="17" t="str">
        <f t="shared" si="3"/>
        <v/>
      </c>
      <c r="AG64" s="18" t="str">
        <f t="shared" si="4"/>
        <v/>
      </c>
      <c r="AH64" s="17" t="str">
        <f t="shared" si="71"/>
        <v/>
      </c>
      <c r="AI64" s="297" t="e">
        <f t="shared" si="49"/>
        <v>#VALUE!</v>
      </c>
      <c r="AJ64" s="79" t="e">
        <f t="shared" si="5"/>
        <v>#VALUE!</v>
      </c>
      <c r="AK64" s="17" t="str">
        <f t="shared" si="72"/>
        <v/>
      </c>
      <c r="AL64" s="80" t="e">
        <f t="shared" si="6"/>
        <v>#VALUE!</v>
      </c>
      <c r="AM64" s="139" t="b">
        <f t="shared" si="7"/>
        <v>1</v>
      </c>
      <c r="AN64" s="139" t="b">
        <f>AND(COUNTA(E64)&gt;0,ISNUMBER(F64),OR(COUNT(G64:H64)=0,COUNT(G64:H64)=2,AND(ISNUMBER(G64),ISNUMBER(VALUE(LEFT(H64,SUM(LEN(H64)-LEN(SUBSTITUTE(H64,{"0","1","2","3","4","5","6","7","8","9","."},"")))))))),ISNUMBER(I64),ISTEXT(J64))</f>
        <v>0</v>
      </c>
      <c r="AO64" s="19" t="b">
        <f t="shared" si="8"/>
        <v>0</v>
      </c>
      <c r="AP64" s="19" t="b">
        <f t="shared" si="9"/>
        <v>1</v>
      </c>
      <c r="AQ64" s="19" t="b">
        <f>IF(AND(COUNTBLANK(E64:J64)=6,OR(AN65:AN$523)),NOT(AN64))</f>
        <v>0</v>
      </c>
      <c r="AR64" s="19" t="str">
        <f t="shared" si="10"/>
        <v/>
      </c>
      <c r="AS64" s="19" t="b">
        <f t="shared" si="11"/>
        <v>1</v>
      </c>
      <c r="AT64" s="19" t="str">
        <f t="shared" si="12"/>
        <v/>
      </c>
      <c r="AU64" s="19" t="b">
        <f t="shared" si="13"/>
        <v>1</v>
      </c>
      <c r="AV64" s="140" t="str">
        <f t="shared" si="50"/>
        <v/>
      </c>
      <c r="AW64" s="19" t="str">
        <f t="shared" si="14"/>
        <v/>
      </c>
      <c r="AX64" s="81">
        <f t="shared" si="15"/>
        <v>0</v>
      </c>
      <c r="AY64" s="81" t="str">
        <f t="shared" si="16"/>
        <v/>
      </c>
      <c r="AZ64" s="307" t="str">
        <f t="shared" si="51"/>
        <v/>
      </c>
      <c r="BA64" s="281" t="str">
        <f t="shared" si="52"/>
        <v/>
      </c>
      <c r="BB64" s="281" t="str">
        <f t="shared" si="53"/>
        <v/>
      </c>
      <c r="BC64" s="953"/>
      <c r="BD64" s="955"/>
      <c r="BE64" s="219" t="str">
        <f t="shared" si="17"/>
        <v>n/a</v>
      </c>
      <c r="BF64" s="215" t="b">
        <f t="shared" si="18"/>
        <v>0</v>
      </c>
      <c r="BG64" s="145" t="b">
        <f t="shared" si="19"/>
        <v>0</v>
      </c>
      <c r="BH64" s="145" t="b">
        <f t="shared" si="20"/>
        <v>0</v>
      </c>
      <c r="BI64" s="216" t="b">
        <f t="shared" si="21"/>
        <v>0</v>
      </c>
      <c r="BJ64" s="215" t="b">
        <f t="shared" si="74"/>
        <v>0</v>
      </c>
      <c r="BK64" s="145" t="b">
        <f t="shared" si="75"/>
        <v>0</v>
      </c>
      <c r="BL64" s="216" t="b">
        <f t="shared" si="76"/>
        <v>0</v>
      </c>
      <c r="BM64" s="217" t="str">
        <f t="shared" si="54"/>
        <v/>
      </c>
      <c r="BN64" s="146" t="str">
        <f t="shared" si="55"/>
        <v/>
      </c>
      <c r="BO64" s="147" t="str">
        <f t="shared" si="56"/>
        <v/>
      </c>
      <c r="BP64" s="148" t="str">
        <f t="shared" si="57"/>
        <v/>
      </c>
      <c r="BT64" s="50">
        <f>BT63+1</f>
        <v>41</v>
      </c>
      <c r="BU64" s="50" t="str">
        <f t="shared" si="25"/>
        <v>-</v>
      </c>
      <c r="BW64" s="340"/>
      <c r="BX64" s="333"/>
      <c r="BY64" s="333"/>
      <c r="BZ64" s="333"/>
      <c r="CA64" s="333"/>
      <c r="CB64" s="333"/>
      <c r="CC64" s="333"/>
      <c r="CD64" s="333"/>
      <c r="CE64" s="333"/>
      <c r="CF64" s="333"/>
      <c r="CG64" s="354">
        <f t="shared" si="26"/>
        <v>41</v>
      </c>
      <c r="CH64" s="613">
        <f t="shared" si="27"/>
        <v>0</v>
      </c>
      <c r="CI64" s="613">
        <f t="shared" si="28"/>
        <v>0</v>
      </c>
      <c r="CJ64" s="614" t="str">
        <f t="shared" si="29"/>
        <v/>
      </c>
      <c r="CK64" s="615" t="str">
        <f t="shared" si="30"/>
        <v/>
      </c>
      <c r="CL64" s="610" t="str">
        <f>IF(ISBLANK(H64),"",IF(AND(ISNUMBER(F64),ISNUMBER(G64),ISNUMBER(H64)),ROUND(F64/(H64*G64),2),ROUND(F64/(VALUE(LEFT(H64,SUM(LEN(H64)-LEN(SUBSTITUTE(H64,{"0","1","2","3","4","5","6","7","8","9","."},"")))))*G64),2)))</f>
        <v/>
      </c>
      <c r="CM64" s="616" t="str">
        <f t="shared" si="58"/>
        <v/>
      </c>
      <c r="CN64" s="616" t="str">
        <f>IF(ISNUMBER(P64),MAX('Adjustment factors'!$S$16,(0.2+0.8*P64)),IF(ISTEXT(N64),VLOOKUP(N64,Afactors,2,FALSE),""))</f>
        <v/>
      </c>
      <c r="CO64" s="616" t="str">
        <f>IF(ISNUMBER(S64),MAX('Adjustment factors'!$S$16,0.2+0.8*S64),IF(ISTEXT(Q64),VLOOKUP(Q64,Afactors,2,FALSE),""))</f>
        <v/>
      </c>
      <c r="CP64" s="611" t="str">
        <f t="shared" si="59"/>
        <v/>
      </c>
      <c r="CQ64" s="612" t="str">
        <f t="shared" si="60"/>
        <v/>
      </c>
      <c r="CR64" s="340"/>
      <c r="CS64" s="340"/>
      <c r="CT64" s="340"/>
      <c r="CU64" s="340"/>
      <c r="CV64" s="333"/>
      <c r="CW64" s="333"/>
      <c r="CX64" s="333"/>
      <c r="CY64" s="333"/>
      <c r="DA64" s="313" t="str">
        <f t="shared" si="31"/>
        <v>OK</v>
      </c>
      <c r="DB64" s="313" t="str">
        <f t="shared" si="32"/>
        <v>OK</v>
      </c>
      <c r="DC64" s="313" t="str">
        <f t="shared" si="33"/>
        <v>OK</v>
      </c>
      <c r="DD64" s="313" t="str">
        <f t="shared" si="34"/>
        <v>OK</v>
      </c>
      <c r="DE64" s="153" t="str">
        <f t="shared" si="35"/>
        <v>OK</v>
      </c>
      <c r="DF64" s="314" t="str">
        <f t="shared" si="36"/>
        <v>OK</v>
      </c>
      <c r="DG64" s="482" t="str">
        <f t="shared" si="61"/>
        <v>OK</v>
      </c>
      <c r="DH64" s="482" t="str">
        <f>IF(OR(AND(T64='Adjustment factors'!$R$28,'Class 3, 5-9'!U64='Adjustment factors'!$R$29),AND('Class 3, 5-9'!T64='Adjustment factors'!$R$29,'Class 3, 5-9'!U64='Adjustment factors'!$R$28)),"Invalid combination of adjustment factors",IF(AND(T64=U64,NOT(ISBLANK(T64)),NOT(ISBLANK(U64))),"Same colour factor selected twice","OK"))</f>
        <v>OK</v>
      </c>
      <c r="DI64" s="313" t="str">
        <f t="shared" si="37"/>
        <v>OK</v>
      </c>
      <c r="DJ64" s="153" t="str">
        <f t="shared" si="62"/>
        <v>OK</v>
      </c>
      <c r="DK64" s="153" t="str">
        <f t="shared" si="38"/>
        <v>OK</v>
      </c>
      <c r="DL64" s="313" t="str">
        <f t="shared" si="39"/>
        <v>OK</v>
      </c>
      <c r="DM64" s="153" t="str">
        <f t="shared" si="40"/>
        <v>OK</v>
      </c>
      <c r="DN64" s="153" t="str">
        <f t="shared" si="63"/>
        <v>OK</v>
      </c>
      <c r="DO64" s="154" t="str">
        <f t="shared" si="64"/>
        <v>OK</v>
      </c>
      <c r="DP64" s="153" t="str">
        <f t="shared" si="41"/>
        <v>OK</v>
      </c>
      <c r="DQ64" s="313" t="str">
        <f t="shared" si="42"/>
        <v>OK</v>
      </c>
      <c r="DR64" s="153" t="str">
        <f t="shared" si="65"/>
        <v>OK</v>
      </c>
      <c r="DS64" s="153" t="str">
        <f t="shared" si="43"/>
        <v>OK</v>
      </c>
      <c r="DT64" s="313" t="str">
        <f t="shared" si="73"/>
        <v>OK</v>
      </c>
      <c r="DU64" s="153" t="str">
        <f t="shared" si="45"/>
        <v>OK</v>
      </c>
      <c r="DV64" s="153" t="str">
        <f t="shared" si="66"/>
        <v>OK</v>
      </c>
      <c r="DW64" s="154" t="str">
        <f t="shared" si="67"/>
        <v>OK</v>
      </c>
      <c r="DX64" s="157">
        <f t="shared" si="68"/>
        <v>0</v>
      </c>
      <c r="DY64" s="156" t="str">
        <f t="shared" si="69"/>
        <v>OK</v>
      </c>
    </row>
    <row r="65" spans="1:129" ht="13" hidden="1" x14ac:dyDescent="0.3">
      <c r="A65" s="333"/>
      <c r="B65" s="333"/>
      <c r="C65" s="332" t="str">
        <f t="shared" si="46"/>
        <v>-</v>
      </c>
      <c r="D65" s="584">
        <f t="shared" ref="D65:D128" si="77">D64+1</f>
        <v>42</v>
      </c>
      <c r="E65" s="585"/>
      <c r="F65" s="586"/>
      <c r="G65" s="600"/>
      <c r="H65" s="587"/>
      <c r="I65" s="601"/>
      <c r="J65" s="585"/>
      <c r="K65" s="617"/>
      <c r="L65" s="602"/>
      <c r="M65" s="603"/>
      <c r="N65" s="588"/>
      <c r="O65" s="604"/>
      <c r="P65" s="605"/>
      <c r="Q65" s="588"/>
      <c r="R65" s="604"/>
      <c r="S65" s="605"/>
      <c r="T65" s="606"/>
      <c r="U65" s="606"/>
      <c r="V65" s="429" t="str">
        <f t="shared" si="0"/>
        <v/>
      </c>
      <c r="W65" s="430" t="str">
        <f t="shared" si="47"/>
        <v/>
      </c>
      <c r="X65" s="66" t="str">
        <f>IF(AND(ISNUMBER(P65),N65=FixedDim),MAX('Adjustment factors'!$S$16,0.2+0.8*P65),IF(ISTEXT(N65),VLOOKUP(N65,Afactors,2,TRUE),""))</f>
        <v/>
      </c>
      <c r="Y65" s="17" t="str">
        <f>IF(AND(ISNUMBER(S65),Q65=FixedDim),MAX('Adjustment factors'!$S$16,0.2+0.8*S65),IF(ISTEXT(Q65),VLOOKUP(Q65,Afactors,2,TRUE),""))</f>
        <v/>
      </c>
      <c r="Z65" s="297" t="str">
        <f>IF(ISBLANK(T65),"",VLOOKUP(T65,'Adjustment factors'!$R$27:$S$30,2,TRUE))</f>
        <v/>
      </c>
      <c r="AA65" s="297" t="str">
        <f>IF(ISBLANK(U65),"",VLOOKUP(U65,'Adjustment factors'!$R$27:$S$30,2,TRUE))</f>
        <v/>
      </c>
      <c r="AB65" s="480">
        <f t="shared" si="48"/>
        <v>1</v>
      </c>
      <c r="AC65" s="18" t="b">
        <f t="shared" si="1"/>
        <v>0</v>
      </c>
      <c r="AD65" s="18" t="b">
        <f t="shared" si="2"/>
        <v>0</v>
      </c>
      <c r="AE65" s="18" t="b">
        <f t="shared" si="70"/>
        <v>0</v>
      </c>
      <c r="AF65" s="17" t="str">
        <f t="shared" si="3"/>
        <v/>
      </c>
      <c r="AG65" s="18" t="str">
        <f t="shared" si="4"/>
        <v/>
      </c>
      <c r="AH65" s="17" t="str">
        <f t="shared" si="71"/>
        <v/>
      </c>
      <c r="AI65" s="297" t="e">
        <f t="shared" si="49"/>
        <v>#VALUE!</v>
      </c>
      <c r="AJ65" s="79" t="e">
        <f t="shared" si="5"/>
        <v>#VALUE!</v>
      </c>
      <c r="AK65" s="17" t="str">
        <f t="shared" si="72"/>
        <v/>
      </c>
      <c r="AL65" s="80" t="e">
        <f t="shared" si="6"/>
        <v>#VALUE!</v>
      </c>
      <c r="AM65" s="139" t="b">
        <f t="shared" si="7"/>
        <v>1</v>
      </c>
      <c r="AN65" s="139" t="b">
        <f>AND(COUNTA(E65)&gt;0,ISNUMBER(F65),OR(COUNT(G65:H65)=0,COUNT(G65:H65)=2,AND(ISNUMBER(G65),ISNUMBER(VALUE(LEFT(H65,SUM(LEN(H65)-LEN(SUBSTITUTE(H65,{"0","1","2","3","4","5","6","7","8","9","."},"")))))))),ISNUMBER(I65),ISTEXT(J65))</f>
        <v>0</v>
      </c>
      <c r="AO65" s="19" t="b">
        <f t="shared" si="8"/>
        <v>0</v>
      </c>
      <c r="AP65" s="19" t="b">
        <f t="shared" si="9"/>
        <v>1</v>
      </c>
      <c r="AQ65" s="19" t="b">
        <f>IF(AND(COUNTBLANK(E65:J65)=6,OR(AN66:AN$523)),NOT(AN65))</f>
        <v>0</v>
      </c>
      <c r="AR65" s="19" t="str">
        <f t="shared" si="10"/>
        <v/>
      </c>
      <c r="AS65" s="19" t="b">
        <f t="shared" si="11"/>
        <v>1</v>
      </c>
      <c r="AT65" s="19" t="str">
        <f t="shared" si="12"/>
        <v/>
      </c>
      <c r="AU65" s="19" t="b">
        <f t="shared" si="13"/>
        <v>1</v>
      </c>
      <c r="AV65" s="140" t="str">
        <f t="shared" si="50"/>
        <v/>
      </c>
      <c r="AW65" s="19" t="str">
        <f t="shared" si="14"/>
        <v/>
      </c>
      <c r="AX65" s="81">
        <f t="shared" si="15"/>
        <v>0</v>
      </c>
      <c r="AY65" s="81" t="str">
        <f t="shared" si="16"/>
        <v/>
      </c>
      <c r="AZ65" s="307" t="str">
        <f t="shared" si="51"/>
        <v/>
      </c>
      <c r="BA65" s="281" t="str">
        <f t="shared" si="52"/>
        <v/>
      </c>
      <c r="BB65" s="281" t="str">
        <f t="shared" si="53"/>
        <v/>
      </c>
      <c r="BC65" s="953"/>
      <c r="BD65" s="955"/>
      <c r="BE65" s="219" t="str">
        <f t="shared" si="17"/>
        <v>n/a</v>
      </c>
      <c r="BF65" s="215" t="b">
        <f t="shared" si="18"/>
        <v>0</v>
      </c>
      <c r="BG65" s="145" t="b">
        <f t="shared" si="19"/>
        <v>0</v>
      </c>
      <c r="BH65" s="145" t="b">
        <f t="shared" si="20"/>
        <v>0</v>
      </c>
      <c r="BI65" s="216" t="b">
        <f t="shared" si="21"/>
        <v>0</v>
      </c>
      <c r="BJ65" s="215" t="b">
        <f t="shared" si="74"/>
        <v>0</v>
      </c>
      <c r="BK65" s="145" t="b">
        <f t="shared" si="75"/>
        <v>0</v>
      </c>
      <c r="BL65" s="216" t="b">
        <f t="shared" si="76"/>
        <v>0</v>
      </c>
      <c r="BM65" s="217" t="str">
        <f t="shared" si="54"/>
        <v/>
      </c>
      <c r="BN65" s="146" t="str">
        <f t="shared" si="55"/>
        <v/>
      </c>
      <c r="BO65" s="147" t="str">
        <f t="shared" si="56"/>
        <v/>
      </c>
      <c r="BP65" s="148" t="str">
        <f t="shared" si="57"/>
        <v/>
      </c>
      <c r="BT65" s="50">
        <f t="shared" ref="BT65:BT128" si="78">BT64+1</f>
        <v>42</v>
      </c>
      <c r="BU65" s="50" t="str">
        <f t="shared" si="25"/>
        <v>-</v>
      </c>
      <c r="BW65" s="340"/>
      <c r="BX65" s="333"/>
      <c r="BY65" s="333"/>
      <c r="BZ65" s="333"/>
      <c r="CA65" s="333"/>
      <c r="CB65" s="333"/>
      <c r="CC65" s="333"/>
      <c r="CD65" s="333"/>
      <c r="CE65" s="333"/>
      <c r="CF65" s="333"/>
      <c r="CG65" s="354">
        <f t="shared" si="26"/>
        <v>42</v>
      </c>
      <c r="CH65" s="613">
        <f t="shared" si="27"/>
        <v>0</v>
      </c>
      <c r="CI65" s="613">
        <f t="shared" si="28"/>
        <v>0</v>
      </c>
      <c r="CJ65" s="614" t="str">
        <f t="shared" si="29"/>
        <v/>
      </c>
      <c r="CK65" s="615" t="str">
        <f t="shared" si="30"/>
        <v/>
      </c>
      <c r="CL65" s="610" t="str">
        <f>IF(ISBLANK(H65),"",IF(AND(ISNUMBER(F65),ISNUMBER(G65),ISNUMBER(H65)),ROUND(F65/(H65*G65),2),ROUND(F65/(VALUE(LEFT(H65,SUM(LEN(H65)-LEN(SUBSTITUTE(H65,{"0","1","2","3","4","5","6","7","8","9","."},"")))))*G65),2)))</f>
        <v/>
      </c>
      <c r="CM65" s="616" t="str">
        <f t="shared" si="58"/>
        <v/>
      </c>
      <c r="CN65" s="616" t="str">
        <f>IF(ISNUMBER(P65),MAX('Adjustment factors'!$S$16,(0.2+0.8*P65)),IF(ISTEXT(N65),VLOOKUP(N65,Afactors,2,FALSE),""))</f>
        <v/>
      </c>
      <c r="CO65" s="616" t="str">
        <f>IF(ISNUMBER(S65),MAX('Adjustment factors'!$S$16,0.2+0.8*S65),IF(ISTEXT(Q65),VLOOKUP(Q65,Afactors,2,FALSE),""))</f>
        <v/>
      </c>
      <c r="CP65" s="611" t="str">
        <f t="shared" si="59"/>
        <v/>
      </c>
      <c r="CQ65" s="612" t="str">
        <f t="shared" si="60"/>
        <v/>
      </c>
      <c r="CR65" s="340"/>
      <c r="CS65" s="340"/>
      <c r="CT65" s="340"/>
      <c r="CU65" s="340"/>
      <c r="CV65" s="333"/>
      <c r="CW65" s="333"/>
      <c r="CX65" s="333"/>
      <c r="CY65" s="333"/>
      <c r="DA65" s="313" t="str">
        <f t="shared" si="31"/>
        <v>OK</v>
      </c>
      <c r="DB65" s="313" t="str">
        <f t="shared" si="32"/>
        <v>OK</v>
      </c>
      <c r="DC65" s="313" t="str">
        <f t="shared" si="33"/>
        <v>OK</v>
      </c>
      <c r="DD65" s="313" t="str">
        <f t="shared" si="34"/>
        <v>OK</v>
      </c>
      <c r="DE65" s="153" t="str">
        <f t="shared" si="35"/>
        <v>OK</v>
      </c>
      <c r="DF65" s="314" t="str">
        <f t="shared" si="36"/>
        <v>OK</v>
      </c>
      <c r="DG65" s="482" t="str">
        <f t="shared" si="61"/>
        <v>OK</v>
      </c>
      <c r="DH65" s="482" t="str">
        <f>IF(OR(AND(T65='Adjustment factors'!$R$28,'Class 3, 5-9'!U65='Adjustment factors'!$R$29),AND('Class 3, 5-9'!T65='Adjustment factors'!$R$29,'Class 3, 5-9'!U65='Adjustment factors'!$R$28)),"Invalid combination of adjustment factors",IF(AND(T65=U65,NOT(ISBLANK(T65)),NOT(ISBLANK(U65))),"Same colour factor selected twice","OK"))</f>
        <v>OK</v>
      </c>
      <c r="DI65" s="313" t="str">
        <f t="shared" si="37"/>
        <v>OK</v>
      </c>
      <c r="DJ65" s="153" t="str">
        <f t="shared" si="62"/>
        <v>OK</v>
      </c>
      <c r="DK65" s="153" t="str">
        <f t="shared" si="38"/>
        <v>OK</v>
      </c>
      <c r="DL65" s="313" t="str">
        <f t="shared" si="39"/>
        <v>OK</v>
      </c>
      <c r="DM65" s="153" t="str">
        <f t="shared" si="40"/>
        <v>OK</v>
      </c>
      <c r="DN65" s="153" t="str">
        <f t="shared" si="63"/>
        <v>OK</v>
      </c>
      <c r="DO65" s="154" t="str">
        <f t="shared" si="64"/>
        <v>OK</v>
      </c>
      <c r="DP65" s="153" t="str">
        <f t="shared" si="41"/>
        <v>OK</v>
      </c>
      <c r="DQ65" s="313" t="str">
        <f t="shared" si="42"/>
        <v>OK</v>
      </c>
      <c r="DR65" s="153" t="str">
        <f t="shared" si="65"/>
        <v>OK</v>
      </c>
      <c r="DS65" s="153" t="str">
        <f t="shared" si="43"/>
        <v>OK</v>
      </c>
      <c r="DT65" s="313" t="str">
        <f t="shared" si="73"/>
        <v>OK</v>
      </c>
      <c r="DU65" s="153" t="str">
        <f t="shared" si="45"/>
        <v>OK</v>
      </c>
      <c r="DV65" s="153" t="str">
        <f t="shared" si="66"/>
        <v>OK</v>
      </c>
      <c r="DW65" s="154" t="str">
        <f t="shared" si="67"/>
        <v>OK</v>
      </c>
      <c r="DX65" s="157">
        <f t="shared" si="68"/>
        <v>0</v>
      </c>
      <c r="DY65" s="156" t="str">
        <f t="shared" si="69"/>
        <v>OK</v>
      </c>
    </row>
    <row r="66" spans="1:129" ht="13" hidden="1" x14ac:dyDescent="0.3">
      <c r="A66" s="333"/>
      <c r="B66" s="333"/>
      <c r="C66" s="332" t="str">
        <f t="shared" si="46"/>
        <v>-</v>
      </c>
      <c r="D66" s="584">
        <f t="shared" si="77"/>
        <v>43</v>
      </c>
      <c r="E66" s="585"/>
      <c r="F66" s="586"/>
      <c r="G66" s="600"/>
      <c r="H66" s="587"/>
      <c r="I66" s="601"/>
      <c r="J66" s="585"/>
      <c r="K66" s="617"/>
      <c r="L66" s="602"/>
      <c r="M66" s="603"/>
      <c r="N66" s="588"/>
      <c r="O66" s="604"/>
      <c r="P66" s="605"/>
      <c r="Q66" s="588"/>
      <c r="R66" s="604"/>
      <c r="S66" s="605"/>
      <c r="T66" s="606"/>
      <c r="U66" s="606"/>
      <c r="V66" s="429" t="str">
        <f t="shared" si="0"/>
        <v/>
      </c>
      <c r="W66" s="430" t="str">
        <f t="shared" si="47"/>
        <v/>
      </c>
      <c r="X66" s="66" t="str">
        <f>IF(AND(ISNUMBER(P66),N66=FixedDim),MAX('Adjustment factors'!$S$16,0.2+0.8*P66),IF(ISTEXT(N66),VLOOKUP(N66,Afactors,2,TRUE),""))</f>
        <v/>
      </c>
      <c r="Y66" s="17" t="str">
        <f>IF(AND(ISNUMBER(S66),Q66=FixedDim),MAX('Adjustment factors'!$S$16,0.2+0.8*S66),IF(ISTEXT(Q66),VLOOKUP(Q66,Afactors,2,TRUE),""))</f>
        <v/>
      </c>
      <c r="Z66" s="297" t="str">
        <f>IF(ISBLANK(T66),"",VLOOKUP(T66,'Adjustment factors'!$R$27:$S$30,2,TRUE))</f>
        <v/>
      </c>
      <c r="AA66" s="297" t="str">
        <f>IF(ISBLANK(U66),"",VLOOKUP(U66,'Adjustment factors'!$R$27:$S$30,2,TRUE))</f>
        <v/>
      </c>
      <c r="AB66" s="480">
        <f t="shared" si="48"/>
        <v>1</v>
      </c>
      <c r="AC66" s="18" t="b">
        <f t="shared" si="1"/>
        <v>0</v>
      </c>
      <c r="AD66" s="18" t="b">
        <f t="shared" si="2"/>
        <v>0</v>
      </c>
      <c r="AE66" s="18" t="b">
        <f t="shared" si="70"/>
        <v>0</v>
      </c>
      <c r="AF66" s="17" t="str">
        <f t="shared" si="3"/>
        <v/>
      </c>
      <c r="AG66" s="18" t="str">
        <f t="shared" si="4"/>
        <v/>
      </c>
      <c r="AH66" s="17" t="str">
        <f t="shared" si="71"/>
        <v/>
      </c>
      <c r="AI66" s="297" t="e">
        <f t="shared" si="49"/>
        <v>#VALUE!</v>
      </c>
      <c r="AJ66" s="79" t="e">
        <f t="shared" si="5"/>
        <v>#VALUE!</v>
      </c>
      <c r="AK66" s="17" t="str">
        <f t="shared" si="72"/>
        <v/>
      </c>
      <c r="AL66" s="80" t="e">
        <f t="shared" si="6"/>
        <v>#VALUE!</v>
      </c>
      <c r="AM66" s="139" t="b">
        <f t="shared" si="7"/>
        <v>1</v>
      </c>
      <c r="AN66" s="139" t="b">
        <f>AND(COUNTA(E66)&gt;0,ISNUMBER(F66),OR(COUNT(G66:H66)=0,COUNT(G66:H66)=2,AND(ISNUMBER(G66),ISNUMBER(VALUE(LEFT(H66,SUM(LEN(H66)-LEN(SUBSTITUTE(H66,{"0","1","2","3","4","5","6","7","8","9","."},"")))))))),ISNUMBER(I66),ISTEXT(J66))</f>
        <v>0</v>
      </c>
      <c r="AO66" s="19" t="b">
        <f t="shared" si="8"/>
        <v>0</v>
      </c>
      <c r="AP66" s="19" t="b">
        <f t="shared" si="9"/>
        <v>1</v>
      </c>
      <c r="AQ66" s="19" t="b">
        <f>IF(AND(COUNTBLANK(E66:J66)=6,OR(AN67:AN$523)),NOT(AN66))</f>
        <v>0</v>
      </c>
      <c r="AR66" s="19" t="str">
        <f t="shared" si="10"/>
        <v/>
      </c>
      <c r="AS66" s="19" t="b">
        <f t="shared" si="11"/>
        <v>1</v>
      </c>
      <c r="AT66" s="19" t="str">
        <f t="shared" si="12"/>
        <v/>
      </c>
      <c r="AU66" s="19" t="b">
        <f t="shared" si="13"/>
        <v>1</v>
      </c>
      <c r="AV66" s="140" t="str">
        <f t="shared" si="50"/>
        <v/>
      </c>
      <c r="AW66" s="19" t="str">
        <f t="shared" si="14"/>
        <v/>
      </c>
      <c r="AX66" s="81">
        <f t="shared" si="15"/>
        <v>0</v>
      </c>
      <c r="AY66" s="81" t="str">
        <f t="shared" si="16"/>
        <v/>
      </c>
      <c r="AZ66" s="307" t="str">
        <f t="shared" si="51"/>
        <v/>
      </c>
      <c r="BA66" s="281" t="str">
        <f t="shared" si="52"/>
        <v/>
      </c>
      <c r="BB66" s="281" t="str">
        <f t="shared" si="53"/>
        <v/>
      </c>
      <c r="BC66" s="953"/>
      <c r="BD66" s="955"/>
      <c r="BE66" s="219" t="str">
        <f t="shared" si="17"/>
        <v>n/a</v>
      </c>
      <c r="BF66" s="215" t="b">
        <f t="shared" si="18"/>
        <v>0</v>
      </c>
      <c r="BG66" s="145" t="b">
        <f t="shared" si="19"/>
        <v>0</v>
      </c>
      <c r="BH66" s="145" t="b">
        <f t="shared" si="20"/>
        <v>0</v>
      </c>
      <c r="BI66" s="216" t="b">
        <f t="shared" si="21"/>
        <v>0</v>
      </c>
      <c r="BJ66" s="215" t="b">
        <f t="shared" si="74"/>
        <v>0</v>
      </c>
      <c r="BK66" s="145" t="b">
        <f t="shared" si="75"/>
        <v>0</v>
      </c>
      <c r="BL66" s="216" t="b">
        <f t="shared" si="76"/>
        <v>0</v>
      </c>
      <c r="BM66" s="217" t="str">
        <f t="shared" si="54"/>
        <v/>
      </c>
      <c r="BN66" s="146" t="str">
        <f t="shared" si="55"/>
        <v/>
      </c>
      <c r="BO66" s="147" t="str">
        <f t="shared" si="56"/>
        <v/>
      </c>
      <c r="BP66" s="148" t="str">
        <f t="shared" si="57"/>
        <v/>
      </c>
      <c r="BT66" s="50">
        <f t="shared" si="78"/>
        <v>43</v>
      </c>
      <c r="BU66" s="50" t="str">
        <f t="shared" si="25"/>
        <v>-</v>
      </c>
      <c r="BW66" s="340"/>
      <c r="BX66" s="333"/>
      <c r="BY66" s="333"/>
      <c r="BZ66" s="333"/>
      <c r="CA66" s="333"/>
      <c r="CB66" s="333"/>
      <c r="CC66" s="333"/>
      <c r="CD66" s="333"/>
      <c r="CE66" s="333"/>
      <c r="CF66" s="333"/>
      <c r="CG66" s="354">
        <f t="shared" si="26"/>
        <v>43</v>
      </c>
      <c r="CH66" s="613">
        <f t="shared" si="27"/>
        <v>0</v>
      </c>
      <c r="CI66" s="613">
        <f t="shared" si="28"/>
        <v>0</v>
      </c>
      <c r="CJ66" s="614" t="str">
        <f t="shared" si="29"/>
        <v/>
      </c>
      <c r="CK66" s="615" t="str">
        <f t="shared" si="30"/>
        <v/>
      </c>
      <c r="CL66" s="610" t="str">
        <f>IF(ISBLANK(H66),"",IF(AND(ISNUMBER(F66),ISNUMBER(G66),ISNUMBER(H66)),ROUND(F66/(H66*G66),2),ROUND(F66/(VALUE(LEFT(H66,SUM(LEN(H66)-LEN(SUBSTITUTE(H66,{"0","1","2","3","4","5","6","7","8","9","."},"")))))*G66),2)))</f>
        <v/>
      </c>
      <c r="CM66" s="616" t="str">
        <f t="shared" si="58"/>
        <v/>
      </c>
      <c r="CN66" s="616" t="str">
        <f>IF(ISNUMBER(P66),MAX('Adjustment factors'!$S$16,(0.2+0.8*P66)),IF(ISTEXT(N66),VLOOKUP(N66,Afactors,2,FALSE),""))</f>
        <v/>
      </c>
      <c r="CO66" s="616" t="str">
        <f>IF(ISNUMBER(S66),MAX('Adjustment factors'!$S$16,0.2+0.8*S66),IF(ISTEXT(Q66),VLOOKUP(Q66,Afactors,2,FALSE),""))</f>
        <v/>
      </c>
      <c r="CP66" s="611" t="str">
        <f t="shared" si="59"/>
        <v/>
      </c>
      <c r="CQ66" s="612" t="str">
        <f t="shared" si="60"/>
        <v/>
      </c>
      <c r="CR66" s="340"/>
      <c r="CS66" s="340"/>
      <c r="CT66" s="340"/>
      <c r="CU66" s="340"/>
      <c r="CV66" s="333"/>
      <c r="CW66" s="333"/>
      <c r="CX66" s="333"/>
      <c r="CY66" s="333"/>
      <c r="DA66" s="313" t="str">
        <f t="shared" si="31"/>
        <v>OK</v>
      </c>
      <c r="DB66" s="313" t="str">
        <f t="shared" si="32"/>
        <v>OK</v>
      </c>
      <c r="DC66" s="313" t="str">
        <f t="shared" si="33"/>
        <v>OK</v>
      </c>
      <c r="DD66" s="313" t="str">
        <f t="shared" si="34"/>
        <v>OK</v>
      </c>
      <c r="DE66" s="153" t="str">
        <f t="shared" si="35"/>
        <v>OK</v>
      </c>
      <c r="DF66" s="314" t="str">
        <f t="shared" si="36"/>
        <v>OK</v>
      </c>
      <c r="DG66" s="482" t="str">
        <f t="shared" si="61"/>
        <v>OK</v>
      </c>
      <c r="DH66" s="482" t="str">
        <f>IF(OR(AND(T66='Adjustment factors'!$R$28,'Class 3, 5-9'!U66='Adjustment factors'!$R$29),AND('Class 3, 5-9'!T66='Adjustment factors'!$R$29,'Class 3, 5-9'!U66='Adjustment factors'!$R$28)),"Invalid combination of adjustment factors",IF(AND(T66=U66,NOT(ISBLANK(T66)),NOT(ISBLANK(U66))),"Same colour factor selected twice","OK"))</f>
        <v>OK</v>
      </c>
      <c r="DI66" s="313" t="str">
        <f t="shared" si="37"/>
        <v>OK</v>
      </c>
      <c r="DJ66" s="153" t="str">
        <f t="shared" si="62"/>
        <v>OK</v>
      </c>
      <c r="DK66" s="153" t="str">
        <f t="shared" si="38"/>
        <v>OK</v>
      </c>
      <c r="DL66" s="313" t="str">
        <f t="shared" si="39"/>
        <v>OK</v>
      </c>
      <c r="DM66" s="153" t="str">
        <f t="shared" si="40"/>
        <v>OK</v>
      </c>
      <c r="DN66" s="153" t="str">
        <f t="shared" si="63"/>
        <v>OK</v>
      </c>
      <c r="DO66" s="154" t="str">
        <f t="shared" si="64"/>
        <v>OK</v>
      </c>
      <c r="DP66" s="153" t="str">
        <f t="shared" si="41"/>
        <v>OK</v>
      </c>
      <c r="DQ66" s="313" t="str">
        <f t="shared" si="42"/>
        <v>OK</v>
      </c>
      <c r="DR66" s="153" t="str">
        <f t="shared" si="65"/>
        <v>OK</v>
      </c>
      <c r="DS66" s="153" t="str">
        <f t="shared" si="43"/>
        <v>OK</v>
      </c>
      <c r="DT66" s="313" t="str">
        <f t="shared" si="73"/>
        <v>OK</v>
      </c>
      <c r="DU66" s="153" t="str">
        <f t="shared" si="45"/>
        <v>OK</v>
      </c>
      <c r="DV66" s="153" t="str">
        <f t="shared" si="66"/>
        <v>OK</v>
      </c>
      <c r="DW66" s="154" t="str">
        <f t="shared" si="67"/>
        <v>OK</v>
      </c>
      <c r="DX66" s="157">
        <f t="shared" si="68"/>
        <v>0</v>
      </c>
      <c r="DY66" s="156" t="str">
        <f t="shared" si="69"/>
        <v>OK</v>
      </c>
    </row>
    <row r="67" spans="1:129" ht="13" hidden="1" x14ac:dyDescent="0.3">
      <c r="A67" s="333"/>
      <c r="B67" s="333"/>
      <c r="C67" s="332" t="str">
        <f t="shared" si="46"/>
        <v>-</v>
      </c>
      <c r="D67" s="584">
        <f t="shared" si="77"/>
        <v>44</v>
      </c>
      <c r="E67" s="585"/>
      <c r="F67" s="586"/>
      <c r="G67" s="600"/>
      <c r="H67" s="587"/>
      <c r="I67" s="601"/>
      <c r="J67" s="585"/>
      <c r="K67" s="617"/>
      <c r="L67" s="602"/>
      <c r="M67" s="603"/>
      <c r="N67" s="588"/>
      <c r="O67" s="604"/>
      <c r="P67" s="605"/>
      <c r="Q67" s="588"/>
      <c r="R67" s="604"/>
      <c r="S67" s="605"/>
      <c r="T67" s="606"/>
      <c r="U67" s="606"/>
      <c r="V67" s="429" t="str">
        <f t="shared" si="0"/>
        <v/>
      </c>
      <c r="W67" s="430" t="str">
        <f t="shared" si="47"/>
        <v/>
      </c>
      <c r="X67" s="66" t="str">
        <f>IF(AND(ISNUMBER(P67),N67=FixedDim),MAX('Adjustment factors'!$S$16,0.2+0.8*P67),IF(ISTEXT(N67),VLOOKUP(N67,Afactors,2,TRUE),""))</f>
        <v/>
      </c>
      <c r="Y67" s="17" t="str">
        <f>IF(AND(ISNUMBER(S67),Q67=FixedDim),MAX('Adjustment factors'!$S$16,0.2+0.8*S67),IF(ISTEXT(Q67),VLOOKUP(Q67,Afactors,2,TRUE),""))</f>
        <v/>
      </c>
      <c r="Z67" s="297" t="str">
        <f>IF(ISBLANK(T67),"",VLOOKUP(T67,'Adjustment factors'!$R$27:$S$30,2,TRUE))</f>
        <v/>
      </c>
      <c r="AA67" s="297" t="str">
        <f>IF(ISBLANK(U67),"",VLOOKUP(U67,'Adjustment factors'!$R$27:$S$30,2,TRUE))</f>
        <v/>
      </c>
      <c r="AB67" s="480">
        <f t="shared" si="48"/>
        <v>1</v>
      </c>
      <c r="AC67" s="18" t="b">
        <f t="shared" si="1"/>
        <v>0</v>
      </c>
      <c r="AD67" s="18" t="b">
        <f t="shared" si="2"/>
        <v>0</v>
      </c>
      <c r="AE67" s="18" t="b">
        <f t="shared" si="70"/>
        <v>0</v>
      </c>
      <c r="AF67" s="17" t="str">
        <f t="shared" si="3"/>
        <v/>
      </c>
      <c r="AG67" s="18" t="str">
        <f t="shared" si="4"/>
        <v/>
      </c>
      <c r="AH67" s="17" t="str">
        <f t="shared" si="71"/>
        <v/>
      </c>
      <c r="AI67" s="297" t="e">
        <f t="shared" si="49"/>
        <v>#VALUE!</v>
      </c>
      <c r="AJ67" s="79" t="e">
        <f t="shared" si="5"/>
        <v>#VALUE!</v>
      </c>
      <c r="AK67" s="17" t="str">
        <f t="shared" si="72"/>
        <v/>
      </c>
      <c r="AL67" s="80" t="e">
        <f t="shared" si="6"/>
        <v>#VALUE!</v>
      </c>
      <c r="AM67" s="139" t="b">
        <f t="shared" si="7"/>
        <v>1</v>
      </c>
      <c r="AN67" s="139" t="b">
        <f>AND(COUNTA(E67)&gt;0,ISNUMBER(F67),OR(COUNT(G67:H67)=0,COUNT(G67:H67)=2,AND(ISNUMBER(G67),ISNUMBER(VALUE(LEFT(H67,SUM(LEN(H67)-LEN(SUBSTITUTE(H67,{"0","1","2","3","4","5","6","7","8","9","."},"")))))))),ISNUMBER(I67),ISTEXT(J67))</f>
        <v>0</v>
      </c>
      <c r="AO67" s="19" t="b">
        <f t="shared" si="8"/>
        <v>0</v>
      </c>
      <c r="AP67" s="19" t="b">
        <f t="shared" si="9"/>
        <v>1</v>
      </c>
      <c r="AQ67" s="19" t="b">
        <f>IF(AND(COUNTBLANK(E67:J67)=6,OR(AN68:AN$523)),NOT(AN67))</f>
        <v>0</v>
      </c>
      <c r="AR67" s="19" t="str">
        <f t="shared" si="10"/>
        <v/>
      </c>
      <c r="AS67" s="19" t="b">
        <f t="shared" si="11"/>
        <v>1</v>
      </c>
      <c r="AT67" s="19" t="str">
        <f t="shared" si="12"/>
        <v/>
      </c>
      <c r="AU67" s="19" t="b">
        <f t="shared" si="13"/>
        <v>1</v>
      </c>
      <c r="AV67" s="140" t="str">
        <f t="shared" si="50"/>
        <v/>
      </c>
      <c r="AW67" s="19" t="str">
        <f t="shared" si="14"/>
        <v/>
      </c>
      <c r="AX67" s="81">
        <f t="shared" si="15"/>
        <v>0</v>
      </c>
      <c r="AY67" s="81" t="str">
        <f t="shared" si="16"/>
        <v/>
      </c>
      <c r="AZ67" s="307" t="str">
        <f t="shared" si="51"/>
        <v/>
      </c>
      <c r="BA67" s="281" t="str">
        <f t="shared" si="52"/>
        <v/>
      </c>
      <c r="BB67" s="281" t="str">
        <f t="shared" si="53"/>
        <v/>
      </c>
      <c r="BC67" s="953"/>
      <c r="BD67" s="955"/>
      <c r="BE67" s="219" t="str">
        <f t="shared" si="17"/>
        <v>n/a</v>
      </c>
      <c r="BF67" s="215" t="b">
        <f t="shared" si="18"/>
        <v>0</v>
      </c>
      <c r="BG67" s="145" t="b">
        <f t="shared" si="19"/>
        <v>0</v>
      </c>
      <c r="BH67" s="145" t="b">
        <f t="shared" si="20"/>
        <v>0</v>
      </c>
      <c r="BI67" s="216" t="b">
        <f t="shared" si="21"/>
        <v>0</v>
      </c>
      <c r="BJ67" s="215" t="b">
        <f t="shared" si="74"/>
        <v>0</v>
      </c>
      <c r="BK67" s="145" t="b">
        <f t="shared" si="75"/>
        <v>0</v>
      </c>
      <c r="BL67" s="216" t="b">
        <f t="shared" si="76"/>
        <v>0</v>
      </c>
      <c r="BM67" s="217" t="str">
        <f t="shared" si="54"/>
        <v/>
      </c>
      <c r="BN67" s="146" t="str">
        <f t="shared" si="55"/>
        <v/>
      </c>
      <c r="BO67" s="147" t="str">
        <f t="shared" si="56"/>
        <v/>
      </c>
      <c r="BP67" s="148" t="str">
        <f t="shared" si="57"/>
        <v/>
      </c>
      <c r="BT67" s="50">
        <f t="shared" si="78"/>
        <v>44</v>
      </c>
      <c r="BU67" s="50" t="str">
        <f t="shared" si="25"/>
        <v>-</v>
      </c>
      <c r="BW67" s="340"/>
      <c r="BX67" s="333"/>
      <c r="BY67" s="333"/>
      <c r="BZ67" s="333"/>
      <c r="CA67" s="333"/>
      <c r="CB67" s="333"/>
      <c r="CC67" s="333"/>
      <c r="CD67" s="333"/>
      <c r="CE67" s="333"/>
      <c r="CF67" s="333"/>
      <c r="CG67" s="354">
        <f t="shared" si="26"/>
        <v>44</v>
      </c>
      <c r="CH67" s="613">
        <f t="shared" si="27"/>
        <v>0</v>
      </c>
      <c r="CI67" s="613">
        <f t="shared" si="28"/>
        <v>0</v>
      </c>
      <c r="CJ67" s="614" t="str">
        <f t="shared" si="29"/>
        <v/>
      </c>
      <c r="CK67" s="615" t="str">
        <f t="shared" si="30"/>
        <v/>
      </c>
      <c r="CL67" s="610" t="str">
        <f>IF(ISBLANK(H67),"",IF(AND(ISNUMBER(F67),ISNUMBER(G67),ISNUMBER(H67)),ROUND(F67/(H67*G67),2),ROUND(F67/(VALUE(LEFT(H67,SUM(LEN(H67)-LEN(SUBSTITUTE(H67,{"0","1","2","3","4","5","6","7","8","9","."},"")))))*G67),2)))</f>
        <v/>
      </c>
      <c r="CM67" s="616" t="str">
        <f t="shared" si="58"/>
        <v/>
      </c>
      <c r="CN67" s="616" t="str">
        <f>IF(ISNUMBER(P67),MAX('Adjustment factors'!$S$16,(0.2+0.8*P67)),IF(ISTEXT(N67),VLOOKUP(N67,Afactors,2,FALSE),""))</f>
        <v/>
      </c>
      <c r="CO67" s="616" t="str">
        <f>IF(ISNUMBER(S67),MAX('Adjustment factors'!$S$16,0.2+0.8*S67),IF(ISTEXT(Q67),VLOOKUP(Q67,Afactors,2,FALSE),""))</f>
        <v/>
      </c>
      <c r="CP67" s="611" t="str">
        <f t="shared" si="59"/>
        <v/>
      </c>
      <c r="CQ67" s="612" t="str">
        <f t="shared" si="60"/>
        <v/>
      </c>
      <c r="CR67" s="340"/>
      <c r="CS67" s="340"/>
      <c r="CT67" s="340"/>
      <c r="CU67" s="340"/>
      <c r="CV67" s="333"/>
      <c r="CW67" s="333"/>
      <c r="CX67" s="333"/>
      <c r="CY67" s="333"/>
      <c r="DA67" s="313" t="str">
        <f t="shared" si="31"/>
        <v>OK</v>
      </c>
      <c r="DB67" s="313" t="str">
        <f t="shared" si="32"/>
        <v>OK</v>
      </c>
      <c r="DC67" s="313" t="str">
        <f t="shared" si="33"/>
        <v>OK</v>
      </c>
      <c r="DD67" s="313" t="str">
        <f t="shared" si="34"/>
        <v>OK</v>
      </c>
      <c r="DE67" s="153" t="str">
        <f t="shared" si="35"/>
        <v>OK</v>
      </c>
      <c r="DF67" s="314" t="str">
        <f t="shared" si="36"/>
        <v>OK</v>
      </c>
      <c r="DG67" s="482" t="str">
        <f t="shared" si="61"/>
        <v>OK</v>
      </c>
      <c r="DH67" s="482" t="str">
        <f>IF(OR(AND(T67='Adjustment factors'!$R$28,'Class 3, 5-9'!U67='Adjustment factors'!$R$29),AND('Class 3, 5-9'!T67='Adjustment factors'!$R$29,'Class 3, 5-9'!U67='Adjustment factors'!$R$28)),"Invalid combination of adjustment factors",IF(AND(T67=U67,NOT(ISBLANK(T67)),NOT(ISBLANK(U67))),"Same colour factor selected twice","OK"))</f>
        <v>OK</v>
      </c>
      <c r="DI67" s="313" t="str">
        <f t="shared" si="37"/>
        <v>OK</v>
      </c>
      <c r="DJ67" s="153" t="str">
        <f t="shared" si="62"/>
        <v>OK</v>
      </c>
      <c r="DK67" s="153" t="str">
        <f t="shared" si="38"/>
        <v>OK</v>
      </c>
      <c r="DL67" s="313" t="str">
        <f t="shared" si="39"/>
        <v>OK</v>
      </c>
      <c r="DM67" s="153" t="str">
        <f t="shared" si="40"/>
        <v>OK</v>
      </c>
      <c r="DN67" s="153" t="str">
        <f t="shared" si="63"/>
        <v>OK</v>
      </c>
      <c r="DO67" s="154" t="str">
        <f t="shared" si="64"/>
        <v>OK</v>
      </c>
      <c r="DP67" s="153" t="str">
        <f t="shared" si="41"/>
        <v>OK</v>
      </c>
      <c r="DQ67" s="313" t="str">
        <f t="shared" si="42"/>
        <v>OK</v>
      </c>
      <c r="DR67" s="153" t="str">
        <f t="shared" si="65"/>
        <v>OK</v>
      </c>
      <c r="DS67" s="153" t="str">
        <f t="shared" si="43"/>
        <v>OK</v>
      </c>
      <c r="DT67" s="313" t="str">
        <f t="shared" si="73"/>
        <v>OK</v>
      </c>
      <c r="DU67" s="153" t="str">
        <f t="shared" si="45"/>
        <v>OK</v>
      </c>
      <c r="DV67" s="153" t="str">
        <f t="shared" si="66"/>
        <v>OK</v>
      </c>
      <c r="DW67" s="154" t="str">
        <f t="shared" si="67"/>
        <v>OK</v>
      </c>
      <c r="DX67" s="157">
        <f t="shared" si="68"/>
        <v>0</v>
      </c>
      <c r="DY67" s="156" t="str">
        <f t="shared" si="69"/>
        <v>OK</v>
      </c>
    </row>
    <row r="68" spans="1:129" ht="13" hidden="1" x14ac:dyDescent="0.3">
      <c r="A68" s="333"/>
      <c r="B68" s="333"/>
      <c r="C68" s="332" t="str">
        <f t="shared" si="46"/>
        <v>-</v>
      </c>
      <c r="D68" s="584">
        <f t="shared" si="77"/>
        <v>45</v>
      </c>
      <c r="E68" s="585"/>
      <c r="F68" s="586"/>
      <c r="G68" s="600"/>
      <c r="H68" s="587"/>
      <c r="I68" s="601"/>
      <c r="J68" s="585"/>
      <c r="K68" s="617"/>
      <c r="L68" s="602"/>
      <c r="M68" s="603"/>
      <c r="N68" s="588"/>
      <c r="O68" s="604"/>
      <c r="P68" s="605"/>
      <c r="Q68" s="588"/>
      <c r="R68" s="604"/>
      <c r="S68" s="605"/>
      <c r="T68" s="606"/>
      <c r="U68" s="606"/>
      <c r="V68" s="429" t="str">
        <f t="shared" si="0"/>
        <v/>
      </c>
      <c r="W68" s="430" t="str">
        <f t="shared" si="47"/>
        <v/>
      </c>
      <c r="X68" s="66" t="str">
        <f>IF(AND(ISNUMBER(P68),N68=FixedDim),MAX('Adjustment factors'!$S$16,0.2+0.8*P68),IF(ISTEXT(N68),VLOOKUP(N68,Afactors,2,TRUE),""))</f>
        <v/>
      </c>
      <c r="Y68" s="17" t="str">
        <f>IF(AND(ISNUMBER(S68),Q68=FixedDim),MAX('Adjustment factors'!$S$16,0.2+0.8*S68),IF(ISTEXT(Q68),VLOOKUP(Q68,Afactors,2,TRUE),""))</f>
        <v/>
      </c>
      <c r="Z68" s="297" t="str">
        <f>IF(ISBLANK(T68),"",VLOOKUP(T68,'Adjustment factors'!$R$27:$S$30,2,TRUE))</f>
        <v/>
      </c>
      <c r="AA68" s="297" t="str">
        <f>IF(ISBLANK(U68),"",VLOOKUP(U68,'Adjustment factors'!$R$27:$S$30,2,TRUE))</f>
        <v/>
      </c>
      <c r="AB68" s="480">
        <f t="shared" si="48"/>
        <v>1</v>
      </c>
      <c r="AC68" s="18" t="b">
        <f t="shared" si="1"/>
        <v>0</v>
      </c>
      <c r="AD68" s="18" t="b">
        <f t="shared" si="2"/>
        <v>0</v>
      </c>
      <c r="AE68" s="18" t="b">
        <f t="shared" si="70"/>
        <v>0</v>
      </c>
      <c r="AF68" s="17" t="str">
        <f t="shared" si="3"/>
        <v/>
      </c>
      <c r="AG68" s="18" t="str">
        <f t="shared" si="4"/>
        <v/>
      </c>
      <c r="AH68" s="17" t="str">
        <f t="shared" si="71"/>
        <v/>
      </c>
      <c r="AI68" s="297" t="e">
        <f t="shared" si="49"/>
        <v>#VALUE!</v>
      </c>
      <c r="AJ68" s="79" t="e">
        <f t="shared" si="5"/>
        <v>#VALUE!</v>
      </c>
      <c r="AK68" s="17" t="str">
        <f t="shared" si="72"/>
        <v/>
      </c>
      <c r="AL68" s="80" t="e">
        <f t="shared" si="6"/>
        <v>#VALUE!</v>
      </c>
      <c r="AM68" s="139" t="b">
        <f t="shared" si="7"/>
        <v>1</v>
      </c>
      <c r="AN68" s="139" t="b">
        <f>AND(COUNTA(E68)&gt;0,ISNUMBER(F68),OR(COUNT(G68:H68)=0,COUNT(G68:H68)=2,AND(ISNUMBER(G68),ISNUMBER(VALUE(LEFT(H68,SUM(LEN(H68)-LEN(SUBSTITUTE(H68,{"0","1","2","3","4","5","6","7","8","9","."},"")))))))),ISNUMBER(I68),ISTEXT(J68))</f>
        <v>0</v>
      </c>
      <c r="AO68" s="19" t="b">
        <f t="shared" si="8"/>
        <v>0</v>
      </c>
      <c r="AP68" s="19" t="b">
        <f t="shared" si="9"/>
        <v>1</v>
      </c>
      <c r="AQ68" s="19" t="b">
        <f>IF(AND(COUNTBLANK(E68:J68)=6,OR(AN69:AN$523)),NOT(AN68))</f>
        <v>0</v>
      </c>
      <c r="AR68" s="19" t="str">
        <f t="shared" si="10"/>
        <v/>
      </c>
      <c r="AS68" s="19" t="b">
        <f t="shared" si="11"/>
        <v>1</v>
      </c>
      <c r="AT68" s="19" t="str">
        <f t="shared" si="12"/>
        <v/>
      </c>
      <c r="AU68" s="19" t="b">
        <f t="shared" si="13"/>
        <v>1</v>
      </c>
      <c r="AV68" s="140" t="str">
        <f t="shared" si="50"/>
        <v/>
      </c>
      <c r="AW68" s="19" t="str">
        <f t="shared" si="14"/>
        <v/>
      </c>
      <c r="AX68" s="81">
        <f t="shared" si="15"/>
        <v>0</v>
      </c>
      <c r="AY68" s="81" t="str">
        <f t="shared" si="16"/>
        <v/>
      </c>
      <c r="AZ68" s="307" t="str">
        <f t="shared" si="51"/>
        <v/>
      </c>
      <c r="BA68" s="281" t="str">
        <f t="shared" si="52"/>
        <v/>
      </c>
      <c r="BB68" s="281" t="str">
        <f t="shared" si="53"/>
        <v/>
      </c>
      <c r="BC68" s="953"/>
      <c r="BD68" s="955"/>
      <c r="BE68" s="219" t="str">
        <f t="shared" si="17"/>
        <v>n/a</v>
      </c>
      <c r="BF68" s="215" t="b">
        <f t="shared" si="18"/>
        <v>0</v>
      </c>
      <c r="BG68" s="145" t="b">
        <f t="shared" si="19"/>
        <v>0</v>
      </c>
      <c r="BH68" s="145" t="b">
        <f t="shared" si="20"/>
        <v>0</v>
      </c>
      <c r="BI68" s="216" t="b">
        <f t="shared" si="21"/>
        <v>0</v>
      </c>
      <c r="BJ68" s="215" t="b">
        <f t="shared" si="74"/>
        <v>0</v>
      </c>
      <c r="BK68" s="145" t="b">
        <f t="shared" si="75"/>
        <v>0</v>
      </c>
      <c r="BL68" s="216" t="b">
        <f t="shared" si="76"/>
        <v>0</v>
      </c>
      <c r="BM68" s="217" t="str">
        <f t="shared" si="54"/>
        <v/>
      </c>
      <c r="BN68" s="146" t="str">
        <f t="shared" si="55"/>
        <v/>
      </c>
      <c r="BO68" s="147" t="str">
        <f t="shared" si="56"/>
        <v/>
      </c>
      <c r="BP68" s="148" t="str">
        <f t="shared" si="57"/>
        <v/>
      </c>
      <c r="BT68" s="50">
        <f t="shared" si="78"/>
        <v>45</v>
      </c>
      <c r="BU68" s="50" t="str">
        <f t="shared" si="25"/>
        <v>-</v>
      </c>
      <c r="BW68" s="340"/>
      <c r="BX68" s="333"/>
      <c r="BY68" s="333"/>
      <c r="BZ68" s="333"/>
      <c r="CA68" s="333"/>
      <c r="CB68" s="333"/>
      <c r="CC68" s="333"/>
      <c r="CD68" s="333"/>
      <c r="CE68" s="333"/>
      <c r="CF68" s="333"/>
      <c r="CG68" s="354">
        <f t="shared" si="26"/>
        <v>45</v>
      </c>
      <c r="CH68" s="613">
        <f t="shared" si="27"/>
        <v>0</v>
      </c>
      <c r="CI68" s="613">
        <f t="shared" si="28"/>
        <v>0</v>
      </c>
      <c r="CJ68" s="614" t="str">
        <f t="shared" si="29"/>
        <v/>
      </c>
      <c r="CK68" s="615" t="str">
        <f t="shared" si="30"/>
        <v/>
      </c>
      <c r="CL68" s="610" t="str">
        <f>IF(ISBLANK(H68),"",IF(AND(ISNUMBER(F68),ISNUMBER(G68),ISNUMBER(H68)),ROUND(F68/(H68*G68),2),ROUND(F68/(VALUE(LEFT(H68,SUM(LEN(H68)-LEN(SUBSTITUTE(H68,{"0","1","2","3","4","5","6","7","8","9","."},"")))))*G68),2)))</f>
        <v/>
      </c>
      <c r="CM68" s="616" t="str">
        <f t="shared" si="58"/>
        <v/>
      </c>
      <c r="CN68" s="616" t="str">
        <f>IF(ISNUMBER(P68),MAX('Adjustment factors'!$S$16,(0.2+0.8*P68)),IF(ISTEXT(N68),VLOOKUP(N68,Afactors,2,FALSE),""))</f>
        <v/>
      </c>
      <c r="CO68" s="616" t="str">
        <f>IF(ISNUMBER(S68),MAX('Adjustment factors'!$S$16,0.2+0.8*S68),IF(ISTEXT(Q68),VLOOKUP(Q68,Afactors,2,FALSE),""))</f>
        <v/>
      </c>
      <c r="CP68" s="611" t="str">
        <f t="shared" si="59"/>
        <v/>
      </c>
      <c r="CQ68" s="612" t="str">
        <f t="shared" si="60"/>
        <v/>
      </c>
      <c r="CR68" s="340"/>
      <c r="CS68" s="340"/>
      <c r="CT68" s="340"/>
      <c r="CU68" s="340"/>
      <c r="CV68" s="333"/>
      <c r="CW68" s="333"/>
      <c r="CX68" s="333"/>
      <c r="CY68" s="333"/>
      <c r="DA68" s="313" t="str">
        <f t="shared" si="31"/>
        <v>OK</v>
      </c>
      <c r="DB68" s="313" t="str">
        <f t="shared" si="32"/>
        <v>OK</v>
      </c>
      <c r="DC68" s="313" t="str">
        <f t="shared" si="33"/>
        <v>OK</v>
      </c>
      <c r="DD68" s="313" t="str">
        <f t="shared" si="34"/>
        <v>OK</v>
      </c>
      <c r="DE68" s="153" t="str">
        <f t="shared" si="35"/>
        <v>OK</v>
      </c>
      <c r="DF68" s="314" t="str">
        <f t="shared" si="36"/>
        <v>OK</v>
      </c>
      <c r="DG68" s="482" t="str">
        <f t="shared" si="61"/>
        <v>OK</v>
      </c>
      <c r="DH68" s="482" t="str">
        <f>IF(OR(AND(T68='Adjustment factors'!$R$28,'Class 3, 5-9'!U68='Adjustment factors'!$R$29),AND('Class 3, 5-9'!T68='Adjustment factors'!$R$29,'Class 3, 5-9'!U68='Adjustment factors'!$R$28)),"Invalid combination of adjustment factors",IF(AND(T68=U68,NOT(ISBLANK(T68)),NOT(ISBLANK(U68))),"Same colour factor selected twice","OK"))</f>
        <v>OK</v>
      </c>
      <c r="DI68" s="313" t="str">
        <f t="shared" si="37"/>
        <v>OK</v>
      </c>
      <c r="DJ68" s="153" t="str">
        <f t="shared" si="62"/>
        <v>OK</v>
      </c>
      <c r="DK68" s="153" t="str">
        <f t="shared" si="38"/>
        <v>OK</v>
      </c>
      <c r="DL68" s="313" t="str">
        <f t="shared" si="39"/>
        <v>OK</v>
      </c>
      <c r="DM68" s="153" t="str">
        <f t="shared" si="40"/>
        <v>OK</v>
      </c>
      <c r="DN68" s="153" t="str">
        <f t="shared" si="63"/>
        <v>OK</v>
      </c>
      <c r="DO68" s="154" t="str">
        <f t="shared" si="64"/>
        <v>OK</v>
      </c>
      <c r="DP68" s="153" t="str">
        <f t="shared" si="41"/>
        <v>OK</v>
      </c>
      <c r="DQ68" s="313" t="str">
        <f t="shared" si="42"/>
        <v>OK</v>
      </c>
      <c r="DR68" s="153" t="str">
        <f t="shared" si="65"/>
        <v>OK</v>
      </c>
      <c r="DS68" s="153" t="str">
        <f t="shared" si="43"/>
        <v>OK</v>
      </c>
      <c r="DT68" s="313" t="str">
        <f t="shared" si="73"/>
        <v>OK</v>
      </c>
      <c r="DU68" s="153" t="str">
        <f t="shared" si="45"/>
        <v>OK</v>
      </c>
      <c r="DV68" s="153" t="str">
        <f t="shared" si="66"/>
        <v>OK</v>
      </c>
      <c r="DW68" s="154" t="str">
        <f t="shared" si="67"/>
        <v>OK</v>
      </c>
      <c r="DX68" s="157">
        <f t="shared" si="68"/>
        <v>0</v>
      </c>
      <c r="DY68" s="156" t="str">
        <f t="shared" si="69"/>
        <v>OK</v>
      </c>
    </row>
    <row r="69" spans="1:129" ht="13" hidden="1" x14ac:dyDescent="0.3">
      <c r="A69" s="333"/>
      <c r="B69" s="333"/>
      <c r="C69" s="332" t="str">
        <f t="shared" si="46"/>
        <v>-</v>
      </c>
      <c r="D69" s="584">
        <f t="shared" si="77"/>
        <v>46</v>
      </c>
      <c r="E69" s="585"/>
      <c r="F69" s="586"/>
      <c r="G69" s="600"/>
      <c r="H69" s="587"/>
      <c r="I69" s="601"/>
      <c r="J69" s="585"/>
      <c r="K69" s="617"/>
      <c r="L69" s="602"/>
      <c r="M69" s="603"/>
      <c r="N69" s="588"/>
      <c r="O69" s="604"/>
      <c r="P69" s="605"/>
      <c r="Q69" s="588"/>
      <c r="R69" s="604"/>
      <c r="S69" s="605"/>
      <c r="T69" s="606"/>
      <c r="U69" s="606"/>
      <c r="V69" s="429" t="str">
        <f t="shared" si="0"/>
        <v/>
      </c>
      <c r="W69" s="430" t="str">
        <f t="shared" si="47"/>
        <v/>
      </c>
      <c r="X69" s="66" t="str">
        <f>IF(AND(ISNUMBER(P69),N69=FixedDim),MAX('Adjustment factors'!$S$16,0.2+0.8*P69),IF(ISTEXT(N69),VLOOKUP(N69,Afactors,2,TRUE),""))</f>
        <v/>
      </c>
      <c r="Y69" s="17" t="str">
        <f>IF(AND(ISNUMBER(S69),Q69=FixedDim),MAX('Adjustment factors'!$S$16,0.2+0.8*S69),IF(ISTEXT(Q69),VLOOKUP(Q69,Afactors,2,TRUE),""))</f>
        <v/>
      </c>
      <c r="Z69" s="297" t="str">
        <f>IF(ISBLANK(T69),"",VLOOKUP(T69,'Adjustment factors'!$R$27:$S$30,2,TRUE))</f>
        <v/>
      </c>
      <c r="AA69" s="297" t="str">
        <f>IF(ISBLANK(U69),"",VLOOKUP(U69,'Adjustment factors'!$R$27:$S$30,2,TRUE))</f>
        <v/>
      </c>
      <c r="AB69" s="480">
        <f t="shared" si="48"/>
        <v>1</v>
      </c>
      <c r="AC69" s="18" t="b">
        <f t="shared" si="1"/>
        <v>0</v>
      </c>
      <c r="AD69" s="18" t="b">
        <f t="shared" si="2"/>
        <v>0</v>
      </c>
      <c r="AE69" s="18" t="b">
        <f t="shared" si="70"/>
        <v>0</v>
      </c>
      <c r="AF69" s="17" t="str">
        <f t="shared" si="3"/>
        <v/>
      </c>
      <c r="AG69" s="18" t="str">
        <f t="shared" si="4"/>
        <v/>
      </c>
      <c r="AH69" s="17" t="str">
        <f t="shared" si="71"/>
        <v/>
      </c>
      <c r="AI69" s="297" t="e">
        <f t="shared" si="49"/>
        <v>#VALUE!</v>
      </c>
      <c r="AJ69" s="79" t="e">
        <f t="shared" si="5"/>
        <v>#VALUE!</v>
      </c>
      <c r="AK69" s="17" t="str">
        <f t="shared" si="72"/>
        <v/>
      </c>
      <c r="AL69" s="80" t="e">
        <f t="shared" si="6"/>
        <v>#VALUE!</v>
      </c>
      <c r="AM69" s="139" t="b">
        <f t="shared" si="7"/>
        <v>1</v>
      </c>
      <c r="AN69" s="139" t="b">
        <f>AND(COUNTA(E69)&gt;0,ISNUMBER(F69),OR(COUNT(G69:H69)=0,COUNT(G69:H69)=2,AND(ISNUMBER(G69),ISNUMBER(VALUE(LEFT(H69,SUM(LEN(H69)-LEN(SUBSTITUTE(H69,{"0","1","2","3","4","5","6","7","8","9","."},"")))))))),ISNUMBER(I69),ISTEXT(J69))</f>
        <v>0</v>
      </c>
      <c r="AO69" s="19" t="b">
        <f t="shared" si="8"/>
        <v>0</v>
      </c>
      <c r="AP69" s="19" t="b">
        <f t="shared" si="9"/>
        <v>1</v>
      </c>
      <c r="AQ69" s="19" t="b">
        <f>IF(AND(COUNTBLANK(E69:J69)=6,OR(AN70:AN$523)),NOT(AN69))</f>
        <v>0</v>
      </c>
      <c r="AR69" s="19" t="str">
        <f t="shared" si="10"/>
        <v/>
      </c>
      <c r="AS69" s="19" t="b">
        <f t="shared" si="11"/>
        <v>1</v>
      </c>
      <c r="AT69" s="19" t="str">
        <f t="shared" si="12"/>
        <v/>
      </c>
      <c r="AU69" s="19" t="b">
        <f t="shared" si="13"/>
        <v>1</v>
      </c>
      <c r="AV69" s="140" t="str">
        <f t="shared" si="50"/>
        <v/>
      </c>
      <c r="AW69" s="19" t="str">
        <f t="shared" si="14"/>
        <v/>
      </c>
      <c r="AX69" s="81">
        <f t="shared" si="15"/>
        <v>0</v>
      </c>
      <c r="AY69" s="81" t="str">
        <f t="shared" si="16"/>
        <v/>
      </c>
      <c r="AZ69" s="307" t="str">
        <f t="shared" si="51"/>
        <v/>
      </c>
      <c r="BA69" s="281" t="str">
        <f t="shared" si="52"/>
        <v/>
      </c>
      <c r="BB69" s="281" t="str">
        <f t="shared" si="53"/>
        <v/>
      </c>
      <c r="BC69" s="953"/>
      <c r="BD69" s="955"/>
      <c r="BE69" s="219" t="str">
        <f t="shared" si="17"/>
        <v>n/a</v>
      </c>
      <c r="BF69" s="215" t="b">
        <f t="shared" si="18"/>
        <v>0</v>
      </c>
      <c r="BG69" s="145" t="b">
        <f t="shared" si="19"/>
        <v>0</v>
      </c>
      <c r="BH69" s="145" t="b">
        <f t="shared" si="20"/>
        <v>0</v>
      </c>
      <c r="BI69" s="216" t="b">
        <f t="shared" si="21"/>
        <v>0</v>
      </c>
      <c r="BJ69" s="215" t="b">
        <f t="shared" si="74"/>
        <v>0</v>
      </c>
      <c r="BK69" s="145" t="b">
        <f t="shared" si="75"/>
        <v>0</v>
      </c>
      <c r="BL69" s="216" t="b">
        <f t="shared" si="76"/>
        <v>0</v>
      </c>
      <c r="BM69" s="217" t="str">
        <f t="shared" si="54"/>
        <v/>
      </c>
      <c r="BN69" s="146" t="str">
        <f t="shared" si="55"/>
        <v/>
      </c>
      <c r="BO69" s="147" t="str">
        <f t="shared" si="56"/>
        <v/>
      </c>
      <c r="BP69" s="148" t="str">
        <f t="shared" si="57"/>
        <v/>
      </c>
      <c r="BT69" s="50">
        <f t="shared" si="78"/>
        <v>46</v>
      </c>
      <c r="BU69" s="50" t="str">
        <f t="shared" si="25"/>
        <v>-</v>
      </c>
      <c r="BW69" s="340"/>
      <c r="BX69" s="333"/>
      <c r="BY69" s="333"/>
      <c r="BZ69" s="333"/>
      <c r="CA69" s="333"/>
      <c r="CB69" s="333"/>
      <c r="CC69" s="333"/>
      <c r="CD69" s="333"/>
      <c r="CE69" s="333"/>
      <c r="CF69" s="333"/>
      <c r="CG69" s="354">
        <f t="shared" si="26"/>
        <v>46</v>
      </c>
      <c r="CH69" s="613">
        <f t="shared" si="27"/>
        <v>0</v>
      </c>
      <c r="CI69" s="613">
        <f t="shared" si="28"/>
        <v>0</v>
      </c>
      <c r="CJ69" s="614" t="str">
        <f t="shared" si="29"/>
        <v/>
      </c>
      <c r="CK69" s="615" t="str">
        <f t="shared" si="30"/>
        <v/>
      </c>
      <c r="CL69" s="610" t="str">
        <f>IF(ISBLANK(H69),"",IF(AND(ISNUMBER(F69),ISNUMBER(G69),ISNUMBER(H69)),ROUND(F69/(H69*G69),2),ROUND(F69/(VALUE(LEFT(H69,SUM(LEN(H69)-LEN(SUBSTITUTE(H69,{"0","1","2","3","4","5","6","7","8","9","."},"")))))*G69),2)))</f>
        <v/>
      </c>
      <c r="CM69" s="616" t="str">
        <f t="shared" si="58"/>
        <v/>
      </c>
      <c r="CN69" s="616" t="str">
        <f>IF(ISNUMBER(P69),MAX('Adjustment factors'!$S$16,(0.2+0.8*P69)),IF(ISTEXT(N69),VLOOKUP(N69,Afactors,2,FALSE),""))</f>
        <v/>
      </c>
      <c r="CO69" s="616" t="str">
        <f>IF(ISNUMBER(S69),MAX('Adjustment factors'!$S$16,0.2+0.8*S69),IF(ISTEXT(Q69),VLOOKUP(Q69,Afactors,2,FALSE),""))</f>
        <v/>
      </c>
      <c r="CP69" s="611" t="str">
        <f t="shared" si="59"/>
        <v/>
      </c>
      <c r="CQ69" s="612" t="str">
        <f t="shared" si="60"/>
        <v/>
      </c>
      <c r="CR69" s="340"/>
      <c r="CS69" s="340"/>
      <c r="CT69" s="340"/>
      <c r="CU69" s="340"/>
      <c r="CV69" s="333"/>
      <c r="CW69" s="333"/>
      <c r="CX69" s="333"/>
      <c r="CY69" s="333"/>
      <c r="DA69" s="313" t="str">
        <f t="shared" si="31"/>
        <v>OK</v>
      </c>
      <c r="DB69" s="313" t="str">
        <f t="shared" si="32"/>
        <v>OK</v>
      </c>
      <c r="DC69" s="313" t="str">
        <f t="shared" si="33"/>
        <v>OK</v>
      </c>
      <c r="DD69" s="313" t="str">
        <f t="shared" si="34"/>
        <v>OK</v>
      </c>
      <c r="DE69" s="153" t="str">
        <f t="shared" si="35"/>
        <v>OK</v>
      </c>
      <c r="DF69" s="314" t="str">
        <f t="shared" si="36"/>
        <v>OK</v>
      </c>
      <c r="DG69" s="482" t="str">
        <f t="shared" si="61"/>
        <v>OK</v>
      </c>
      <c r="DH69" s="482" t="str">
        <f>IF(OR(AND(T69='Adjustment factors'!$R$28,'Class 3, 5-9'!U69='Adjustment factors'!$R$29),AND('Class 3, 5-9'!T69='Adjustment factors'!$R$29,'Class 3, 5-9'!U69='Adjustment factors'!$R$28)),"Invalid combination of adjustment factors",IF(AND(T69=U69,NOT(ISBLANK(T69)),NOT(ISBLANK(U69))),"Same colour factor selected twice","OK"))</f>
        <v>OK</v>
      </c>
      <c r="DI69" s="313" t="str">
        <f t="shared" si="37"/>
        <v>OK</v>
      </c>
      <c r="DJ69" s="153" t="str">
        <f t="shared" si="62"/>
        <v>OK</v>
      </c>
      <c r="DK69" s="153" t="str">
        <f t="shared" si="38"/>
        <v>OK</v>
      </c>
      <c r="DL69" s="313" t="str">
        <f t="shared" si="39"/>
        <v>OK</v>
      </c>
      <c r="DM69" s="153" t="str">
        <f t="shared" si="40"/>
        <v>OK</v>
      </c>
      <c r="DN69" s="153" t="str">
        <f t="shared" si="63"/>
        <v>OK</v>
      </c>
      <c r="DO69" s="154" t="str">
        <f t="shared" si="64"/>
        <v>OK</v>
      </c>
      <c r="DP69" s="153" t="str">
        <f t="shared" si="41"/>
        <v>OK</v>
      </c>
      <c r="DQ69" s="313" t="str">
        <f t="shared" si="42"/>
        <v>OK</v>
      </c>
      <c r="DR69" s="153" t="str">
        <f t="shared" si="65"/>
        <v>OK</v>
      </c>
      <c r="DS69" s="153" t="str">
        <f t="shared" si="43"/>
        <v>OK</v>
      </c>
      <c r="DT69" s="313" t="str">
        <f t="shared" si="73"/>
        <v>OK</v>
      </c>
      <c r="DU69" s="153" t="str">
        <f t="shared" si="45"/>
        <v>OK</v>
      </c>
      <c r="DV69" s="153" t="str">
        <f t="shared" si="66"/>
        <v>OK</v>
      </c>
      <c r="DW69" s="154" t="str">
        <f t="shared" si="67"/>
        <v>OK</v>
      </c>
      <c r="DX69" s="157">
        <f t="shared" si="68"/>
        <v>0</v>
      </c>
      <c r="DY69" s="156" t="str">
        <f t="shared" si="69"/>
        <v>OK</v>
      </c>
    </row>
    <row r="70" spans="1:129" ht="13" hidden="1" x14ac:dyDescent="0.3">
      <c r="A70" s="333"/>
      <c r="B70" s="333"/>
      <c r="C70" s="332" t="str">
        <f t="shared" si="46"/>
        <v>-</v>
      </c>
      <c r="D70" s="584">
        <f t="shared" si="77"/>
        <v>47</v>
      </c>
      <c r="E70" s="585"/>
      <c r="F70" s="586"/>
      <c r="G70" s="600"/>
      <c r="H70" s="587"/>
      <c r="I70" s="601"/>
      <c r="J70" s="585"/>
      <c r="K70" s="617"/>
      <c r="L70" s="602"/>
      <c r="M70" s="603"/>
      <c r="N70" s="588"/>
      <c r="O70" s="604"/>
      <c r="P70" s="605"/>
      <c r="Q70" s="588"/>
      <c r="R70" s="604"/>
      <c r="S70" s="605"/>
      <c r="T70" s="606"/>
      <c r="U70" s="606"/>
      <c r="V70" s="429" t="str">
        <f t="shared" si="0"/>
        <v/>
      </c>
      <c r="W70" s="430" t="str">
        <f t="shared" si="47"/>
        <v/>
      </c>
      <c r="X70" s="66" t="str">
        <f>IF(AND(ISNUMBER(P70),N70=FixedDim),MAX('Adjustment factors'!$S$16,0.2+0.8*P70),IF(ISTEXT(N70),VLOOKUP(N70,Afactors,2,TRUE),""))</f>
        <v/>
      </c>
      <c r="Y70" s="17" t="str">
        <f>IF(AND(ISNUMBER(S70),Q70=FixedDim),MAX('Adjustment factors'!$S$16,0.2+0.8*S70),IF(ISTEXT(Q70),VLOOKUP(Q70,Afactors,2,TRUE),""))</f>
        <v/>
      </c>
      <c r="Z70" s="297" t="str">
        <f>IF(ISBLANK(T70),"",VLOOKUP(T70,'Adjustment factors'!$R$27:$S$30,2,TRUE))</f>
        <v/>
      </c>
      <c r="AA70" s="297" t="str">
        <f>IF(ISBLANK(U70),"",VLOOKUP(U70,'Adjustment factors'!$R$27:$S$30,2,TRUE))</f>
        <v/>
      </c>
      <c r="AB70" s="480">
        <f t="shared" si="48"/>
        <v>1</v>
      </c>
      <c r="AC70" s="18" t="b">
        <f t="shared" si="1"/>
        <v>0</v>
      </c>
      <c r="AD70" s="18" t="b">
        <f t="shared" si="2"/>
        <v>0</v>
      </c>
      <c r="AE70" s="18" t="b">
        <f t="shared" si="70"/>
        <v>0</v>
      </c>
      <c r="AF70" s="17" t="str">
        <f t="shared" si="3"/>
        <v/>
      </c>
      <c r="AG70" s="18" t="str">
        <f t="shared" si="4"/>
        <v/>
      </c>
      <c r="AH70" s="17" t="str">
        <f t="shared" si="71"/>
        <v/>
      </c>
      <c r="AI70" s="297" t="e">
        <f t="shared" si="49"/>
        <v>#VALUE!</v>
      </c>
      <c r="AJ70" s="79" t="e">
        <f t="shared" si="5"/>
        <v>#VALUE!</v>
      </c>
      <c r="AK70" s="17" t="str">
        <f t="shared" si="72"/>
        <v/>
      </c>
      <c r="AL70" s="80" t="e">
        <f t="shared" si="6"/>
        <v>#VALUE!</v>
      </c>
      <c r="AM70" s="139" t="b">
        <f t="shared" si="7"/>
        <v>1</v>
      </c>
      <c r="AN70" s="139" t="b">
        <f>AND(COUNTA(E70)&gt;0,ISNUMBER(F70),OR(COUNT(G70:H70)=0,COUNT(G70:H70)=2,AND(ISNUMBER(G70),ISNUMBER(VALUE(LEFT(H70,SUM(LEN(H70)-LEN(SUBSTITUTE(H70,{"0","1","2","3","4","5","6","7","8","9","."},"")))))))),ISNUMBER(I70),ISTEXT(J70))</f>
        <v>0</v>
      </c>
      <c r="AO70" s="19" t="b">
        <f t="shared" si="8"/>
        <v>0</v>
      </c>
      <c r="AP70" s="19" t="b">
        <f t="shared" si="9"/>
        <v>1</v>
      </c>
      <c r="AQ70" s="19" t="b">
        <f>IF(AND(COUNTBLANK(E70:J70)=6,OR(AN71:AN$523)),NOT(AN70))</f>
        <v>0</v>
      </c>
      <c r="AR70" s="19" t="str">
        <f t="shared" si="10"/>
        <v/>
      </c>
      <c r="AS70" s="19" t="b">
        <f t="shared" si="11"/>
        <v>1</v>
      </c>
      <c r="AT70" s="19" t="str">
        <f t="shared" si="12"/>
        <v/>
      </c>
      <c r="AU70" s="19" t="b">
        <f t="shared" si="13"/>
        <v>1</v>
      </c>
      <c r="AV70" s="140" t="str">
        <f t="shared" si="50"/>
        <v/>
      </c>
      <c r="AW70" s="19" t="str">
        <f t="shared" si="14"/>
        <v/>
      </c>
      <c r="AX70" s="81">
        <f t="shared" si="15"/>
        <v>0</v>
      </c>
      <c r="AY70" s="81" t="str">
        <f t="shared" si="16"/>
        <v/>
      </c>
      <c r="AZ70" s="307" t="str">
        <f t="shared" si="51"/>
        <v/>
      </c>
      <c r="BA70" s="281" t="str">
        <f t="shared" si="52"/>
        <v/>
      </c>
      <c r="BB70" s="281" t="str">
        <f t="shared" si="53"/>
        <v/>
      </c>
      <c r="BC70" s="953"/>
      <c r="BD70" s="955"/>
      <c r="BE70" s="219" t="str">
        <f t="shared" si="17"/>
        <v>n/a</v>
      </c>
      <c r="BF70" s="215" t="b">
        <f t="shared" si="18"/>
        <v>0</v>
      </c>
      <c r="BG70" s="145" t="b">
        <f t="shared" si="19"/>
        <v>0</v>
      </c>
      <c r="BH70" s="145" t="b">
        <f t="shared" si="20"/>
        <v>0</v>
      </c>
      <c r="BI70" s="216" t="b">
        <f t="shared" si="21"/>
        <v>0</v>
      </c>
      <c r="BJ70" s="215" t="b">
        <f t="shared" si="74"/>
        <v>0</v>
      </c>
      <c r="BK70" s="145" t="b">
        <f t="shared" si="75"/>
        <v>0</v>
      </c>
      <c r="BL70" s="216" t="b">
        <f t="shared" si="76"/>
        <v>0</v>
      </c>
      <c r="BM70" s="217" t="str">
        <f t="shared" si="54"/>
        <v/>
      </c>
      <c r="BN70" s="146" t="str">
        <f t="shared" si="55"/>
        <v/>
      </c>
      <c r="BO70" s="147" t="str">
        <f t="shared" si="56"/>
        <v/>
      </c>
      <c r="BP70" s="148" t="str">
        <f t="shared" si="57"/>
        <v/>
      </c>
      <c r="BT70" s="50">
        <f t="shared" si="78"/>
        <v>47</v>
      </c>
      <c r="BU70" s="50" t="str">
        <f t="shared" si="25"/>
        <v>-</v>
      </c>
      <c r="BW70" s="340"/>
      <c r="BX70" s="333"/>
      <c r="BY70" s="333"/>
      <c r="BZ70" s="333"/>
      <c r="CA70" s="333"/>
      <c r="CB70" s="333"/>
      <c r="CC70" s="333"/>
      <c r="CD70" s="333"/>
      <c r="CE70" s="333"/>
      <c r="CF70" s="333"/>
      <c r="CG70" s="354">
        <f t="shared" si="26"/>
        <v>47</v>
      </c>
      <c r="CH70" s="613">
        <f t="shared" si="27"/>
        <v>0</v>
      </c>
      <c r="CI70" s="613">
        <f t="shared" si="28"/>
        <v>0</v>
      </c>
      <c r="CJ70" s="614" t="str">
        <f t="shared" si="29"/>
        <v/>
      </c>
      <c r="CK70" s="615" t="str">
        <f t="shared" si="30"/>
        <v/>
      </c>
      <c r="CL70" s="610" t="str">
        <f>IF(ISBLANK(H70),"",IF(AND(ISNUMBER(F70),ISNUMBER(G70),ISNUMBER(H70)),ROUND(F70/(H70*G70),2),ROUND(F70/(VALUE(LEFT(H70,SUM(LEN(H70)-LEN(SUBSTITUTE(H70,{"0","1","2","3","4","5","6","7","8","9","."},"")))))*G70),2)))</f>
        <v/>
      </c>
      <c r="CM70" s="616" t="str">
        <f t="shared" si="58"/>
        <v/>
      </c>
      <c r="CN70" s="616" t="str">
        <f>IF(ISNUMBER(P70),MAX('Adjustment factors'!$S$16,(0.2+0.8*P70)),IF(ISTEXT(N70),VLOOKUP(N70,Afactors,2,FALSE),""))</f>
        <v/>
      </c>
      <c r="CO70" s="616" t="str">
        <f>IF(ISNUMBER(S70),MAX('Adjustment factors'!$S$16,0.2+0.8*S70),IF(ISTEXT(Q70),VLOOKUP(Q70,Afactors,2,FALSE),""))</f>
        <v/>
      </c>
      <c r="CP70" s="611" t="str">
        <f t="shared" si="59"/>
        <v/>
      </c>
      <c r="CQ70" s="612" t="str">
        <f t="shared" si="60"/>
        <v/>
      </c>
      <c r="CR70" s="340"/>
      <c r="CS70" s="340"/>
      <c r="CT70" s="340"/>
      <c r="CU70" s="340"/>
      <c r="CV70" s="333"/>
      <c r="CW70" s="333"/>
      <c r="CX70" s="333"/>
      <c r="CY70" s="333"/>
      <c r="DA70" s="313" t="str">
        <f t="shared" si="31"/>
        <v>OK</v>
      </c>
      <c r="DB70" s="313" t="str">
        <f t="shared" si="32"/>
        <v>OK</v>
      </c>
      <c r="DC70" s="313" t="str">
        <f t="shared" si="33"/>
        <v>OK</v>
      </c>
      <c r="DD70" s="313" t="str">
        <f t="shared" si="34"/>
        <v>OK</v>
      </c>
      <c r="DE70" s="153" t="str">
        <f t="shared" si="35"/>
        <v>OK</v>
      </c>
      <c r="DF70" s="314" t="str">
        <f t="shared" si="36"/>
        <v>OK</v>
      </c>
      <c r="DG70" s="482" t="str">
        <f t="shared" si="61"/>
        <v>OK</v>
      </c>
      <c r="DH70" s="482" t="str">
        <f>IF(OR(AND(T70='Adjustment factors'!$R$28,'Class 3, 5-9'!U70='Adjustment factors'!$R$29),AND('Class 3, 5-9'!T70='Adjustment factors'!$R$29,'Class 3, 5-9'!U70='Adjustment factors'!$R$28)),"Invalid combination of adjustment factors",IF(AND(T70=U70,NOT(ISBLANK(T70)),NOT(ISBLANK(U70))),"Same colour factor selected twice","OK"))</f>
        <v>OK</v>
      </c>
      <c r="DI70" s="313" t="str">
        <f t="shared" si="37"/>
        <v>OK</v>
      </c>
      <c r="DJ70" s="153" t="str">
        <f t="shared" si="62"/>
        <v>OK</v>
      </c>
      <c r="DK70" s="153" t="str">
        <f t="shared" si="38"/>
        <v>OK</v>
      </c>
      <c r="DL70" s="313" t="str">
        <f t="shared" si="39"/>
        <v>OK</v>
      </c>
      <c r="DM70" s="153" t="str">
        <f t="shared" si="40"/>
        <v>OK</v>
      </c>
      <c r="DN70" s="153" t="str">
        <f t="shared" si="63"/>
        <v>OK</v>
      </c>
      <c r="DO70" s="154" t="str">
        <f t="shared" si="64"/>
        <v>OK</v>
      </c>
      <c r="DP70" s="153" t="str">
        <f t="shared" si="41"/>
        <v>OK</v>
      </c>
      <c r="DQ70" s="313" t="str">
        <f t="shared" si="42"/>
        <v>OK</v>
      </c>
      <c r="DR70" s="153" t="str">
        <f t="shared" si="65"/>
        <v>OK</v>
      </c>
      <c r="DS70" s="153" t="str">
        <f t="shared" si="43"/>
        <v>OK</v>
      </c>
      <c r="DT70" s="313" t="str">
        <f t="shared" si="73"/>
        <v>OK</v>
      </c>
      <c r="DU70" s="153" t="str">
        <f t="shared" si="45"/>
        <v>OK</v>
      </c>
      <c r="DV70" s="153" t="str">
        <f t="shared" si="66"/>
        <v>OK</v>
      </c>
      <c r="DW70" s="154" t="str">
        <f t="shared" si="67"/>
        <v>OK</v>
      </c>
      <c r="DX70" s="157">
        <f t="shared" si="68"/>
        <v>0</v>
      </c>
      <c r="DY70" s="156" t="str">
        <f t="shared" si="69"/>
        <v>OK</v>
      </c>
    </row>
    <row r="71" spans="1:129" ht="13" hidden="1" x14ac:dyDescent="0.3">
      <c r="A71" s="333"/>
      <c r="B71" s="333"/>
      <c r="C71" s="332" t="str">
        <f t="shared" si="46"/>
        <v>-</v>
      </c>
      <c r="D71" s="584">
        <f t="shared" si="77"/>
        <v>48</v>
      </c>
      <c r="E71" s="585"/>
      <c r="F71" s="586"/>
      <c r="G71" s="600"/>
      <c r="H71" s="587"/>
      <c r="I71" s="601"/>
      <c r="J71" s="585"/>
      <c r="K71" s="617"/>
      <c r="L71" s="602"/>
      <c r="M71" s="603"/>
      <c r="N71" s="588"/>
      <c r="O71" s="604"/>
      <c r="P71" s="605"/>
      <c r="Q71" s="588"/>
      <c r="R71" s="604"/>
      <c r="S71" s="605"/>
      <c r="T71" s="606"/>
      <c r="U71" s="606"/>
      <c r="V71" s="429" t="str">
        <f t="shared" si="0"/>
        <v/>
      </c>
      <c r="W71" s="430" t="str">
        <f t="shared" si="47"/>
        <v/>
      </c>
      <c r="X71" s="66" t="str">
        <f>IF(AND(ISNUMBER(P71),N71=FixedDim),MAX('Adjustment factors'!$S$16,0.2+0.8*P71),IF(ISTEXT(N71),VLOOKUP(N71,Afactors,2,TRUE),""))</f>
        <v/>
      </c>
      <c r="Y71" s="17" t="str">
        <f>IF(AND(ISNUMBER(S71),Q71=FixedDim),MAX('Adjustment factors'!$S$16,0.2+0.8*S71),IF(ISTEXT(Q71),VLOOKUP(Q71,Afactors,2,TRUE),""))</f>
        <v/>
      </c>
      <c r="Z71" s="297" t="str">
        <f>IF(ISBLANK(T71),"",VLOOKUP(T71,'Adjustment factors'!$R$27:$S$30,2,TRUE))</f>
        <v/>
      </c>
      <c r="AA71" s="297" t="str">
        <f>IF(ISBLANK(U71),"",VLOOKUP(U71,'Adjustment factors'!$R$27:$S$30,2,TRUE))</f>
        <v/>
      </c>
      <c r="AB71" s="480">
        <f t="shared" si="48"/>
        <v>1</v>
      </c>
      <c r="AC71" s="18" t="b">
        <f t="shared" si="1"/>
        <v>0</v>
      </c>
      <c r="AD71" s="18" t="b">
        <f t="shared" si="2"/>
        <v>0</v>
      </c>
      <c r="AE71" s="18" t="b">
        <f t="shared" si="70"/>
        <v>0</v>
      </c>
      <c r="AF71" s="17" t="str">
        <f t="shared" si="3"/>
        <v/>
      </c>
      <c r="AG71" s="18" t="str">
        <f t="shared" si="4"/>
        <v/>
      </c>
      <c r="AH71" s="17" t="str">
        <f t="shared" si="71"/>
        <v/>
      </c>
      <c r="AI71" s="297" t="e">
        <f t="shared" si="49"/>
        <v>#VALUE!</v>
      </c>
      <c r="AJ71" s="79" t="e">
        <f t="shared" si="5"/>
        <v>#VALUE!</v>
      </c>
      <c r="AK71" s="17" t="str">
        <f t="shared" si="72"/>
        <v/>
      </c>
      <c r="AL71" s="80" t="e">
        <f t="shared" si="6"/>
        <v>#VALUE!</v>
      </c>
      <c r="AM71" s="139" t="b">
        <f t="shared" si="7"/>
        <v>1</v>
      </c>
      <c r="AN71" s="139" t="b">
        <f>AND(COUNTA(E71)&gt;0,ISNUMBER(F71),OR(COUNT(G71:H71)=0,COUNT(G71:H71)=2,AND(ISNUMBER(G71),ISNUMBER(VALUE(LEFT(H71,SUM(LEN(H71)-LEN(SUBSTITUTE(H71,{"0","1","2","3","4","5","6","7","8","9","."},"")))))))),ISNUMBER(I71),ISTEXT(J71))</f>
        <v>0</v>
      </c>
      <c r="AO71" s="19" t="b">
        <f t="shared" si="8"/>
        <v>0</v>
      </c>
      <c r="AP71" s="19" t="b">
        <f t="shared" si="9"/>
        <v>1</v>
      </c>
      <c r="AQ71" s="19" t="b">
        <f>IF(AND(COUNTBLANK(E71:J71)=6,OR(AN72:AN$523)),NOT(AN71))</f>
        <v>0</v>
      </c>
      <c r="AR71" s="19" t="str">
        <f t="shared" si="10"/>
        <v/>
      </c>
      <c r="AS71" s="19" t="b">
        <f t="shared" si="11"/>
        <v>1</v>
      </c>
      <c r="AT71" s="19" t="str">
        <f t="shared" si="12"/>
        <v/>
      </c>
      <c r="AU71" s="19" t="b">
        <f t="shared" si="13"/>
        <v>1</v>
      </c>
      <c r="AV71" s="140" t="str">
        <f t="shared" si="50"/>
        <v/>
      </c>
      <c r="AW71" s="19" t="str">
        <f t="shared" si="14"/>
        <v/>
      </c>
      <c r="AX71" s="81">
        <f t="shared" si="15"/>
        <v>0</v>
      </c>
      <c r="AY71" s="81" t="str">
        <f t="shared" si="16"/>
        <v/>
      </c>
      <c r="AZ71" s="307" t="str">
        <f t="shared" si="51"/>
        <v/>
      </c>
      <c r="BA71" s="281" t="str">
        <f t="shared" si="52"/>
        <v/>
      </c>
      <c r="BB71" s="281" t="str">
        <f t="shared" si="53"/>
        <v/>
      </c>
      <c r="BC71" s="953"/>
      <c r="BD71" s="955"/>
      <c r="BE71" s="219" t="str">
        <f t="shared" si="17"/>
        <v>n/a</v>
      </c>
      <c r="BF71" s="215" t="b">
        <f t="shared" si="18"/>
        <v>0</v>
      </c>
      <c r="BG71" s="145" t="b">
        <f t="shared" si="19"/>
        <v>0</v>
      </c>
      <c r="BH71" s="145" t="b">
        <f t="shared" si="20"/>
        <v>0</v>
      </c>
      <c r="BI71" s="216" t="b">
        <f t="shared" si="21"/>
        <v>0</v>
      </c>
      <c r="BJ71" s="215" t="b">
        <f t="shared" si="74"/>
        <v>0</v>
      </c>
      <c r="BK71" s="145" t="b">
        <f t="shared" si="75"/>
        <v>0</v>
      </c>
      <c r="BL71" s="216" t="b">
        <f t="shared" si="76"/>
        <v>0</v>
      </c>
      <c r="BM71" s="217" t="str">
        <f t="shared" si="54"/>
        <v/>
      </c>
      <c r="BN71" s="146" t="str">
        <f t="shared" si="55"/>
        <v/>
      </c>
      <c r="BO71" s="147" t="str">
        <f t="shared" si="56"/>
        <v/>
      </c>
      <c r="BP71" s="148" t="str">
        <f t="shared" si="57"/>
        <v/>
      </c>
      <c r="BT71" s="50">
        <f t="shared" si="78"/>
        <v>48</v>
      </c>
      <c r="BU71" s="50" t="str">
        <f t="shared" si="25"/>
        <v>-</v>
      </c>
      <c r="BW71" s="340"/>
      <c r="BX71" s="333"/>
      <c r="BY71" s="333"/>
      <c r="BZ71" s="333"/>
      <c r="CA71" s="333"/>
      <c r="CB71" s="333"/>
      <c r="CC71" s="333"/>
      <c r="CD71" s="333"/>
      <c r="CE71" s="333"/>
      <c r="CF71" s="333"/>
      <c r="CG71" s="354">
        <f t="shared" si="26"/>
        <v>48</v>
      </c>
      <c r="CH71" s="613">
        <f t="shared" si="27"/>
        <v>0</v>
      </c>
      <c r="CI71" s="613">
        <f t="shared" si="28"/>
        <v>0</v>
      </c>
      <c r="CJ71" s="614" t="str">
        <f t="shared" si="29"/>
        <v/>
      </c>
      <c r="CK71" s="615" t="str">
        <f t="shared" si="30"/>
        <v/>
      </c>
      <c r="CL71" s="610" t="str">
        <f>IF(ISBLANK(H71),"",IF(AND(ISNUMBER(F71),ISNUMBER(G71),ISNUMBER(H71)),ROUND(F71/(H71*G71),2),ROUND(F71/(VALUE(LEFT(H71,SUM(LEN(H71)-LEN(SUBSTITUTE(H71,{"0","1","2","3","4","5","6","7","8","9","."},"")))))*G71),2)))</f>
        <v/>
      </c>
      <c r="CM71" s="616" t="str">
        <f t="shared" si="58"/>
        <v/>
      </c>
      <c r="CN71" s="616" t="str">
        <f>IF(ISNUMBER(P71),MAX('Adjustment factors'!$S$16,(0.2+0.8*P71)),IF(ISTEXT(N71),VLOOKUP(N71,Afactors,2,FALSE),""))</f>
        <v/>
      </c>
      <c r="CO71" s="616" t="str">
        <f>IF(ISNUMBER(S71),MAX('Adjustment factors'!$S$16,0.2+0.8*S71),IF(ISTEXT(Q71),VLOOKUP(Q71,Afactors,2,FALSE),""))</f>
        <v/>
      </c>
      <c r="CP71" s="611" t="str">
        <f t="shared" si="59"/>
        <v/>
      </c>
      <c r="CQ71" s="612" t="str">
        <f t="shared" si="60"/>
        <v/>
      </c>
      <c r="CR71" s="340"/>
      <c r="CS71" s="340"/>
      <c r="CT71" s="340"/>
      <c r="CU71" s="340"/>
      <c r="CV71" s="333"/>
      <c r="CW71" s="333"/>
      <c r="CX71" s="333"/>
      <c r="CY71" s="333"/>
      <c r="DA71" s="313" t="str">
        <f t="shared" si="31"/>
        <v>OK</v>
      </c>
      <c r="DB71" s="313" t="str">
        <f t="shared" si="32"/>
        <v>OK</v>
      </c>
      <c r="DC71" s="313" t="str">
        <f t="shared" si="33"/>
        <v>OK</v>
      </c>
      <c r="DD71" s="313" t="str">
        <f t="shared" si="34"/>
        <v>OK</v>
      </c>
      <c r="DE71" s="153" t="str">
        <f t="shared" si="35"/>
        <v>OK</v>
      </c>
      <c r="DF71" s="314" t="str">
        <f t="shared" si="36"/>
        <v>OK</v>
      </c>
      <c r="DG71" s="482" t="str">
        <f t="shared" si="61"/>
        <v>OK</v>
      </c>
      <c r="DH71" s="482" t="str">
        <f>IF(OR(AND(T71='Adjustment factors'!$R$28,'Class 3, 5-9'!U71='Adjustment factors'!$R$29),AND('Class 3, 5-9'!T71='Adjustment factors'!$R$29,'Class 3, 5-9'!U71='Adjustment factors'!$R$28)),"Invalid combination of adjustment factors",IF(AND(T71=U71,NOT(ISBLANK(T71)),NOT(ISBLANK(U71))),"Same colour factor selected twice","OK"))</f>
        <v>OK</v>
      </c>
      <c r="DI71" s="313" t="str">
        <f t="shared" si="37"/>
        <v>OK</v>
      </c>
      <c r="DJ71" s="153" t="str">
        <f t="shared" si="62"/>
        <v>OK</v>
      </c>
      <c r="DK71" s="153" t="str">
        <f t="shared" si="38"/>
        <v>OK</v>
      </c>
      <c r="DL71" s="313" t="str">
        <f t="shared" si="39"/>
        <v>OK</v>
      </c>
      <c r="DM71" s="153" t="str">
        <f t="shared" si="40"/>
        <v>OK</v>
      </c>
      <c r="DN71" s="153" t="str">
        <f t="shared" si="63"/>
        <v>OK</v>
      </c>
      <c r="DO71" s="154" t="str">
        <f t="shared" si="64"/>
        <v>OK</v>
      </c>
      <c r="DP71" s="153" t="str">
        <f t="shared" si="41"/>
        <v>OK</v>
      </c>
      <c r="DQ71" s="313" t="str">
        <f t="shared" si="42"/>
        <v>OK</v>
      </c>
      <c r="DR71" s="153" t="str">
        <f t="shared" si="65"/>
        <v>OK</v>
      </c>
      <c r="DS71" s="153" t="str">
        <f t="shared" si="43"/>
        <v>OK</v>
      </c>
      <c r="DT71" s="313" t="str">
        <f t="shared" ref="DT71:DT102" si="79">IF(AND(ISNUMBER(S71),Q71&lt;&gt;FixedDim),"Select fixed dimming with an illuminance factor","OK")</f>
        <v>OK</v>
      </c>
      <c r="DU71" s="153" t="str">
        <f t="shared" si="45"/>
        <v>OK</v>
      </c>
      <c r="DV71" s="153" t="str">
        <f t="shared" si="66"/>
        <v>OK</v>
      </c>
      <c r="DW71" s="154" t="str">
        <f t="shared" si="67"/>
        <v>OK</v>
      </c>
      <c r="DX71" s="157">
        <f t="shared" si="68"/>
        <v>0</v>
      </c>
      <c r="DY71" s="156" t="str">
        <f t="shared" si="69"/>
        <v>OK</v>
      </c>
    </row>
    <row r="72" spans="1:129" ht="13" hidden="1" x14ac:dyDescent="0.3">
      <c r="A72" s="333"/>
      <c r="B72" s="333"/>
      <c r="C72" s="332" t="str">
        <f t="shared" si="46"/>
        <v>-</v>
      </c>
      <c r="D72" s="584">
        <f t="shared" si="77"/>
        <v>49</v>
      </c>
      <c r="E72" s="585"/>
      <c r="F72" s="586"/>
      <c r="G72" s="600"/>
      <c r="H72" s="587"/>
      <c r="I72" s="601"/>
      <c r="J72" s="585"/>
      <c r="K72" s="617"/>
      <c r="L72" s="602"/>
      <c r="M72" s="603"/>
      <c r="N72" s="588"/>
      <c r="O72" s="604"/>
      <c r="P72" s="605"/>
      <c r="Q72" s="588"/>
      <c r="R72" s="604"/>
      <c r="S72" s="605"/>
      <c r="T72" s="606"/>
      <c r="U72" s="606"/>
      <c r="V72" s="429" t="str">
        <f t="shared" si="0"/>
        <v/>
      </c>
      <c r="W72" s="430" t="str">
        <f t="shared" si="47"/>
        <v/>
      </c>
      <c r="X72" s="66" t="str">
        <f>IF(AND(ISNUMBER(P72),N72=FixedDim),MAX('Adjustment factors'!$S$16,0.2+0.8*P72),IF(ISTEXT(N72),VLOOKUP(N72,Afactors,2,TRUE),""))</f>
        <v/>
      </c>
      <c r="Y72" s="17" t="str">
        <f>IF(AND(ISNUMBER(S72),Q72=FixedDim),MAX('Adjustment factors'!$S$16,0.2+0.8*S72),IF(ISTEXT(Q72),VLOOKUP(Q72,Afactors,2,TRUE),""))</f>
        <v/>
      </c>
      <c r="Z72" s="297" t="str">
        <f>IF(ISBLANK(T72),"",VLOOKUP(T72,'Adjustment factors'!$R$27:$S$30,2,TRUE))</f>
        <v/>
      </c>
      <c r="AA72" s="297" t="str">
        <f>IF(ISBLANK(U72),"",VLOOKUP(U72,'Adjustment factors'!$R$27:$S$30,2,TRUE))</f>
        <v/>
      </c>
      <c r="AB72" s="480">
        <f t="shared" si="48"/>
        <v>1</v>
      </c>
      <c r="AC72" s="18" t="b">
        <f t="shared" si="1"/>
        <v>0</v>
      </c>
      <c r="AD72" s="18" t="b">
        <f t="shared" si="2"/>
        <v>0</v>
      </c>
      <c r="AE72" s="18" t="b">
        <f t="shared" si="70"/>
        <v>0</v>
      </c>
      <c r="AF72" s="17" t="str">
        <f t="shared" si="3"/>
        <v/>
      </c>
      <c r="AG72" s="18" t="str">
        <f t="shared" si="4"/>
        <v/>
      </c>
      <c r="AH72" s="17" t="str">
        <f t="shared" si="71"/>
        <v/>
      </c>
      <c r="AI72" s="297" t="e">
        <f t="shared" si="49"/>
        <v>#VALUE!</v>
      </c>
      <c r="AJ72" s="79" t="e">
        <f t="shared" si="5"/>
        <v>#VALUE!</v>
      </c>
      <c r="AK72" s="17" t="str">
        <f t="shared" si="72"/>
        <v/>
      </c>
      <c r="AL72" s="80" t="e">
        <f t="shared" si="6"/>
        <v>#VALUE!</v>
      </c>
      <c r="AM72" s="139" t="b">
        <f t="shared" si="7"/>
        <v>1</v>
      </c>
      <c r="AN72" s="139" t="b">
        <f>AND(COUNTA(E72)&gt;0,ISNUMBER(F72),OR(COUNT(G72:H72)=0,COUNT(G72:H72)=2,AND(ISNUMBER(G72),ISNUMBER(VALUE(LEFT(H72,SUM(LEN(H72)-LEN(SUBSTITUTE(H72,{"0","1","2","3","4","5","6","7","8","9","."},"")))))))),ISNUMBER(I72),ISTEXT(J72))</f>
        <v>0</v>
      </c>
      <c r="AO72" s="19" t="b">
        <f t="shared" si="8"/>
        <v>0</v>
      </c>
      <c r="AP72" s="19" t="b">
        <f t="shared" si="9"/>
        <v>1</v>
      </c>
      <c r="AQ72" s="19" t="b">
        <f>IF(AND(COUNTBLANK(E72:J72)=6,OR(AN73:AN$523)),NOT(AN72))</f>
        <v>0</v>
      </c>
      <c r="AR72" s="19" t="str">
        <f t="shared" si="10"/>
        <v/>
      </c>
      <c r="AS72" s="19" t="b">
        <f t="shared" si="11"/>
        <v>1</v>
      </c>
      <c r="AT72" s="19" t="str">
        <f t="shared" si="12"/>
        <v/>
      </c>
      <c r="AU72" s="19" t="b">
        <f t="shared" si="13"/>
        <v>1</v>
      </c>
      <c r="AV72" s="140" t="str">
        <f t="shared" si="50"/>
        <v/>
      </c>
      <c r="AW72" s="19" t="str">
        <f t="shared" si="14"/>
        <v/>
      </c>
      <c r="AX72" s="81">
        <f t="shared" si="15"/>
        <v>0</v>
      </c>
      <c r="AY72" s="81" t="str">
        <f t="shared" si="16"/>
        <v/>
      </c>
      <c r="AZ72" s="307" t="str">
        <f t="shared" si="51"/>
        <v/>
      </c>
      <c r="BA72" s="281" t="str">
        <f t="shared" si="52"/>
        <v/>
      </c>
      <c r="BB72" s="281" t="str">
        <f t="shared" si="53"/>
        <v/>
      </c>
      <c r="BC72" s="953"/>
      <c r="BD72" s="955"/>
      <c r="BE72" s="219" t="str">
        <f t="shared" si="17"/>
        <v>n/a</v>
      </c>
      <c r="BF72" s="215" t="b">
        <f t="shared" si="18"/>
        <v>0</v>
      </c>
      <c r="BG72" s="145" t="b">
        <f t="shared" si="19"/>
        <v>0</v>
      </c>
      <c r="BH72" s="145" t="b">
        <f t="shared" si="20"/>
        <v>0</v>
      </c>
      <c r="BI72" s="216" t="b">
        <f t="shared" si="21"/>
        <v>0</v>
      </c>
      <c r="BJ72" s="215" t="b">
        <f t="shared" si="74"/>
        <v>0</v>
      </c>
      <c r="BK72" s="145" t="b">
        <f t="shared" si="75"/>
        <v>0</v>
      </c>
      <c r="BL72" s="216" t="b">
        <f t="shared" si="76"/>
        <v>0</v>
      </c>
      <c r="BM72" s="217" t="str">
        <f t="shared" si="54"/>
        <v/>
      </c>
      <c r="BN72" s="146" t="str">
        <f t="shared" si="55"/>
        <v/>
      </c>
      <c r="BO72" s="147" t="str">
        <f t="shared" si="56"/>
        <v/>
      </c>
      <c r="BP72" s="148" t="str">
        <f t="shared" si="57"/>
        <v/>
      </c>
      <c r="BT72" s="50">
        <f t="shared" si="78"/>
        <v>49</v>
      </c>
      <c r="BU72" s="50" t="str">
        <f t="shared" si="25"/>
        <v>-</v>
      </c>
      <c r="BW72" s="340"/>
      <c r="BX72" s="333"/>
      <c r="BY72" s="333"/>
      <c r="BZ72" s="333"/>
      <c r="CA72" s="333"/>
      <c r="CB72" s="333"/>
      <c r="CC72" s="333"/>
      <c r="CD72" s="333"/>
      <c r="CE72" s="333"/>
      <c r="CF72" s="333"/>
      <c r="CG72" s="354">
        <f t="shared" si="26"/>
        <v>49</v>
      </c>
      <c r="CH72" s="613">
        <f t="shared" si="27"/>
        <v>0</v>
      </c>
      <c r="CI72" s="613">
        <f t="shared" si="28"/>
        <v>0</v>
      </c>
      <c r="CJ72" s="614" t="str">
        <f t="shared" si="29"/>
        <v/>
      </c>
      <c r="CK72" s="615" t="str">
        <f t="shared" si="30"/>
        <v/>
      </c>
      <c r="CL72" s="610" t="str">
        <f>IF(ISBLANK(H72),"",IF(AND(ISNUMBER(F72),ISNUMBER(G72),ISNUMBER(H72)),ROUND(F72/(H72*G72),2),ROUND(F72/(VALUE(LEFT(H72,SUM(LEN(H72)-LEN(SUBSTITUTE(H72,{"0","1","2","3","4","5","6","7","8","9","."},"")))))*G72),2)))</f>
        <v/>
      </c>
      <c r="CM72" s="616" t="str">
        <f t="shared" si="58"/>
        <v/>
      </c>
      <c r="CN72" s="616" t="str">
        <f>IF(ISNUMBER(P72),MAX('Adjustment factors'!$S$16,(0.2+0.8*P72)),IF(ISTEXT(N72),VLOOKUP(N72,Afactors,2,FALSE),""))</f>
        <v/>
      </c>
      <c r="CO72" s="616" t="str">
        <f>IF(ISNUMBER(S72),MAX('Adjustment factors'!$S$16,0.2+0.8*S72),IF(ISTEXT(Q72),VLOOKUP(Q72,Afactors,2,FALSE),""))</f>
        <v/>
      </c>
      <c r="CP72" s="611" t="str">
        <f t="shared" si="59"/>
        <v/>
      </c>
      <c r="CQ72" s="612" t="str">
        <f t="shared" si="60"/>
        <v/>
      </c>
      <c r="CR72" s="340"/>
      <c r="CS72" s="340"/>
      <c r="CT72" s="340"/>
      <c r="CU72" s="340"/>
      <c r="CV72" s="333"/>
      <c r="CW72" s="333"/>
      <c r="CX72" s="333"/>
      <c r="CY72" s="333"/>
      <c r="DA72" s="313" t="str">
        <f t="shared" si="31"/>
        <v>OK</v>
      </c>
      <c r="DB72" s="313" t="str">
        <f t="shared" si="32"/>
        <v>OK</v>
      </c>
      <c r="DC72" s="313" t="str">
        <f t="shared" si="33"/>
        <v>OK</v>
      </c>
      <c r="DD72" s="313" t="str">
        <f t="shared" si="34"/>
        <v>OK</v>
      </c>
      <c r="DE72" s="153" t="str">
        <f t="shared" si="35"/>
        <v>OK</v>
      </c>
      <c r="DF72" s="314" t="str">
        <f t="shared" si="36"/>
        <v>OK</v>
      </c>
      <c r="DG72" s="482" t="str">
        <f t="shared" si="61"/>
        <v>OK</v>
      </c>
      <c r="DH72" s="482" t="str">
        <f>IF(OR(AND(T72='Adjustment factors'!$R$28,'Class 3, 5-9'!U72='Adjustment factors'!$R$29),AND('Class 3, 5-9'!T72='Adjustment factors'!$R$29,'Class 3, 5-9'!U72='Adjustment factors'!$R$28)),"Invalid combination of adjustment factors",IF(AND(T72=U72,NOT(ISBLANK(T72)),NOT(ISBLANK(U72))),"Same colour factor selected twice","OK"))</f>
        <v>OK</v>
      </c>
      <c r="DI72" s="313" t="str">
        <f t="shared" si="37"/>
        <v>OK</v>
      </c>
      <c r="DJ72" s="153" t="str">
        <f t="shared" si="62"/>
        <v>OK</v>
      </c>
      <c r="DK72" s="153" t="str">
        <f t="shared" si="38"/>
        <v>OK</v>
      </c>
      <c r="DL72" s="313" t="str">
        <f t="shared" si="39"/>
        <v>OK</v>
      </c>
      <c r="DM72" s="153" t="str">
        <f t="shared" si="40"/>
        <v>OK</v>
      </c>
      <c r="DN72" s="153" t="str">
        <f t="shared" si="63"/>
        <v>OK</v>
      </c>
      <c r="DO72" s="154" t="str">
        <f t="shared" si="64"/>
        <v>OK</v>
      </c>
      <c r="DP72" s="153" t="str">
        <f t="shared" si="41"/>
        <v>OK</v>
      </c>
      <c r="DQ72" s="313" t="str">
        <f t="shared" si="42"/>
        <v>OK</v>
      </c>
      <c r="DR72" s="153" t="str">
        <f t="shared" si="65"/>
        <v>OK</v>
      </c>
      <c r="DS72" s="153" t="str">
        <f t="shared" si="43"/>
        <v>OK</v>
      </c>
      <c r="DT72" s="313" t="str">
        <f t="shared" si="79"/>
        <v>OK</v>
      </c>
      <c r="DU72" s="153" t="str">
        <f t="shared" si="45"/>
        <v>OK</v>
      </c>
      <c r="DV72" s="153" t="str">
        <f t="shared" si="66"/>
        <v>OK</v>
      </c>
      <c r="DW72" s="154" t="str">
        <f t="shared" si="67"/>
        <v>OK</v>
      </c>
      <c r="DX72" s="157">
        <f t="shared" si="68"/>
        <v>0</v>
      </c>
      <c r="DY72" s="156" t="str">
        <f t="shared" si="69"/>
        <v>OK</v>
      </c>
    </row>
    <row r="73" spans="1:129" ht="13" hidden="1" x14ac:dyDescent="0.3">
      <c r="A73" s="333"/>
      <c r="B73" s="333"/>
      <c r="C73" s="332" t="str">
        <f t="shared" si="46"/>
        <v>-</v>
      </c>
      <c r="D73" s="584">
        <f t="shared" si="77"/>
        <v>50</v>
      </c>
      <c r="E73" s="585"/>
      <c r="F73" s="586"/>
      <c r="G73" s="600"/>
      <c r="H73" s="587"/>
      <c r="I73" s="601"/>
      <c r="J73" s="585"/>
      <c r="K73" s="617"/>
      <c r="L73" s="602"/>
      <c r="M73" s="603"/>
      <c r="N73" s="588"/>
      <c r="O73" s="604"/>
      <c r="P73" s="605"/>
      <c r="Q73" s="588"/>
      <c r="R73" s="604"/>
      <c r="S73" s="605"/>
      <c r="T73" s="606"/>
      <c r="U73" s="606"/>
      <c r="V73" s="429" t="str">
        <f t="shared" si="0"/>
        <v/>
      </c>
      <c r="W73" s="430" t="str">
        <f t="shared" si="47"/>
        <v/>
      </c>
      <c r="X73" s="66" t="str">
        <f>IF(AND(ISNUMBER(P73),N73=FixedDim),MAX('Adjustment factors'!$S$16,0.2+0.8*P73),IF(ISTEXT(N73),VLOOKUP(N73,Afactors,2,TRUE),""))</f>
        <v/>
      </c>
      <c r="Y73" s="17" t="str">
        <f>IF(AND(ISNUMBER(S73),Q73=FixedDim),MAX('Adjustment factors'!$S$16,0.2+0.8*S73),IF(ISTEXT(Q73),VLOOKUP(Q73,Afactors,2,TRUE),""))</f>
        <v/>
      </c>
      <c r="Z73" s="297" t="str">
        <f>IF(ISBLANK(T73),"",VLOOKUP(T73,'Adjustment factors'!$R$27:$S$30,2,TRUE))</f>
        <v/>
      </c>
      <c r="AA73" s="297" t="str">
        <f>IF(ISBLANK(U73),"",VLOOKUP(U73,'Adjustment factors'!$R$27:$S$30,2,TRUE))</f>
        <v/>
      </c>
      <c r="AB73" s="480">
        <f t="shared" si="48"/>
        <v>1</v>
      </c>
      <c r="AC73" s="18" t="b">
        <f t="shared" si="1"/>
        <v>0</v>
      </c>
      <c r="AD73" s="18" t="b">
        <f t="shared" si="2"/>
        <v>0</v>
      </c>
      <c r="AE73" s="18" t="b">
        <f t="shared" si="70"/>
        <v>0</v>
      </c>
      <c r="AF73" s="17" t="str">
        <f t="shared" si="3"/>
        <v/>
      </c>
      <c r="AG73" s="18" t="str">
        <f t="shared" si="4"/>
        <v/>
      </c>
      <c r="AH73" s="17" t="str">
        <f t="shared" si="71"/>
        <v/>
      </c>
      <c r="AI73" s="297" t="e">
        <f t="shared" si="49"/>
        <v>#VALUE!</v>
      </c>
      <c r="AJ73" s="79" t="e">
        <f t="shared" si="5"/>
        <v>#VALUE!</v>
      </c>
      <c r="AK73" s="17" t="str">
        <f t="shared" si="72"/>
        <v/>
      </c>
      <c r="AL73" s="80" t="e">
        <f t="shared" si="6"/>
        <v>#VALUE!</v>
      </c>
      <c r="AM73" s="139" t="b">
        <f t="shared" si="7"/>
        <v>1</v>
      </c>
      <c r="AN73" s="139" t="b">
        <f>AND(COUNTA(E73)&gt;0,ISNUMBER(F73),OR(COUNT(G73:H73)=0,COUNT(G73:H73)=2,AND(ISNUMBER(G73),ISNUMBER(VALUE(LEFT(H73,SUM(LEN(H73)-LEN(SUBSTITUTE(H73,{"0","1","2","3","4","5","6","7","8","9","."},"")))))))),ISNUMBER(I73),ISTEXT(J73))</f>
        <v>0</v>
      </c>
      <c r="AO73" s="19" t="b">
        <f t="shared" si="8"/>
        <v>0</v>
      </c>
      <c r="AP73" s="19" t="b">
        <f t="shared" si="9"/>
        <v>1</v>
      </c>
      <c r="AQ73" s="19" t="b">
        <f>IF(AND(COUNTBLANK(E73:J73)=6,OR(AN74:AN$523)),NOT(AN73))</f>
        <v>0</v>
      </c>
      <c r="AR73" s="19" t="str">
        <f t="shared" si="10"/>
        <v/>
      </c>
      <c r="AS73" s="19" t="b">
        <f t="shared" si="11"/>
        <v>1</v>
      </c>
      <c r="AT73" s="19" t="str">
        <f t="shared" si="12"/>
        <v/>
      </c>
      <c r="AU73" s="19" t="b">
        <f t="shared" si="13"/>
        <v>1</v>
      </c>
      <c r="AV73" s="140" t="str">
        <f t="shared" si="50"/>
        <v/>
      </c>
      <c r="AW73" s="19" t="str">
        <f t="shared" si="14"/>
        <v/>
      </c>
      <c r="AX73" s="81">
        <f t="shared" si="15"/>
        <v>0</v>
      </c>
      <c r="AY73" s="81" t="str">
        <f t="shared" si="16"/>
        <v/>
      </c>
      <c r="AZ73" s="307" t="str">
        <f t="shared" si="51"/>
        <v/>
      </c>
      <c r="BA73" s="281" t="str">
        <f t="shared" si="52"/>
        <v/>
      </c>
      <c r="BB73" s="281" t="str">
        <f t="shared" si="53"/>
        <v/>
      </c>
      <c r="BC73" s="953"/>
      <c r="BD73" s="955"/>
      <c r="BE73" s="219" t="str">
        <f t="shared" si="17"/>
        <v>n/a</v>
      </c>
      <c r="BF73" s="215" t="b">
        <f t="shared" si="18"/>
        <v>0</v>
      </c>
      <c r="BG73" s="145" t="b">
        <f t="shared" si="19"/>
        <v>0</v>
      </c>
      <c r="BH73" s="145" t="b">
        <f t="shared" si="20"/>
        <v>0</v>
      </c>
      <c r="BI73" s="216" t="b">
        <f t="shared" si="21"/>
        <v>0</v>
      </c>
      <c r="BJ73" s="215" t="b">
        <f t="shared" si="74"/>
        <v>0</v>
      </c>
      <c r="BK73" s="145" t="b">
        <f t="shared" si="75"/>
        <v>0</v>
      </c>
      <c r="BL73" s="216" t="b">
        <f t="shared" si="76"/>
        <v>0</v>
      </c>
      <c r="BM73" s="217" t="str">
        <f t="shared" si="54"/>
        <v/>
      </c>
      <c r="BN73" s="146" t="str">
        <f t="shared" si="55"/>
        <v/>
      </c>
      <c r="BO73" s="147" t="str">
        <f t="shared" si="56"/>
        <v/>
      </c>
      <c r="BP73" s="148" t="str">
        <f t="shared" si="57"/>
        <v/>
      </c>
      <c r="BT73" s="50">
        <f t="shared" si="78"/>
        <v>50</v>
      </c>
      <c r="BU73" s="50" t="str">
        <f t="shared" si="25"/>
        <v>-</v>
      </c>
      <c r="BW73" s="340"/>
      <c r="BX73" s="333"/>
      <c r="BY73" s="333"/>
      <c r="BZ73" s="333"/>
      <c r="CA73" s="333"/>
      <c r="CB73" s="333"/>
      <c r="CC73" s="333"/>
      <c r="CD73" s="333"/>
      <c r="CE73" s="333"/>
      <c r="CF73" s="333"/>
      <c r="CG73" s="354">
        <f t="shared" si="26"/>
        <v>50</v>
      </c>
      <c r="CH73" s="613">
        <f t="shared" si="27"/>
        <v>0</v>
      </c>
      <c r="CI73" s="613">
        <f t="shared" si="28"/>
        <v>0</v>
      </c>
      <c r="CJ73" s="614" t="str">
        <f t="shared" si="29"/>
        <v/>
      </c>
      <c r="CK73" s="615" t="str">
        <f t="shared" si="30"/>
        <v/>
      </c>
      <c r="CL73" s="610" t="str">
        <f>IF(ISBLANK(H73),"",IF(AND(ISNUMBER(F73),ISNUMBER(G73),ISNUMBER(H73)),ROUND(F73/(H73*G73),2),ROUND(F73/(VALUE(LEFT(H73,SUM(LEN(H73)-LEN(SUBSTITUTE(H73,{"0","1","2","3","4","5","6","7","8","9","."},"")))))*G73),2)))</f>
        <v/>
      </c>
      <c r="CM73" s="616" t="str">
        <f t="shared" si="58"/>
        <v/>
      </c>
      <c r="CN73" s="616" t="str">
        <f>IF(ISNUMBER(P73),MAX('Adjustment factors'!$S$16,(0.2+0.8*P73)),IF(ISTEXT(N73),VLOOKUP(N73,Afactors,2,FALSE),""))</f>
        <v/>
      </c>
      <c r="CO73" s="616" t="str">
        <f>IF(ISNUMBER(S73),MAX('Adjustment factors'!$S$16,0.2+0.8*S73),IF(ISTEXT(Q73),VLOOKUP(Q73,Afactors,2,FALSE),""))</f>
        <v/>
      </c>
      <c r="CP73" s="611" t="str">
        <f t="shared" si="59"/>
        <v/>
      </c>
      <c r="CQ73" s="612" t="str">
        <f t="shared" si="60"/>
        <v/>
      </c>
      <c r="CR73" s="340"/>
      <c r="CS73" s="340"/>
      <c r="CT73" s="340"/>
      <c r="CU73" s="340"/>
      <c r="CV73" s="333"/>
      <c r="CW73" s="333"/>
      <c r="CX73" s="333"/>
      <c r="CY73" s="333"/>
      <c r="DA73" s="313" t="str">
        <f t="shared" si="31"/>
        <v>OK</v>
      </c>
      <c r="DB73" s="313" t="str">
        <f t="shared" si="32"/>
        <v>OK</v>
      </c>
      <c r="DC73" s="313" t="str">
        <f t="shared" si="33"/>
        <v>OK</v>
      </c>
      <c r="DD73" s="313" t="str">
        <f t="shared" si="34"/>
        <v>OK</v>
      </c>
      <c r="DE73" s="153" t="str">
        <f t="shared" si="35"/>
        <v>OK</v>
      </c>
      <c r="DF73" s="314" t="str">
        <f t="shared" si="36"/>
        <v>OK</v>
      </c>
      <c r="DG73" s="482" t="str">
        <f t="shared" si="61"/>
        <v>OK</v>
      </c>
      <c r="DH73" s="482" t="str">
        <f>IF(OR(AND(T73='Adjustment factors'!$R$28,'Class 3, 5-9'!U73='Adjustment factors'!$R$29),AND('Class 3, 5-9'!T73='Adjustment factors'!$R$29,'Class 3, 5-9'!U73='Adjustment factors'!$R$28)),"Invalid combination of adjustment factors",IF(AND(T73=U73,NOT(ISBLANK(T73)),NOT(ISBLANK(U73))),"Same colour factor selected twice","OK"))</f>
        <v>OK</v>
      </c>
      <c r="DI73" s="313" t="str">
        <f t="shared" si="37"/>
        <v>OK</v>
      </c>
      <c r="DJ73" s="153" t="str">
        <f t="shared" si="62"/>
        <v>OK</v>
      </c>
      <c r="DK73" s="153" t="str">
        <f t="shared" si="38"/>
        <v>OK</v>
      </c>
      <c r="DL73" s="313" t="str">
        <f t="shared" si="39"/>
        <v>OK</v>
      </c>
      <c r="DM73" s="153" t="str">
        <f t="shared" si="40"/>
        <v>OK</v>
      </c>
      <c r="DN73" s="153" t="str">
        <f t="shared" si="63"/>
        <v>OK</v>
      </c>
      <c r="DO73" s="154" t="str">
        <f t="shared" si="64"/>
        <v>OK</v>
      </c>
      <c r="DP73" s="153" t="str">
        <f t="shared" si="41"/>
        <v>OK</v>
      </c>
      <c r="DQ73" s="313" t="str">
        <f t="shared" si="42"/>
        <v>OK</v>
      </c>
      <c r="DR73" s="153" t="str">
        <f t="shared" si="65"/>
        <v>OK</v>
      </c>
      <c r="DS73" s="153" t="str">
        <f t="shared" si="43"/>
        <v>OK</v>
      </c>
      <c r="DT73" s="313" t="str">
        <f t="shared" si="79"/>
        <v>OK</v>
      </c>
      <c r="DU73" s="153" t="str">
        <f t="shared" si="45"/>
        <v>OK</v>
      </c>
      <c r="DV73" s="153" t="str">
        <f t="shared" si="66"/>
        <v>OK</v>
      </c>
      <c r="DW73" s="154" t="str">
        <f t="shared" si="67"/>
        <v>OK</v>
      </c>
      <c r="DX73" s="157">
        <f t="shared" si="68"/>
        <v>0</v>
      </c>
      <c r="DY73" s="156" t="str">
        <f t="shared" si="69"/>
        <v>OK</v>
      </c>
    </row>
    <row r="74" spans="1:129" ht="13" hidden="1" x14ac:dyDescent="0.3">
      <c r="A74" s="333"/>
      <c r="B74" s="333"/>
      <c r="C74" s="332" t="str">
        <f t="shared" si="46"/>
        <v>-</v>
      </c>
      <c r="D74" s="584">
        <f t="shared" si="77"/>
        <v>51</v>
      </c>
      <c r="E74" s="585"/>
      <c r="F74" s="586"/>
      <c r="G74" s="600"/>
      <c r="H74" s="587"/>
      <c r="I74" s="601"/>
      <c r="J74" s="585"/>
      <c r="K74" s="617"/>
      <c r="L74" s="602"/>
      <c r="M74" s="603"/>
      <c r="N74" s="588"/>
      <c r="O74" s="604"/>
      <c r="P74" s="605"/>
      <c r="Q74" s="588"/>
      <c r="R74" s="604"/>
      <c r="S74" s="605"/>
      <c r="T74" s="606"/>
      <c r="U74" s="606"/>
      <c r="V74" s="429" t="str">
        <f t="shared" si="0"/>
        <v/>
      </c>
      <c r="W74" s="430" t="str">
        <f t="shared" si="47"/>
        <v/>
      </c>
      <c r="X74" s="66" t="str">
        <f>IF(AND(ISNUMBER(P74),N74=FixedDim),MAX('Adjustment factors'!$S$16,0.2+0.8*P74),IF(ISTEXT(N74),VLOOKUP(N74,Afactors,2,TRUE),""))</f>
        <v/>
      </c>
      <c r="Y74" s="17" t="str">
        <f>IF(AND(ISNUMBER(S74),Q74=FixedDim),MAX('Adjustment factors'!$S$16,0.2+0.8*S74),IF(ISTEXT(Q74),VLOOKUP(Q74,Afactors,2,TRUE),""))</f>
        <v/>
      </c>
      <c r="Z74" s="297" t="str">
        <f>IF(ISBLANK(T74),"",VLOOKUP(T74,'Adjustment factors'!$R$27:$S$30,2,TRUE))</f>
        <v/>
      </c>
      <c r="AA74" s="297" t="str">
        <f>IF(ISBLANK(U74),"",VLOOKUP(U74,'Adjustment factors'!$R$27:$S$30,2,TRUE))</f>
        <v/>
      </c>
      <c r="AB74" s="480">
        <f t="shared" si="48"/>
        <v>1</v>
      </c>
      <c r="AC74" s="18" t="b">
        <f t="shared" si="1"/>
        <v>0</v>
      </c>
      <c r="AD74" s="18" t="b">
        <f t="shared" si="2"/>
        <v>0</v>
      </c>
      <c r="AE74" s="18" t="b">
        <f t="shared" si="70"/>
        <v>0</v>
      </c>
      <c r="AF74" s="17" t="str">
        <f t="shared" si="3"/>
        <v/>
      </c>
      <c r="AG74" s="18" t="str">
        <f t="shared" si="4"/>
        <v/>
      </c>
      <c r="AH74" s="17" t="str">
        <f t="shared" si="71"/>
        <v/>
      </c>
      <c r="AI74" s="297" t="e">
        <f t="shared" si="49"/>
        <v>#VALUE!</v>
      </c>
      <c r="AJ74" s="79" t="e">
        <f t="shared" si="5"/>
        <v>#VALUE!</v>
      </c>
      <c r="AK74" s="17" t="str">
        <f t="shared" si="72"/>
        <v/>
      </c>
      <c r="AL74" s="80" t="e">
        <f t="shared" si="6"/>
        <v>#VALUE!</v>
      </c>
      <c r="AM74" s="139" t="b">
        <f t="shared" si="7"/>
        <v>1</v>
      </c>
      <c r="AN74" s="139" t="b">
        <f>AND(COUNTA(E74)&gt;0,ISNUMBER(F74),OR(COUNT(G74:H74)=0,COUNT(G74:H74)=2,AND(ISNUMBER(G74),ISNUMBER(VALUE(LEFT(H74,SUM(LEN(H74)-LEN(SUBSTITUTE(H74,{"0","1","2","3","4","5","6","7","8","9","."},"")))))))),ISNUMBER(I74),ISTEXT(J74))</f>
        <v>0</v>
      </c>
      <c r="AO74" s="19" t="b">
        <f t="shared" si="8"/>
        <v>0</v>
      </c>
      <c r="AP74" s="19" t="b">
        <f t="shared" si="9"/>
        <v>1</v>
      </c>
      <c r="AQ74" s="19" t="b">
        <f>IF(AND(COUNTBLANK(E74:J74)=6,OR(AN75:AN$523)),NOT(AN74))</f>
        <v>0</v>
      </c>
      <c r="AR74" s="19" t="str">
        <f t="shared" si="10"/>
        <v/>
      </c>
      <c r="AS74" s="19" t="b">
        <f t="shared" si="11"/>
        <v>1</v>
      </c>
      <c r="AT74" s="19" t="str">
        <f t="shared" si="12"/>
        <v/>
      </c>
      <c r="AU74" s="19" t="b">
        <f t="shared" si="13"/>
        <v>1</v>
      </c>
      <c r="AV74" s="140" t="str">
        <f t="shared" si="50"/>
        <v/>
      </c>
      <c r="AW74" s="19" t="str">
        <f t="shared" si="14"/>
        <v/>
      </c>
      <c r="AX74" s="81">
        <f t="shared" si="15"/>
        <v>0</v>
      </c>
      <c r="AY74" s="81" t="str">
        <f t="shared" si="16"/>
        <v/>
      </c>
      <c r="AZ74" s="307" t="str">
        <f t="shared" si="51"/>
        <v/>
      </c>
      <c r="BA74" s="281" t="str">
        <f t="shared" si="52"/>
        <v/>
      </c>
      <c r="BB74" s="281" t="str">
        <f t="shared" si="53"/>
        <v/>
      </c>
      <c r="BC74" s="953"/>
      <c r="BD74" s="955"/>
      <c r="BE74" s="219" t="str">
        <f t="shared" si="17"/>
        <v>n/a</v>
      </c>
      <c r="BF74" s="215" t="b">
        <f t="shared" si="18"/>
        <v>0</v>
      </c>
      <c r="BG74" s="145" t="b">
        <f t="shared" si="19"/>
        <v>0</v>
      </c>
      <c r="BH74" s="145" t="b">
        <f t="shared" si="20"/>
        <v>0</v>
      </c>
      <c r="BI74" s="216" t="b">
        <f t="shared" si="21"/>
        <v>0</v>
      </c>
      <c r="BJ74" s="215" t="b">
        <f t="shared" si="74"/>
        <v>0</v>
      </c>
      <c r="BK74" s="145" t="b">
        <f t="shared" si="75"/>
        <v>0</v>
      </c>
      <c r="BL74" s="216" t="b">
        <f t="shared" si="76"/>
        <v>0</v>
      </c>
      <c r="BM74" s="217" t="str">
        <f t="shared" si="54"/>
        <v/>
      </c>
      <c r="BN74" s="146" t="str">
        <f t="shared" si="55"/>
        <v/>
      </c>
      <c r="BO74" s="147" t="str">
        <f t="shared" si="56"/>
        <v/>
      </c>
      <c r="BP74" s="148" t="str">
        <f t="shared" si="57"/>
        <v/>
      </c>
      <c r="BT74" s="50">
        <f t="shared" si="78"/>
        <v>51</v>
      </c>
      <c r="BU74" s="50" t="str">
        <f t="shared" si="25"/>
        <v>-</v>
      </c>
      <c r="BW74" s="340"/>
      <c r="BX74" s="333"/>
      <c r="BY74" s="333"/>
      <c r="BZ74" s="333"/>
      <c r="CA74" s="333"/>
      <c r="CB74" s="333"/>
      <c r="CC74" s="333"/>
      <c r="CD74" s="333"/>
      <c r="CE74" s="333"/>
      <c r="CF74" s="333"/>
      <c r="CG74" s="354">
        <f t="shared" si="26"/>
        <v>51</v>
      </c>
      <c r="CH74" s="613">
        <f t="shared" si="27"/>
        <v>0</v>
      </c>
      <c r="CI74" s="613">
        <f t="shared" si="28"/>
        <v>0</v>
      </c>
      <c r="CJ74" s="614" t="str">
        <f t="shared" si="29"/>
        <v/>
      </c>
      <c r="CK74" s="615" t="str">
        <f t="shared" si="30"/>
        <v/>
      </c>
      <c r="CL74" s="610" t="str">
        <f>IF(ISBLANK(H74),"",IF(AND(ISNUMBER(F74),ISNUMBER(G74),ISNUMBER(H74)),ROUND(F74/(H74*G74),2),ROUND(F74/(VALUE(LEFT(H74,SUM(LEN(H74)-LEN(SUBSTITUTE(H74,{"0","1","2","3","4","5","6","7","8","9","."},"")))))*G74),2)))</f>
        <v/>
      </c>
      <c r="CM74" s="616" t="str">
        <f t="shared" si="58"/>
        <v/>
      </c>
      <c r="CN74" s="616" t="str">
        <f>IF(ISNUMBER(P74),MAX('Adjustment factors'!$S$16,(0.2+0.8*P74)),IF(ISTEXT(N74),VLOOKUP(N74,Afactors,2,FALSE),""))</f>
        <v/>
      </c>
      <c r="CO74" s="616" t="str">
        <f>IF(ISNUMBER(S74),MAX('Adjustment factors'!$S$16,0.2+0.8*S74),IF(ISTEXT(Q74),VLOOKUP(Q74,Afactors,2,FALSE),""))</f>
        <v/>
      </c>
      <c r="CP74" s="611" t="str">
        <f t="shared" si="59"/>
        <v/>
      </c>
      <c r="CQ74" s="612" t="str">
        <f t="shared" si="60"/>
        <v/>
      </c>
      <c r="CR74" s="340"/>
      <c r="CS74" s="340"/>
      <c r="CT74" s="340"/>
      <c r="CU74" s="340"/>
      <c r="CV74" s="333"/>
      <c r="CW74" s="333"/>
      <c r="CX74" s="333"/>
      <c r="CY74" s="333"/>
      <c r="DA74" s="313" t="str">
        <f t="shared" si="31"/>
        <v>OK</v>
      </c>
      <c r="DB74" s="313" t="str">
        <f t="shared" si="32"/>
        <v>OK</v>
      </c>
      <c r="DC74" s="313" t="str">
        <f t="shared" si="33"/>
        <v>OK</v>
      </c>
      <c r="DD74" s="313" t="str">
        <f t="shared" si="34"/>
        <v>OK</v>
      </c>
      <c r="DE74" s="153" t="str">
        <f t="shared" si="35"/>
        <v>OK</v>
      </c>
      <c r="DF74" s="314" t="str">
        <f t="shared" si="36"/>
        <v>OK</v>
      </c>
      <c r="DG74" s="482" t="str">
        <f t="shared" si="61"/>
        <v>OK</v>
      </c>
      <c r="DH74" s="482" t="str">
        <f>IF(OR(AND(T74='Adjustment factors'!$R$28,'Class 3, 5-9'!U74='Adjustment factors'!$R$29),AND('Class 3, 5-9'!T74='Adjustment factors'!$R$29,'Class 3, 5-9'!U74='Adjustment factors'!$R$28)),"Invalid combination of adjustment factors",IF(AND(T74=U74,NOT(ISBLANK(T74)),NOT(ISBLANK(U74))),"Same colour factor selected twice","OK"))</f>
        <v>OK</v>
      </c>
      <c r="DI74" s="313" t="str">
        <f t="shared" si="37"/>
        <v>OK</v>
      </c>
      <c r="DJ74" s="153" t="str">
        <f t="shared" si="62"/>
        <v>OK</v>
      </c>
      <c r="DK74" s="153" t="str">
        <f t="shared" si="38"/>
        <v>OK</v>
      </c>
      <c r="DL74" s="313" t="str">
        <f t="shared" si="39"/>
        <v>OK</v>
      </c>
      <c r="DM74" s="153" t="str">
        <f t="shared" si="40"/>
        <v>OK</v>
      </c>
      <c r="DN74" s="153" t="str">
        <f t="shared" si="63"/>
        <v>OK</v>
      </c>
      <c r="DO74" s="154" t="str">
        <f t="shared" si="64"/>
        <v>OK</v>
      </c>
      <c r="DP74" s="153" t="str">
        <f t="shared" si="41"/>
        <v>OK</v>
      </c>
      <c r="DQ74" s="313" t="str">
        <f t="shared" si="42"/>
        <v>OK</v>
      </c>
      <c r="DR74" s="153" t="str">
        <f t="shared" si="65"/>
        <v>OK</v>
      </c>
      <c r="DS74" s="153" t="str">
        <f t="shared" si="43"/>
        <v>OK</v>
      </c>
      <c r="DT74" s="313" t="str">
        <f t="shared" si="79"/>
        <v>OK</v>
      </c>
      <c r="DU74" s="153" t="str">
        <f t="shared" si="45"/>
        <v>OK</v>
      </c>
      <c r="DV74" s="153" t="str">
        <f t="shared" si="66"/>
        <v>OK</v>
      </c>
      <c r="DW74" s="154" t="str">
        <f t="shared" si="67"/>
        <v>OK</v>
      </c>
      <c r="DX74" s="157">
        <f t="shared" si="68"/>
        <v>0</v>
      </c>
      <c r="DY74" s="156" t="str">
        <f t="shared" si="69"/>
        <v>OK</v>
      </c>
    </row>
    <row r="75" spans="1:129" ht="13" hidden="1" x14ac:dyDescent="0.3">
      <c r="A75" s="333"/>
      <c r="B75" s="333"/>
      <c r="C75" s="332" t="str">
        <f t="shared" si="46"/>
        <v>-</v>
      </c>
      <c r="D75" s="584">
        <f t="shared" si="77"/>
        <v>52</v>
      </c>
      <c r="E75" s="585"/>
      <c r="F75" s="586"/>
      <c r="G75" s="600"/>
      <c r="H75" s="587"/>
      <c r="I75" s="601"/>
      <c r="J75" s="585"/>
      <c r="K75" s="617"/>
      <c r="L75" s="602"/>
      <c r="M75" s="603"/>
      <c r="N75" s="588"/>
      <c r="O75" s="604"/>
      <c r="P75" s="605"/>
      <c r="Q75" s="588"/>
      <c r="R75" s="604"/>
      <c r="S75" s="605"/>
      <c r="T75" s="606"/>
      <c r="U75" s="606"/>
      <c r="V75" s="429" t="str">
        <f t="shared" si="0"/>
        <v/>
      </c>
      <c r="W75" s="430" t="str">
        <f t="shared" si="47"/>
        <v/>
      </c>
      <c r="X75" s="66" t="str">
        <f>IF(AND(ISNUMBER(P75),N75=FixedDim),MAX('Adjustment factors'!$S$16,0.2+0.8*P75),IF(ISTEXT(N75),VLOOKUP(N75,Afactors,2,TRUE),""))</f>
        <v/>
      </c>
      <c r="Y75" s="17" t="str">
        <f>IF(AND(ISNUMBER(S75),Q75=FixedDim),MAX('Adjustment factors'!$S$16,0.2+0.8*S75),IF(ISTEXT(Q75),VLOOKUP(Q75,Afactors,2,TRUE),""))</f>
        <v/>
      </c>
      <c r="Z75" s="297" t="str">
        <f>IF(ISBLANK(T75),"",VLOOKUP(T75,'Adjustment factors'!$R$27:$S$30,2,TRUE))</f>
        <v/>
      </c>
      <c r="AA75" s="297" t="str">
        <f>IF(ISBLANK(U75),"",VLOOKUP(U75,'Adjustment factors'!$R$27:$S$30,2,TRUE))</f>
        <v/>
      </c>
      <c r="AB75" s="480">
        <f t="shared" si="48"/>
        <v>1</v>
      </c>
      <c r="AC75" s="18" t="b">
        <f t="shared" si="1"/>
        <v>0</v>
      </c>
      <c r="AD75" s="18" t="b">
        <f t="shared" si="2"/>
        <v>0</v>
      </c>
      <c r="AE75" s="18" t="b">
        <f t="shared" si="70"/>
        <v>0</v>
      </c>
      <c r="AF75" s="17" t="str">
        <f t="shared" si="3"/>
        <v/>
      </c>
      <c r="AG75" s="18" t="str">
        <f t="shared" si="4"/>
        <v/>
      </c>
      <c r="AH75" s="17" t="str">
        <f t="shared" si="71"/>
        <v/>
      </c>
      <c r="AI75" s="297" t="e">
        <f t="shared" si="49"/>
        <v>#VALUE!</v>
      </c>
      <c r="AJ75" s="79" t="e">
        <f t="shared" si="5"/>
        <v>#VALUE!</v>
      </c>
      <c r="AK75" s="17" t="str">
        <f t="shared" si="72"/>
        <v/>
      </c>
      <c r="AL75" s="80" t="e">
        <f t="shared" si="6"/>
        <v>#VALUE!</v>
      </c>
      <c r="AM75" s="139" t="b">
        <f t="shared" si="7"/>
        <v>1</v>
      </c>
      <c r="AN75" s="139" t="b">
        <f>AND(COUNTA(E75)&gt;0,ISNUMBER(F75),OR(COUNT(G75:H75)=0,COUNT(G75:H75)=2,AND(ISNUMBER(G75),ISNUMBER(VALUE(LEFT(H75,SUM(LEN(H75)-LEN(SUBSTITUTE(H75,{"0","1","2","3","4","5","6","7","8","9","."},"")))))))),ISNUMBER(I75),ISTEXT(J75))</f>
        <v>0</v>
      </c>
      <c r="AO75" s="19" t="b">
        <f t="shared" si="8"/>
        <v>0</v>
      </c>
      <c r="AP75" s="19" t="b">
        <f t="shared" si="9"/>
        <v>1</v>
      </c>
      <c r="AQ75" s="19" t="b">
        <f>IF(AND(COUNTBLANK(E75:J75)=6,OR(AN76:AN$523)),NOT(AN75))</f>
        <v>0</v>
      </c>
      <c r="AR75" s="19" t="str">
        <f t="shared" si="10"/>
        <v/>
      </c>
      <c r="AS75" s="19" t="b">
        <f t="shared" si="11"/>
        <v>1</v>
      </c>
      <c r="AT75" s="19" t="str">
        <f t="shared" si="12"/>
        <v/>
      </c>
      <c r="AU75" s="19" t="b">
        <f t="shared" si="13"/>
        <v>1</v>
      </c>
      <c r="AV75" s="140" t="str">
        <f t="shared" si="50"/>
        <v/>
      </c>
      <c r="AW75" s="19" t="str">
        <f t="shared" si="14"/>
        <v/>
      </c>
      <c r="AX75" s="81">
        <f t="shared" si="15"/>
        <v>0</v>
      </c>
      <c r="AY75" s="81" t="str">
        <f t="shared" si="16"/>
        <v/>
      </c>
      <c r="AZ75" s="307" t="str">
        <f t="shared" si="51"/>
        <v/>
      </c>
      <c r="BA75" s="281" t="str">
        <f t="shared" si="52"/>
        <v/>
      </c>
      <c r="BB75" s="281" t="str">
        <f t="shared" si="53"/>
        <v/>
      </c>
      <c r="BC75" s="953"/>
      <c r="BD75" s="955"/>
      <c r="BE75" s="219" t="str">
        <f t="shared" si="17"/>
        <v>n/a</v>
      </c>
      <c r="BF75" s="215" t="b">
        <f t="shared" si="18"/>
        <v>0</v>
      </c>
      <c r="BG75" s="145" t="b">
        <f t="shared" si="19"/>
        <v>0</v>
      </c>
      <c r="BH75" s="145" t="b">
        <f t="shared" si="20"/>
        <v>0</v>
      </c>
      <c r="BI75" s="216" t="b">
        <f t="shared" si="21"/>
        <v>0</v>
      </c>
      <c r="BJ75" s="215" t="b">
        <f t="shared" si="74"/>
        <v>0</v>
      </c>
      <c r="BK75" s="145" t="b">
        <f t="shared" si="75"/>
        <v>0</v>
      </c>
      <c r="BL75" s="216" t="b">
        <f t="shared" si="76"/>
        <v>0</v>
      </c>
      <c r="BM75" s="217" t="str">
        <f t="shared" si="54"/>
        <v/>
      </c>
      <c r="BN75" s="146" t="str">
        <f t="shared" si="55"/>
        <v/>
      </c>
      <c r="BO75" s="147" t="str">
        <f t="shared" si="56"/>
        <v/>
      </c>
      <c r="BP75" s="148" t="str">
        <f t="shared" si="57"/>
        <v/>
      </c>
      <c r="BT75" s="50">
        <f t="shared" si="78"/>
        <v>52</v>
      </c>
      <c r="BU75" s="50" t="str">
        <f t="shared" si="25"/>
        <v>-</v>
      </c>
      <c r="BW75" s="340"/>
      <c r="BX75" s="333"/>
      <c r="BY75" s="333"/>
      <c r="BZ75" s="333"/>
      <c r="CA75" s="333"/>
      <c r="CB75" s="333"/>
      <c r="CC75" s="333"/>
      <c r="CD75" s="333"/>
      <c r="CE75" s="333"/>
      <c r="CF75" s="333"/>
      <c r="CG75" s="354">
        <f t="shared" si="26"/>
        <v>52</v>
      </c>
      <c r="CH75" s="613">
        <f t="shared" si="27"/>
        <v>0</v>
      </c>
      <c r="CI75" s="613">
        <f t="shared" si="28"/>
        <v>0</v>
      </c>
      <c r="CJ75" s="614" t="str">
        <f t="shared" si="29"/>
        <v/>
      </c>
      <c r="CK75" s="615" t="str">
        <f t="shared" si="30"/>
        <v/>
      </c>
      <c r="CL75" s="610" t="str">
        <f>IF(ISBLANK(H75),"",IF(AND(ISNUMBER(F75),ISNUMBER(G75),ISNUMBER(H75)),ROUND(F75/(H75*G75),2),ROUND(F75/(VALUE(LEFT(H75,SUM(LEN(H75)-LEN(SUBSTITUTE(H75,{"0","1","2","3","4","5","6","7","8","9","."},"")))))*G75),2)))</f>
        <v/>
      </c>
      <c r="CM75" s="616" t="str">
        <f t="shared" si="58"/>
        <v/>
      </c>
      <c r="CN75" s="616" t="str">
        <f>IF(ISNUMBER(P75),MAX('Adjustment factors'!$S$16,(0.2+0.8*P75)),IF(ISTEXT(N75),VLOOKUP(N75,Afactors,2,FALSE),""))</f>
        <v/>
      </c>
      <c r="CO75" s="616" t="str">
        <f>IF(ISNUMBER(S75),MAX('Adjustment factors'!$S$16,0.2+0.8*S75),IF(ISTEXT(Q75),VLOOKUP(Q75,Afactors,2,FALSE),""))</f>
        <v/>
      </c>
      <c r="CP75" s="611" t="str">
        <f t="shared" si="59"/>
        <v/>
      </c>
      <c r="CQ75" s="612" t="str">
        <f t="shared" si="60"/>
        <v/>
      </c>
      <c r="CR75" s="340"/>
      <c r="CS75" s="340"/>
      <c r="CT75" s="340"/>
      <c r="CU75" s="340"/>
      <c r="CV75" s="333"/>
      <c r="CW75" s="333"/>
      <c r="CX75" s="333"/>
      <c r="CY75" s="333"/>
      <c r="DA75" s="313" t="str">
        <f t="shared" si="31"/>
        <v>OK</v>
      </c>
      <c r="DB75" s="313" t="str">
        <f t="shared" si="32"/>
        <v>OK</v>
      </c>
      <c r="DC75" s="313" t="str">
        <f t="shared" si="33"/>
        <v>OK</v>
      </c>
      <c r="DD75" s="313" t="str">
        <f t="shared" si="34"/>
        <v>OK</v>
      </c>
      <c r="DE75" s="153" t="str">
        <f t="shared" si="35"/>
        <v>OK</v>
      </c>
      <c r="DF75" s="314" t="str">
        <f t="shared" si="36"/>
        <v>OK</v>
      </c>
      <c r="DG75" s="482" t="str">
        <f t="shared" si="61"/>
        <v>OK</v>
      </c>
      <c r="DH75" s="482" t="str">
        <f>IF(OR(AND(T75='Adjustment factors'!$R$28,'Class 3, 5-9'!U75='Adjustment factors'!$R$29),AND('Class 3, 5-9'!T75='Adjustment factors'!$R$29,'Class 3, 5-9'!U75='Adjustment factors'!$R$28)),"Invalid combination of adjustment factors",IF(AND(T75=U75,NOT(ISBLANK(T75)),NOT(ISBLANK(U75))),"Same colour factor selected twice","OK"))</f>
        <v>OK</v>
      </c>
      <c r="DI75" s="313" t="str">
        <f t="shared" si="37"/>
        <v>OK</v>
      </c>
      <c r="DJ75" s="153" t="str">
        <f t="shared" si="62"/>
        <v>OK</v>
      </c>
      <c r="DK75" s="153" t="str">
        <f t="shared" si="38"/>
        <v>OK</v>
      </c>
      <c r="DL75" s="313" t="str">
        <f t="shared" si="39"/>
        <v>OK</v>
      </c>
      <c r="DM75" s="153" t="str">
        <f t="shared" si="40"/>
        <v>OK</v>
      </c>
      <c r="DN75" s="153" t="str">
        <f t="shared" si="63"/>
        <v>OK</v>
      </c>
      <c r="DO75" s="154" t="str">
        <f t="shared" si="64"/>
        <v>OK</v>
      </c>
      <c r="DP75" s="153" t="str">
        <f t="shared" si="41"/>
        <v>OK</v>
      </c>
      <c r="DQ75" s="313" t="str">
        <f t="shared" si="42"/>
        <v>OK</v>
      </c>
      <c r="DR75" s="153" t="str">
        <f t="shared" si="65"/>
        <v>OK</v>
      </c>
      <c r="DS75" s="153" t="str">
        <f t="shared" si="43"/>
        <v>OK</v>
      </c>
      <c r="DT75" s="313" t="str">
        <f t="shared" si="79"/>
        <v>OK</v>
      </c>
      <c r="DU75" s="153" t="str">
        <f t="shared" si="45"/>
        <v>OK</v>
      </c>
      <c r="DV75" s="153" t="str">
        <f t="shared" si="66"/>
        <v>OK</v>
      </c>
      <c r="DW75" s="154" t="str">
        <f t="shared" si="67"/>
        <v>OK</v>
      </c>
      <c r="DX75" s="157">
        <f t="shared" si="68"/>
        <v>0</v>
      </c>
      <c r="DY75" s="156" t="str">
        <f t="shared" si="69"/>
        <v>OK</v>
      </c>
    </row>
    <row r="76" spans="1:129" ht="13" hidden="1" x14ac:dyDescent="0.3">
      <c r="A76" s="333"/>
      <c r="B76" s="333"/>
      <c r="C76" s="332" t="str">
        <f t="shared" si="46"/>
        <v>-</v>
      </c>
      <c r="D76" s="584">
        <f t="shared" si="77"/>
        <v>53</v>
      </c>
      <c r="E76" s="585"/>
      <c r="F76" s="586"/>
      <c r="G76" s="600"/>
      <c r="H76" s="587"/>
      <c r="I76" s="601"/>
      <c r="J76" s="585"/>
      <c r="K76" s="617"/>
      <c r="L76" s="602"/>
      <c r="M76" s="603"/>
      <c r="N76" s="588"/>
      <c r="O76" s="604"/>
      <c r="P76" s="605"/>
      <c r="Q76" s="588"/>
      <c r="R76" s="604"/>
      <c r="S76" s="605"/>
      <c r="T76" s="606"/>
      <c r="U76" s="606"/>
      <c r="V76" s="429" t="str">
        <f t="shared" si="0"/>
        <v/>
      </c>
      <c r="W76" s="430" t="str">
        <f t="shared" si="47"/>
        <v/>
      </c>
      <c r="X76" s="66" t="str">
        <f>IF(AND(ISNUMBER(P76),N76=FixedDim),MAX('Adjustment factors'!$S$16,0.2+0.8*P76),IF(ISTEXT(N76),VLOOKUP(N76,Afactors,2,TRUE),""))</f>
        <v/>
      </c>
      <c r="Y76" s="17" t="str">
        <f>IF(AND(ISNUMBER(S76),Q76=FixedDim),MAX('Adjustment factors'!$S$16,0.2+0.8*S76),IF(ISTEXT(Q76),VLOOKUP(Q76,Afactors,2,TRUE),""))</f>
        <v/>
      </c>
      <c r="Z76" s="297" t="str">
        <f>IF(ISBLANK(T76),"",VLOOKUP(T76,'Adjustment factors'!$R$27:$S$30,2,TRUE))</f>
        <v/>
      </c>
      <c r="AA76" s="297" t="str">
        <f>IF(ISBLANK(U76),"",VLOOKUP(U76,'Adjustment factors'!$R$27:$S$30,2,TRUE))</f>
        <v/>
      </c>
      <c r="AB76" s="480">
        <f t="shared" si="48"/>
        <v>1</v>
      </c>
      <c r="AC76" s="18" t="b">
        <f t="shared" si="1"/>
        <v>0</v>
      </c>
      <c r="AD76" s="18" t="b">
        <f t="shared" si="2"/>
        <v>0</v>
      </c>
      <c r="AE76" s="18" t="b">
        <f t="shared" si="70"/>
        <v>0</v>
      </c>
      <c r="AF76" s="17" t="str">
        <f t="shared" si="3"/>
        <v/>
      </c>
      <c r="AG76" s="18" t="str">
        <f t="shared" si="4"/>
        <v/>
      </c>
      <c r="AH76" s="17" t="str">
        <f t="shared" si="71"/>
        <v/>
      </c>
      <c r="AI76" s="297" t="e">
        <f t="shared" si="49"/>
        <v>#VALUE!</v>
      </c>
      <c r="AJ76" s="79" t="e">
        <f t="shared" si="5"/>
        <v>#VALUE!</v>
      </c>
      <c r="AK76" s="17" t="str">
        <f t="shared" si="72"/>
        <v/>
      </c>
      <c r="AL76" s="80" t="e">
        <f t="shared" si="6"/>
        <v>#VALUE!</v>
      </c>
      <c r="AM76" s="139" t="b">
        <f t="shared" si="7"/>
        <v>1</v>
      </c>
      <c r="AN76" s="139" t="b">
        <f>AND(COUNTA(E76)&gt;0,ISNUMBER(F76),OR(COUNT(G76:H76)=0,COUNT(G76:H76)=2,AND(ISNUMBER(G76),ISNUMBER(VALUE(LEFT(H76,SUM(LEN(H76)-LEN(SUBSTITUTE(H76,{"0","1","2","3","4","5","6","7","8","9","."},"")))))))),ISNUMBER(I76),ISTEXT(J76))</f>
        <v>0</v>
      </c>
      <c r="AO76" s="19" t="b">
        <f t="shared" si="8"/>
        <v>0</v>
      </c>
      <c r="AP76" s="19" t="b">
        <f t="shared" si="9"/>
        <v>1</v>
      </c>
      <c r="AQ76" s="19" t="b">
        <f>IF(AND(COUNTBLANK(E76:J76)=6,OR(AN77:AN$523)),NOT(AN76))</f>
        <v>0</v>
      </c>
      <c r="AR76" s="19" t="str">
        <f t="shared" si="10"/>
        <v/>
      </c>
      <c r="AS76" s="19" t="b">
        <f t="shared" si="11"/>
        <v>1</v>
      </c>
      <c r="AT76" s="19" t="str">
        <f t="shared" si="12"/>
        <v/>
      </c>
      <c r="AU76" s="19" t="b">
        <f t="shared" si="13"/>
        <v>1</v>
      </c>
      <c r="AV76" s="140" t="str">
        <f t="shared" si="50"/>
        <v/>
      </c>
      <c r="AW76" s="19" t="str">
        <f t="shared" si="14"/>
        <v/>
      </c>
      <c r="AX76" s="81">
        <f t="shared" si="15"/>
        <v>0</v>
      </c>
      <c r="AY76" s="81" t="str">
        <f t="shared" si="16"/>
        <v/>
      </c>
      <c r="AZ76" s="307" t="str">
        <f t="shared" si="51"/>
        <v/>
      </c>
      <c r="BA76" s="281" t="str">
        <f t="shared" si="52"/>
        <v/>
      </c>
      <c r="BB76" s="281" t="str">
        <f t="shared" si="53"/>
        <v/>
      </c>
      <c r="BC76" s="953"/>
      <c r="BD76" s="955"/>
      <c r="BE76" s="219" t="str">
        <f t="shared" si="17"/>
        <v>n/a</v>
      </c>
      <c r="BF76" s="215" t="b">
        <f t="shared" si="18"/>
        <v>0</v>
      </c>
      <c r="BG76" s="145" t="b">
        <f t="shared" si="19"/>
        <v>0</v>
      </c>
      <c r="BH76" s="145" t="b">
        <f t="shared" si="20"/>
        <v>0</v>
      </c>
      <c r="BI76" s="216" t="b">
        <f t="shared" si="21"/>
        <v>0</v>
      </c>
      <c r="BJ76" s="215" t="b">
        <f t="shared" si="74"/>
        <v>0</v>
      </c>
      <c r="BK76" s="145" t="b">
        <f t="shared" si="75"/>
        <v>0</v>
      </c>
      <c r="BL76" s="216" t="b">
        <f t="shared" si="76"/>
        <v>0</v>
      </c>
      <c r="BM76" s="217" t="str">
        <f t="shared" si="54"/>
        <v/>
      </c>
      <c r="BN76" s="146" t="str">
        <f t="shared" si="55"/>
        <v/>
      </c>
      <c r="BO76" s="147" t="str">
        <f t="shared" si="56"/>
        <v/>
      </c>
      <c r="BP76" s="148" t="str">
        <f t="shared" si="57"/>
        <v/>
      </c>
      <c r="BT76" s="50">
        <f t="shared" si="78"/>
        <v>53</v>
      </c>
      <c r="BU76" s="50" t="str">
        <f t="shared" si="25"/>
        <v>-</v>
      </c>
      <c r="BW76" s="340"/>
      <c r="BX76" s="333"/>
      <c r="BY76" s="333"/>
      <c r="BZ76" s="333"/>
      <c r="CA76" s="333"/>
      <c r="CB76" s="333"/>
      <c r="CC76" s="333"/>
      <c r="CD76" s="333"/>
      <c r="CE76" s="333"/>
      <c r="CF76" s="333"/>
      <c r="CG76" s="354">
        <f t="shared" si="26"/>
        <v>53</v>
      </c>
      <c r="CH76" s="613">
        <f t="shared" si="27"/>
        <v>0</v>
      </c>
      <c r="CI76" s="613">
        <f t="shared" si="28"/>
        <v>0</v>
      </c>
      <c r="CJ76" s="614" t="str">
        <f t="shared" si="29"/>
        <v/>
      </c>
      <c r="CK76" s="615" t="str">
        <f t="shared" si="30"/>
        <v/>
      </c>
      <c r="CL76" s="610" t="str">
        <f>IF(ISBLANK(H76),"",IF(AND(ISNUMBER(F76),ISNUMBER(G76),ISNUMBER(H76)),ROUND(F76/(H76*G76),2),ROUND(F76/(VALUE(LEFT(H76,SUM(LEN(H76)-LEN(SUBSTITUTE(H76,{"0","1","2","3","4","5","6","7","8","9","."},"")))))*G76),2)))</f>
        <v/>
      </c>
      <c r="CM76" s="616" t="str">
        <f t="shared" si="58"/>
        <v/>
      </c>
      <c r="CN76" s="616" t="str">
        <f>IF(ISNUMBER(P76),MAX('Adjustment factors'!$S$16,(0.2+0.8*P76)),IF(ISTEXT(N76),VLOOKUP(N76,Afactors,2,FALSE),""))</f>
        <v/>
      </c>
      <c r="CO76" s="616" t="str">
        <f>IF(ISNUMBER(S76),MAX('Adjustment factors'!$S$16,0.2+0.8*S76),IF(ISTEXT(Q76),VLOOKUP(Q76,Afactors,2,FALSE),""))</f>
        <v/>
      </c>
      <c r="CP76" s="611" t="str">
        <f t="shared" si="59"/>
        <v/>
      </c>
      <c r="CQ76" s="612" t="str">
        <f t="shared" si="60"/>
        <v/>
      </c>
      <c r="CR76" s="340"/>
      <c r="CS76" s="340"/>
      <c r="CT76" s="340"/>
      <c r="CU76" s="340"/>
      <c r="CV76" s="333"/>
      <c r="CW76" s="333"/>
      <c r="CX76" s="333"/>
      <c r="CY76" s="333"/>
      <c r="DA76" s="313" t="str">
        <f t="shared" si="31"/>
        <v>OK</v>
      </c>
      <c r="DB76" s="313" t="str">
        <f t="shared" si="32"/>
        <v>OK</v>
      </c>
      <c r="DC76" s="313" t="str">
        <f t="shared" si="33"/>
        <v>OK</v>
      </c>
      <c r="DD76" s="313" t="str">
        <f t="shared" si="34"/>
        <v>OK</v>
      </c>
      <c r="DE76" s="153" t="str">
        <f t="shared" si="35"/>
        <v>OK</v>
      </c>
      <c r="DF76" s="314" t="str">
        <f t="shared" si="36"/>
        <v>OK</v>
      </c>
      <c r="DG76" s="482" t="str">
        <f t="shared" si="61"/>
        <v>OK</v>
      </c>
      <c r="DH76" s="482" t="str">
        <f>IF(OR(AND(T76='Adjustment factors'!$R$28,'Class 3, 5-9'!U76='Adjustment factors'!$R$29),AND('Class 3, 5-9'!T76='Adjustment factors'!$R$29,'Class 3, 5-9'!U76='Adjustment factors'!$R$28)),"Invalid combination of adjustment factors",IF(AND(T76=U76,NOT(ISBLANK(T76)),NOT(ISBLANK(U76))),"Same colour factor selected twice","OK"))</f>
        <v>OK</v>
      </c>
      <c r="DI76" s="313" t="str">
        <f t="shared" si="37"/>
        <v>OK</v>
      </c>
      <c r="DJ76" s="153" t="str">
        <f t="shared" si="62"/>
        <v>OK</v>
      </c>
      <c r="DK76" s="153" t="str">
        <f t="shared" si="38"/>
        <v>OK</v>
      </c>
      <c r="DL76" s="313" t="str">
        <f t="shared" si="39"/>
        <v>OK</v>
      </c>
      <c r="DM76" s="153" t="str">
        <f t="shared" si="40"/>
        <v>OK</v>
      </c>
      <c r="DN76" s="153" t="str">
        <f t="shared" si="63"/>
        <v>OK</v>
      </c>
      <c r="DO76" s="154" t="str">
        <f t="shared" si="64"/>
        <v>OK</v>
      </c>
      <c r="DP76" s="153" t="str">
        <f t="shared" si="41"/>
        <v>OK</v>
      </c>
      <c r="DQ76" s="313" t="str">
        <f t="shared" si="42"/>
        <v>OK</v>
      </c>
      <c r="DR76" s="153" t="str">
        <f t="shared" si="65"/>
        <v>OK</v>
      </c>
      <c r="DS76" s="153" t="str">
        <f t="shared" si="43"/>
        <v>OK</v>
      </c>
      <c r="DT76" s="313" t="str">
        <f t="shared" si="79"/>
        <v>OK</v>
      </c>
      <c r="DU76" s="153" t="str">
        <f t="shared" si="45"/>
        <v>OK</v>
      </c>
      <c r="DV76" s="153" t="str">
        <f t="shared" si="66"/>
        <v>OK</v>
      </c>
      <c r="DW76" s="154" t="str">
        <f t="shared" si="67"/>
        <v>OK</v>
      </c>
      <c r="DX76" s="157">
        <f t="shared" si="68"/>
        <v>0</v>
      </c>
      <c r="DY76" s="156" t="str">
        <f t="shared" si="69"/>
        <v>OK</v>
      </c>
    </row>
    <row r="77" spans="1:129" ht="13" hidden="1" x14ac:dyDescent="0.3">
      <c r="A77" s="333"/>
      <c r="B77" s="333"/>
      <c r="C77" s="332" t="str">
        <f t="shared" si="46"/>
        <v>-</v>
      </c>
      <c r="D77" s="584">
        <f t="shared" si="77"/>
        <v>54</v>
      </c>
      <c r="E77" s="585"/>
      <c r="F77" s="586"/>
      <c r="G77" s="600"/>
      <c r="H77" s="587"/>
      <c r="I77" s="601"/>
      <c r="J77" s="585"/>
      <c r="K77" s="617"/>
      <c r="L77" s="602"/>
      <c r="M77" s="603"/>
      <c r="N77" s="588"/>
      <c r="O77" s="604"/>
      <c r="P77" s="605"/>
      <c r="Q77" s="588"/>
      <c r="R77" s="604"/>
      <c r="S77" s="605"/>
      <c r="T77" s="606"/>
      <c r="U77" s="606"/>
      <c r="V77" s="429" t="str">
        <f t="shared" si="0"/>
        <v/>
      </c>
      <c r="W77" s="430" t="str">
        <f t="shared" si="47"/>
        <v/>
      </c>
      <c r="X77" s="66" t="str">
        <f>IF(AND(ISNUMBER(P77),N77=FixedDim),MAX('Adjustment factors'!$S$16,0.2+0.8*P77),IF(ISTEXT(N77),VLOOKUP(N77,Afactors,2,TRUE),""))</f>
        <v/>
      </c>
      <c r="Y77" s="17" t="str">
        <f>IF(AND(ISNUMBER(S77),Q77=FixedDim),MAX('Adjustment factors'!$S$16,0.2+0.8*S77),IF(ISTEXT(Q77),VLOOKUP(Q77,Afactors,2,TRUE),""))</f>
        <v/>
      </c>
      <c r="Z77" s="297" t="str">
        <f>IF(ISBLANK(T77),"",VLOOKUP(T77,'Adjustment factors'!$R$27:$S$30,2,TRUE))</f>
        <v/>
      </c>
      <c r="AA77" s="297" t="str">
        <f>IF(ISBLANK(U77),"",VLOOKUP(U77,'Adjustment factors'!$R$27:$S$30,2,TRUE))</f>
        <v/>
      </c>
      <c r="AB77" s="480">
        <f t="shared" si="48"/>
        <v>1</v>
      </c>
      <c r="AC77" s="18" t="b">
        <f t="shared" si="1"/>
        <v>0</v>
      </c>
      <c r="AD77" s="18" t="b">
        <f t="shared" si="2"/>
        <v>0</v>
      </c>
      <c r="AE77" s="18" t="b">
        <f t="shared" si="70"/>
        <v>0</v>
      </c>
      <c r="AF77" s="17" t="str">
        <f t="shared" si="3"/>
        <v/>
      </c>
      <c r="AG77" s="18" t="str">
        <f t="shared" si="4"/>
        <v/>
      </c>
      <c r="AH77" s="17" t="str">
        <f t="shared" si="71"/>
        <v/>
      </c>
      <c r="AI77" s="297" t="e">
        <f t="shared" si="49"/>
        <v>#VALUE!</v>
      </c>
      <c r="AJ77" s="79" t="e">
        <f t="shared" si="5"/>
        <v>#VALUE!</v>
      </c>
      <c r="AK77" s="17" t="str">
        <f t="shared" si="72"/>
        <v/>
      </c>
      <c r="AL77" s="80" t="e">
        <f t="shared" si="6"/>
        <v>#VALUE!</v>
      </c>
      <c r="AM77" s="139" t="b">
        <f t="shared" si="7"/>
        <v>1</v>
      </c>
      <c r="AN77" s="139" t="b">
        <f>AND(COUNTA(E77)&gt;0,ISNUMBER(F77),OR(COUNT(G77:H77)=0,COUNT(G77:H77)=2,AND(ISNUMBER(G77),ISNUMBER(VALUE(LEFT(H77,SUM(LEN(H77)-LEN(SUBSTITUTE(H77,{"0","1","2","3","4","5","6","7","8","9","."},"")))))))),ISNUMBER(I77),ISTEXT(J77))</f>
        <v>0</v>
      </c>
      <c r="AO77" s="19" t="b">
        <f t="shared" si="8"/>
        <v>0</v>
      </c>
      <c r="AP77" s="19" t="b">
        <f t="shared" si="9"/>
        <v>1</v>
      </c>
      <c r="AQ77" s="19" t="b">
        <f>IF(AND(COUNTBLANK(E77:J77)=6,OR(AN78:AN$523)),NOT(AN77))</f>
        <v>0</v>
      </c>
      <c r="AR77" s="19" t="str">
        <f t="shared" si="10"/>
        <v/>
      </c>
      <c r="AS77" s="19" t="b">
        <f t="shared" si="11"/>
        <v>1</v>
      </c>
      <c r="AT77" s="19" t="str">
        <f t="shared" si="12"/>
        <v/>
      </c>
      <c r="AU77" s="19" t="b">
        <f t="shared" si="13"/>
        <v>1</v>
      </c>
      <c r="AV77" s="140" t="str">
        <f t="shared" si="50"/>
        <v/>
      </c>
      <c r="AW77" s="19" t="str">
        <f t="shared" si="14"/>
        <v/>
      </c>
      <c r="AX77" s="81">
        <f t="shared" si="15"/>
        <v>0</v>
      </c>
      <c r="AY77" s="81" t="str">
        <f t="shared" si="16"/>
        <v/>
      </c>
      <c r="AZ77" s="307" t="str">
        <f t="shared" si="51"/>
        <v/>
      </c>
      <c r="BA77" s="281" t="str">
        <f t="shared" si="52"/>
        <v/>
      </c>
      <c r="BB77" s="281" t="str">
        <f t="shared" si="53"/>
        <v/>
      </c>
      <c r="BC77" s="953"/>
      <c r="BD77" s="955"/>
      <c r="BE77" s="219" t="str">
        <f t="shared" si="17"/>
        <v>n/a</v>
      </c>
      <c r="BF77" s="215" t="b">
        <f t="shared" si="18"/>
        <v>0</v>
      </c>
      <c r="BG77" s="145" t="b">
        <f t="shared" si="19"/>
        <v>0</v>
      </c>
      <c r="BH77" s="145" t="b">
        <f t="shared" si="20"/>
        <v>0</v>
      </c>
      <c r="BI77" s="216" t="b">
        <f t="shared" si="21"/>
        <v>0</v>
      </c>
      <c r="BJ77" s="215" t="b">
        <f t="shared" si="74"/>
        <v>0</v>
      </c>
      <c r="BK77" s="145" t="b">
        <f t="shared" si="75"/>
        <v>0</v>
      </c>
      <c r="BL77" s="216" t="b">
        <f t="shared" si="76"/>
        <v>0</v>
      </c>
      <c r="BM77" s="217" t="str">
        <f t="shared" si="54"/>
        <v/>
      </c>
      <c r="BN77" s="146" t="str">
        <f t="shared" si="55"/>
        <v/>
      </c>
      <c r="BO77" s="147" t="str">
        <f t="shared" si="56"/>
        <v/>
      </c>
      <c r="BP77" s="148" t="str">
        <f t="shared" si="57"/>
        <v/>
      </c>
      <c r="BT77" s="50">
        <f t="shared" si="78"/>
        <v>54</v>
      </c>
      <c r="BU77" s="50" t="str">
        <f t="shared" si="25"/>
        <v>-</v>
      </c>
      <c r="BW77" s="340"/>
      <c r="BX77" s="333"/>
      <c r="BY77" s="333"/>
      <c r="BZ77" s="333"/>
      <c r="CA77" s="333"/>
      <c r="CB77" s="333"/>
      <c r="CC77" s="333"/>
      <c r="CD77" s="333"/>
      <c r="CE77" s="333"/>
      <c r="CF77" s="333"/>
      <c r="CG77" s="354">
        <f t="shared" si="26"/>
        <v>54</v>
      </c>
      <c r="CH77" s="613">
        <f t="shared" si="27"/>
        <v>0</v>
      </c>
      <c r="CI77" s="613">
        <f t="shared" si="28"/>
        <v>0</v>
      </c>
      <c r="CJ77" s="614" t="str">
        <f t="shared" si="29"/>
        <v/>
      </c>
      <c r="CK77" s="615" t="str">
        <f t="shared" si="30"/>
        <v/>
      </c>
      <c r="CL77" s="610" t="str">
        <f>IF(ISBLANK(H77),"",IF(AND(ISNUMBER(F77),ISNUMBER(G77),ISNUMBER(H77)),ROUND(F77/(H77*G77),2),ROUND(F77/(VALUE(LEFT(H77,SUM(LEN(H77)-LEN(SUBSTITUTE(H77,{"0","1","2","3","4","5","6","7","8","9","."},"")))))*G77),2)))</f>
        <v/>
      </c>
      <c r="CM77" s="616" t="str">
        <f t="shared" si="58"/>
        <v/>
      </c>
      <c r="CN77" s="616" t="str">
        <f>IF(ISNUMBER(P77),MAX('Adjustment factors'!$S$16,(0.2+0.8*P77)),IF(ISTEXT(N77),VLOOKUP(N77,Afactors,2,FALSE),""))</f>
        <v/>
      </c>
      <c r="CO77" s="616" t="str">
        <f>IF(ISNUMBER(S77),MAX('Adjustment factors'!$S$16,0.2+0.8*S77),IF(ISTEXT(Q77),VLOOKUP(Q77,Afactors,2,FALSE),""))</f>
        <v/>
      </c>
      <c r="CP77" s="611" t="str">
        <f t="shared" si="59"/>
        <v/>
      </c>
      <c r="CQ77" s="612" t="str">
        <f t="shared" si="60"/>
        <v/>
      </c>
      <c r="CR77" s="340"/>
      <c r="CS77" s="340"/>
      <c r="CT77" s="340"/>
      <c r="CU77" s="340"/>
      <c r="CV77" s="333"/>
      <c r="CW77" s="333"/>
      <c r="CX77" s="333"/>
      <c r="CY77" s="333"/>
      <c r="DA77" s="313" t="str">
        <f t="shared" si="31"/>
        <v>OK</v>
      </c>
      <c r="DB77" s="313" t="str">
        <f t="shared" si="32"/>
        <v>OK</v>
      </c>
      <c r="DC77" s="313" t="str">
        <f t="shared" si="33"/>
        <v>OK</v>
      </c>
      <c r="DD77" s="313" t="str">
        <f t="shared" si="34"/>
        <v>OK</v>
      </c>
      <c r="DE77" s="153" t="str">
        <f t="shared" si="35"/>
        <v>OK</v>
      </c>
      <c r="DF77" s="314" t="str">
        <f t="shared" si="36"/>
        <v>OK</v>
      </c>
      <c r="DG77" s="482" t="str">
        <f t="shared" si="61"/>
        <v>OK</v>
      </c>
      <c r="DH77" s="482" t="str">
        <f>IF(OR(AND(T77='Adjustment factors'!$R$28,'Class 3, 5-9'!U77='Adjustment factors'!$R$29),AND('Class 3, 5-9'!T77='Adjustment factors'!$R$29,'Class 3, 5-9'!U77='Adjustment factors'!$R$28)),"Invalid combination of adjustment factors",IF(AND(T77=U77,NOT(ISBLANK(T77)),NOT(ISBLANK(U77))),"Same colour factor selected twice","OK"))</f>
        <v>OK</v>
      </c>
      <c r="DI77" s="313" t="str">
        <f t="shared" si="37"/>
        <v>OK</v>
      </c>
      <c r="DJ77" s="153" t="str">
        <f t="shared" si="62"/>
        <v>OK</v>
      </c>
      <c r="DK77" s="153" t="str">
        <f t="shared" si="38"/>
        <v>OK</v>
      </c>
      <c r="DL77" s="313" t="str">
        <f t="shared" si="39"/>
        <v>OK</v>
      </c>
      <c r="DM77" s="153" t="str">
        <f t="shared" si="40"/>
        <v>OK</v>
      </c>
      <c r="DN77" s="153" t="str">
        <f t="shared" si="63"/>
        <v>OK</v>
      </c>
      <c r="DO77" s="154" t="str">
        <f t="shared" si="64"/>
        <v>OK</v>
      </c>
      <c r="DP77" s="153" t="str">
        <f t="shared" si="41"/>
        <v>OK</v>
      </c>
      <c r="DQ77" s="313" t="str">
        <f t="shared" si="42"/>
        <v>OK</v>
      </c>
      <c r="DR77" s="153" t="str">
        <f t="shared" si="65"/>
        <v>OK</v>
      </c>
      <c r="DS77" s="153" t="str">
        <f t="shared" si="43"/>
        <v>OK</v>
      </c>
      <c r="DT77" s="313" t="str">
        <f t="shared" si="79"/>
        <v>OK</v>
      </c>
      <c r="DU77" s="153" t="str">
        <f t="shared" si="45"/>
        <v>OK</v>
      </c>
      <c r="DV77" s="153" t="str">
        <f t="shared" si="66"/>
        <v>OK</v>
      </c>
      <c r="DW77" s="154" t="str">
        <f t="shared" si="67"/>
        <v>OK</v>
      </c>
      <c r="DX77" s="157">
        <f t="shared" si="68"/>
        <v>0</v>
      </c>
      <c r="DY77" s="156" t="str">
        <f t="shared" si="69"/>
        <v>OK</v>
      </c>
    </row>
    <row r="78" spans="1:129" ht="13" hidden="1" x14ac:dyDescent="0.3">
      <c r="A78" s="333"/>
      <c r="B78" s="333"/>
      <c r="C78" s="332" t="str">
        <f t="shared" si="46"/>
        <v>-</v>
      </c>
      <c r="D78" s="584">
        <f t="shared" si="77"/>
        <v>55</v>
      </c>
      <c r="E78" s="585"/>
      <c r="F78" s="586"/>
      <c r="G78" s="600"/>
      <c r="H78" s="587"/>
      <c r="I78" s="601"/>
      <c r="J78" s="585"/>
      <c r="K78" s="617"/>
      <c r="L78" s="602"/>
      <c r="M78" s="603"/>
      <c r="N78" s="588"/>
      <c r="O78" s="604"/>
      <c r="P78" s="605"/>
      <c r="Q78" s="588"/>
      <c r="R78" s="604"/>
      <c r="S78" s="605"/>
      <c r="T78" s="606"/>
      <c r="U78" s="606"/>
      <c r="V78" s="429" t="str">
        <f t="shared" si="0"/>
        <v/>
      </c>
      <c r="W78" s="430" t="str">
        <f t="shared" si="47"/>
        <v/>
      </c>
      <c r="X78" s="66" t="str">
        <f>IF(AND(ISNUMBER(P78),N78=FixedDim),MAX('Adjustment factors'!$S$16,0.2+0.8*P78),IF(ISTEXT(N78),VLOOKUP(N78,Afactors,2,TRUE),""))</f>
        <v/>
      </c>
      <c r="Y78" s="17" t="str">
        <f>IF(AND(ISNUMBER(S78),Q78=FixedDim),MAX('Adjustment factors'!$S$16,0.2+0.8*S78),IF(ISTEXT(Q78),VLOOKUP(Q78,Afactors,2,TRUE),""))</f>
        <v/>
      </c>
      <c r="Z78" s="297" t="str">
        <f>IF(ISBLANK(T78),"",VLOOKUP(T78,'Adjustment factors'!$R$27:$S$30,2,TRUE))</f>
        <v/>
      </c>
      <c r="AA78" s="297" t="str">
        <f>IF(ISBLANK(U78),"",VLOOKUP(U78,'Adjustment factors'!$R$27:$S$30,2,TRUE))</f>
        <v/>
      </c>
      <c r="AB78" s="480">
        <f t="shared" si="48"/>
        <v>1</v>
      </c>
      <c r="AC78" s="18" t="b">
        <f t="shared" si="1"/>
        <v>0</v>
      </c>
      <c r="AD78" s="18" t="b">
        <f t="shared" si="2"/>
        <v>0</v>
      </c>
      <c r="AE78" s="18" t="b">
        <f t="shared" si="70"/>
        <v>0</v>
      </c>
      <c r="AF78" s="17" t="str">
        <f t="shared" si="3"/>
        <v/>
      </c>
      <c r="AG78" s="18" t="str">
        <f t="shared" si="4"/>
        <v/>
      </c>
      <c r="AH78" s="17" t="str">
        <f t="shared" si="71"/>
        <v/>
      </c>
      <c r="AI78" s="297" t="e">
        <f t="shared" si="49"/>
        <v>#VALUE!</v>
      </c>
      <c r="AJ78" s="79" t="e">
        <f t="shared" si="5"/>
        <v>#VALUE!</v>
      </c>
      <c r="AK78" s="17" t="str">
        <f t="shared" si="72"/>
        <v/>
      </c>
      <c r="AL78" s="80" t="e">
        <f t="shared" si="6"/>
        <v>#VALUE!</v>
      </c>
      <c r="AM78" s="139" t="b">
        <f t="shared" si="7"/>
        <v>1</v>
      </c>
      <c r="AN78" s="139" t="b">
        <f>AND(COUNTA(E78)&gt;0,ISNUMBER(F78),OR(COUNT(G78:H78)=0,COUNT(G78:H78)=2,AND(ISNUMBER(G78),ISNUMBER(VALUE(LEFT(H78,SUM(LEN(H78)-LEN(SUBSTITUTE(H78,{"0","1","2","3","4","5","6","7","8","9","."},"")))))))),ISNUMBER(I78),ISTEXT(J78))</f>
        <v>0</v>
      </c>
      <c r="AO78" s="19" t="b">
        <f t="shared" si="8"/>
        <v>0</v>
      </c>
      <c r="AP78" s="19" t="b">
        <f t="shared" si="9"/>
        <v>1</v>
      </c>
      <c r="AQ78" s="19" t="b">
        <f>IF(AND(COUNTBLANK(E78:J78)=6,OR(AN79:AN$523)),NOT(AN78))</f>
        <v>0</v>
      </c>
      <c r="AR78" s="19" t="str">
        <f t="shared" si="10"/>
        <v/>
      </c>
      <c r="AS78" s="19" t="b">
        <f t="shared" si="11"/>
        <v>1</v>
      </c>
      <c r="AT78" s="19" t="str">
        <f t="shared" si="12"/>
        <v/>
      </c>
      <c r="AU78" s="19" t="b">
        <f t="shared" si="13"/>
        <v>1</v>
      </c>
      <c r="AV78" s="140" t="str">
        <f t="shared" si="50"/>
        <v/>
      </c>
      <c r="AW78" s="19" t="str">
        <f t="shared" si="14"/>
        <v/>
      </c>
      <c r="AX78" s="81">
        <f t="shared" si="15"/>
        <v>0</v>
      </c>
      <c r="AY78" s="81" t="str">
        <f t="shared" si="16"/>
        <v/>
      </c>
      <c r="AZ78" s="307" t="str">
        <f t="shared" si="51"/>
        <v/>
      </c>
      <c r="BA78" s="281" t="str">
        <f t="shared" si="52"/>
        <v/>
      </c>
      <c r="BB78" s="281" t="str">
        <f t="shared" si="53"/>
        <v/>
      </c>
      <c r="BC78" s="953"/>
      <c r="BD78" s="955"/>
      <c r="BE78" s="219" t="str">
        <f t="shared" si="17"/>
        <v>n/a</v>
      </c>
      <c r="BF78" s="215" t="b">
        <f t="shared" si="18"/>
        <v>0</v>
      </c>
      <c r="BG78" s="145" t="b">
        <f t="shared" si="19"/>
        <v>0</v>
      </c>
      <c r="BH78" s="145" t="b">
        <f t="shared" si="20"/>
        <v>0</v>
      </c>
      <c r="BI78" s="216" t="b">
        <f t="shared" si="21"/>
        <v>0</v>
      </c>
      <c r="BJ78" s="215" t="b">
        <f t="shared" si="74"/>
        <v>0</v>
      </c>
      <c r="BK78" s="145" t="b">
        <f t="shared" si="75"/>
        <v>0</v>
      </c>
      <c r="BL78" s="216" t="b">
        <f t="shared" si="76"/>
        <v>0</v>
      </c>
      <c r="BM78" s="217" t="str">
        <f t="shared" si="54"/>
        <v/>
      </c>
      <c r="BN78" s="146" t="str">
        <f t="shared" si="55"/>
        <v/>
      </c>
      <c r="BO78" s="147" t="str">
        <f t="shared" si="56"/>
        <v/>
      </c>
      <c r="BP78" s="148" t="str">
        <f t="shared" si="57"/>
        <v/>
      </c>
      <c r="BT78" s="50">
        <f t="shared" si="78"/>
        <v>55</v>
      </c>
      <c r="BU78" s="50" t="str">
        <f t="shared" si="25"/>
        <v>-</v>
      </c>
      <c r="BW78" s="340"/>
      <c r="BX78" s="333"/>
      <c r="BY78" s="333"/>
      <c r="BZ78" s="333"/>
      <c r="CA78" s="333"/>
      <c r="CB78" s="333"/>
      <c r="CC78" s="333"/>
      <c r="CD78" s="333"/>
      <c r="CE78" s="333"/>
      <c r="CF78" s="333"/>
      <c r="CG78" s="354">
        <f t="shared" si="26"/>
        <v>55</v>
      </c>
      <c r="CH78" s="613">
        <f t="shared" si="27"/>
        <v>0</v>
      </c>
      <c r="CI78" s="613">
        <f t="shared" si="28"/>
        <v>0</v>
      </c>
      <c r="CJ78" s="614" t="str">
        <f t="shared" si="29"/>
        <v/>
      </c>
      <c r="CK78" s="615" t="str">
        <f t="shared" si="30"/>
        <v/>
      </c>
      <c r="CL78" s="610" t="str">
        <f>IF(ISBLANK(H78),"",IF(AND(ISNUMBER(F78),ISNUMBER(G78),ISNUMBER(H78)),ROUND(F78/(H78*G78),2),ROUND(F78/(VALUE(LEFT(H78,SUM(LEN(H78)-LEN(SUBSTITUTE(H78,{"0","1","2","3","4","5","6","7","8","9","."},"")))))*G78),2)))</f>
        <v/>
      </c>
      <c r="CM78" s="616" t="str">
        <f t="shared" si="58"/>
        <v/>
      </c>
      <c r="CN78" s="616" t="str">
        <f>IF(ISNUMBER(P78),MAX('Adjustment factors'!$S$16,(0.2+0.8*P78)),IF(ISTEXT(N78),VLOOKUP(N78,Afactors,2,FALSE),""))</f>
        <v/>
      </c>
      <c r="CO78" s="616" t="str">
        <f>IF(ISNUMBER(S78),MAX('Adjustment factors'!$S$16,0.2+0.8*S78),IF(ISTEXT(Q78),VLOOKUP(Q78,Afactors,2,FALSE),""))</f>
        <v/>
      </c>
      <c r="CP78" s="611" t="str">
        <f t="shared" si="59"/>
        <v/>
      </c>
      <c r="CQ78" s="612" t="str">
        <f t="shared" si="60"/>
        <v/>
      </c>
      <c r="CR78" s="340"/>
      <c r="CS78" s="340"/>
      <c r="CT78" s="340"/>
      <c r="CU78" s="340"/>
      <c r="CV78" s="333"/>
      <c r="CW78" s="333"/>
      <c r="CX78" s="333"/>
      <c r="CY78" s="333"/>
      <c r="DA78" s="313" t="str">
        <f t="shared" si="31"/>
        <v>OK</v>
      </c>
      <c r="DB78" s="313" t="str">
        <f t="shared" si="32"/>
        <v>OK</v>
      </c>
      <c r="DC78" s="313" t="str">
        <f t="shared" si="33"/>
        <v>OK</v>
      </c>
      <c r="DD78" s="313" t="str">
        <f t="shared" si="34"/>
        <v>OK</v>
      </c>
      <c r="DE78" s="153" t="str">
        <f t="shared" si="35"/>
        <v>OK</v>
      </c>
      <c r="DF78" s="314" t="str">
        <f t="shared" si="36"/>
        <v>OK</v>
      </c>
      <c r="DG78" s="482" t="str">
        <f t="shared" si="61"/>
        <v>OK</v>
      </c>
      <c r="DH78" s="482" t="str">
        <f>IF(OR(AND(T78='Adjustment factors'!$R$28,'Class 3, 5-9'!U78='Adjustment factors'!$R$29),AND('Class 3, 5-9'!T78='Adjustment factors'!$R$29,'Class 3, 5-9'!U78='Adjustment factors'!$R$28)),"Invalid combination of adjustment factors",IF(AND(T78=U78,NOT(ISBLANK(T78)),NOT(ISBLANK(U78))),"Same colour factor selected twice","OK"))</f>
        <v>OK</v>
      </c>
      <c r="DI78" s="313" t="str">
        <f t="shared" si="37"/>
        <v>OK</v>
      </c>
      <c r="DJ78" s="153" t="str">
        <f t="shared" si="62"/>
        <v>OK</v>
      </c>
      <c r="DK78" s="153" t="str">
        <f t="shared" si="38"/>
        <v>OK</v>
      </c>
      <c r="DL78" s="313" t="str">
        <f t="shared" si="39"/>
        <v>OK</v>
      </c>
      <c r="DM78" s="153" t="str">
        <f t="shared" si="40"/>
        <v>OK</v>
      </c>
      <c r="DN78" s="153" t="str">
        <f t="shared" si="63"/>
        <v>OK</v>
      </c>
      <c r="DO78" s="154" t="str">
        <f t="shared" si="64"/>
        <v>OK</v>
      </c>
      <c r="DP78" s="153" t="str">
        <f t="shared" si="41"/>
        <v>OK</v>
      </c>
      <c r="DQ78" s="313" t="str">
        <f t="shared" si="42"/>
        <v>OK</v>
      </c>
      <c r="DR78" s="153" t="str">
        <f t="shared" si="65"/>
        <v>OK</v>
      </c>
      <c r="DS78" s="153" t="str">
        <f t="shared" si="43"/>
        <v>OK</v>
      </c>
      <c r="DT78" s="313" t="str">
        <f t="shared" si="79"/>
        <v>OK</v>
      </c>
      <c r="DU78" s="153" t="str">
        <f t="shared" si="45"/>
        <v>OK</v>
      </c>
      <c r="DV78" s="153" t="str">
        <f t="shared" si="66"/>
        <v>OK</v>
      </c>
      <c r="DW78" s="154" t="str">
        <f t="shared" si="67"/>
        <v>OK</v>
      </c>
      <c r="DX78" s="157">
        <f t="shared" si="68"/>
        <v>0</v>
      </c>
      <c r="DY78" s="156" t="str">
        <f t="shared" si="69"/>
        <v>OK</v>
      </c>
    </row>
    <row r="79" spans="1:129" ht="13" hidden="1" x14ac:dyDescent="0.3">
      <c r="A79" s="333"/>
      <c r="B79" s="333"/>
      <c r="C79" s="332" t="str">
        <f t="shared" si="46"/>
        <v>-</v>
      </c>
      <c r="D79" s="584">
        <f t="shared" si="77"/>
        <v>56</v>
      </c>
      <c r="E79" s="585"/>
      <c r="F79" s="586"/>
      <c r="G79" s="600"/>
      <c r="H79" s="587"/>
      <c r="I79" s="601"/>
      <c r="J79" s="585"/>
      <c r="K79" s="617"/>
      <c r="L79" s="602"/>
      <c r="M79" s="603"/>
      <c r="N79" s="588"/>
      <c r="O79" s="604"/>
      <c r="P79" s="605"/>
      <c r="Q79" s="588"/>
      <c r="R79" s="604"/>
      <c r="S79" s="605"/>
      <c r="T79" s="606"/>
      <c r="U79" s="606"/>
      <c r="V79" s="429" t="str">
        <f t="shared" si="0"/>
        <v/>
      </c>
      <c r="W79" s="430" t="str">
        <f t="shared" si="47"/>
        <v/>
      </c>
      <c r="X79" s="66" t="str">
        <f>IF(AND(ISNUMBER(P79),N79=FixedDim),MAX('Adjustment factors'!$S$16,0.2+0.8*P79),IF(ISTEXT(N79),VLOOKUP(N79,Afactors,2,TRUE),""))</f>
        <v/>
      </c>
      <c r="Y79" s="17" t="str">
        <f>IF(AND(ISNUMBER(S79),Q79=FixedDim),MAX('Adjustment factors'!$S$16,0.2+0.8*S79),IF(ISTEXT(Q79),VLOOKUP(Q79,Afactors,2,TRUE),""))</f>
        <v/>
      </c>
      <c r="Z79" s="297" t="str">
        <f>IF(ISBLANK(T79),"",VLOOKUP(T79,'Adjustment factors'!$R$27:$S$30,2,TRUE))</f>
        <v/>
      </c>
      <c r="AA79" s="297" t="str">
        <f>IF(ISBLANK(U79),"",VLOOKUP(U79,'Adjustment factors'!$R$27:$S$30,2,TRUE))</f>
        <v/>
      </c>
      <c r="AB79" s="480">
        <f t="shared" si="48"/>
        <v>1</v>
      </c>
      <c r="AC79" s="18" t="b">
        <f t="shared" si="1"/>
        <v>0</v>
      </c>
      <c r="AD79" s="18" t="b">
        <f t="shared" si="2"/>
        <v>0</v>
      </c>
      <c r="AE79" s="18" t="b">
        <f t="shared" si="70"/>
        <v>0</v>
      </c>
      <c r="AF79" s="17" t="str">
        <f t="shared" si="3"/>
        <v/>
      </c>
      <c r="AG79" s="18" t="str">
        <f t="shared" si="4"/>
        <v/>
      </c>
      <c r="AH79" s="17" t="str">
        <f t="shared" si="71"/>
        <v/>
      </c>
      <c r="AI79" s="297" t="e">
        <f t="shared" si="49"/>
        <v>#VALUE!</v>
      </c>
      <c r="AJ79" s="79" t="e">
        <f t="shared" si="5"/>
        <v>#VALUE!</v>
      </c>
      <c r="AK79" s="17" t="str">
        <f t="shared" si="72"/>
        <v/>
      </c>
      <c r="AL79" s="80" t="e">
        <f t="shared" si="6"/>
        <v>#VALUE!</v>
      </c>
      <c r="AM79" s="139" t="b">
        <f t="shared" si="7"/>
        <v>1</v>
      </c>
      <c r="AN79" s="139" t="b">
        <f>AND(COUNTA(E79)&gt;0,ISNUMBER(F79),OR(COUNT(G79:H79)=0,COUNT(G79:H79)=2,AND(ISNUMBER(G79),ISNUMBER(VALUE(LEFT(H79,SUM(LEN(H79)-LEN(SUBSTITUTE(H79,{"0","1","2","3","4","5","6","7","8","9","."},"")))))))),ISNUMBER(I79),ISTEXT(J79))</f>
        <v>0</v>
      </c>
      <c r="AO79" s="19" t="b">
        <f t="shared" si="8"/>
        <v>0</v>
      </c>
      <c r="AP79" s="19" t="b">
        <f t="shared" si="9"/>
        <v>1</v>
      </c>
      <c r="AQ79" s="19" t="b">
        <f>IF(AND(COUNTBLANK(E79:J79)=6,OR(AN80:AN$523)),NOT(AN79))</f>
        <v>0</v>
      </c>
      <c r="AR79" s="19" t="str">
        <f t="shared" si="10"/>
        <v/>
      </c>
      <c r="AS79" s="19" t="b">
        <f t="shared" si="11"/>
        <v>1</v>
      </c>
      <c r="AT79" s="19" t="str">
        <f t="shared" si="12"/>
        <v/>
      </c>
      <c r="AU79" s="19" t="b">
        <f t="shared" si="13"/>
        <v>1</v>
      </c>
      <c r="AV79" s="140" t="str">
        <f t="shared" si="50"/>
        <v/>
      </c>
      <c r="AW79" s="19" t="str">
        <f t="shared" si="14"/>
        <v/>
      </c>
      <c r="AX79" s="81">
        <f t="shared" si="15"/>
        <v>0</v>
      </c>
      <c r="AY79" s="81" t="str">
        <f t="shared" si="16"/>
        <v/>
      </c>
      <c r="AZ79" s="307" t="str">
        <f t="shared" si="51"/>
        <v/>
      </c>
      <c r="BA79" s="281" t="str">
        <f t="shared" si="52"/>
        <v/>
      </c>
      <c r="BB79" s="281" t="str">
        <f t="shared" si="53"/>
        <v/>
      </c>
      <c r="BC79" s="953"/>
      <c r="BD79" s="955"/>
      <c r="BE79" s="219" t="str">
        <f t="shared" si="17"/>
        <v>n/a</v>
      </c>
      <c r="BF79" s="215" t="b">
        <f t="shared" si="18"/>
        <v>0</v>
      </c>
      <c r="BG79" s="145" t="b">
        <f t="shared" si="19"/>
        <v>0</v>
      </c>
      <c r="BH79" s="145" t="b">
        <f t="shared" si="20"/>
        <v>0</v>
      </c>
      <c r="BI79" s="216" t="b">
        <f t="shared" si="21"/>
        <v>0</v>
      </c>
      <c r="BJ79" s="215" t="b">
        <f t="shared" si="74"/>
        <v>0</v>
      </c>
      <c r="BK79" s="145" t="b">
        <f t="shared" si="75"/>
        <v>0</v>
      </c>
      <c r="BL79" s="216" t="b">
        <f t="shared" si="76"/>
        <v>0</v>
      </c>
      <c r="BM79" s="217" t="str">
        <f t="shared" si="54"/>
        <v/>
      </c>
      <c r="BN79" s="146" t="str">
        <f t="shared" si="55"/>
        <v/>
      </c>
      <c r="BO79" s="147" t="str">
        <f t="shared" si="56"/>
        <v/>
      </c>
      <c r="BP79" s="148" t="str">
        <f t="shared" si="57"/>
        <v/>
      </c>
      <c r="BT79" s="50">
        <f t="shared" si="78"/>
        <v>56</v>
      </c>
      <c r="BU79" s="50" t="str">
        <f t="shared" si="25"/>
        <v>-</v>
      </c>
      <c r="BW79" s="340"/>
      <c r="BX79" s="333"/>
      <c r="BY79" s="333"/>
      <c r="BZ79" s="333"/>
      <c r="CA79" s="333"/>
      <c r="CB79" s="333"/>
      <c r="CC79" s="333"/>
      <c r="CD79" s="333"/>
      <c r="CE79" s="333"/>
      <c r="CF79" s="333"/>
      <c r="CG79" s="354">
        <f t="shared" si="26"/>
        <v>56</v>
      </c>
      <c r="CH79" s="613">
        <f t="shared" si="27"/>
        <v>0</v>
      </c>
      <c r="CI79" s="613">
        <f t="shared" si="28"/>
        <v>0</v>
      </c>
      <c r="CJ79" s="614" t="str">
        <f t="shared" si="29"/>
        <v/>
      </c>
      <c r="CK79" s="615" t="str">
        <f t="shared" si="30"/>
        <v/>
      </c>
      <c r="CL79" s="610" t="str">
        <f>IF(ISBLANK(H79),"",IF(AND(ISNUMBER(F79),ISNUMBER(G79),ISNUMBER(H79)),ROUND(F79/(H79*G79),2),ROUND(F79/(VALUE(LEFT(H79,SUM(LEN(H79)-LEN(SUBSTITUTE(H79,{"0","1","2","3","4","5","6","7","8","9","."},"")))))*G79),2)))</f>
        <v/>
      </c>
      <c r="CM79" s="616" t="str">
        <f t="shared" si="58"/>
        <v/>
      </c>
      <c r="CN79" s="616" t="str">
        <f>IF(ISNUMBER(P79),MAX('Adjustment factors'!$S$16,(0.2+0.8*P79)),IF(ISTEXT(N79),VLOOKUP(N79,Afactors,2,FALSE),""))</f>
        <v/>
      </c>
      <c r="CO79" s="616" t="str">
        <f>IF(ISNUMBER(S79),MAX('Adjustment factors'!$S$16,0.2+0.8*S79),IF(ISTEXT(Q79),VLOOKUP(Q79,Afactors,2,FALSE),""))</f>
        <v/>
      </c>
      <c r="CP79" s="611" t="str">
        <f t="shared" si="59"/>
        <v/>
      </c>
      <c r="CQ79" s="612" t="str">
        <f t="shared" si="60"/>
        <v/>
      </c>
      <c r="CR79" s="340"/>
      <c r="CS79" s="340"/>
      <c r="CT79" s="340"/>
      <c r="CU79" s="340"/>
      <c r="CV79" s="333"/>
      <c r="CW79" s="333"/>
      <c r="CX79" s="333"/>
      <c r="CY79" s="333"/>
      <c r="DA79" s="313" t="str">
        <f t="shared" si="31"/>
        <v>OK</v>
      </c>
      <c r="DB79" s="313" t="str">
        <f t="shared" si="32"/>
        <v>OK</v>
      </c>
      <c r="DC79" s="313" t="str">
        <f t="shared" si="33"/>
        <v>OK</v>
      </c>
      <c r="DD79" s="313" t="str">
        <f t="shared" si="34"/>
        <v>OK</v>
      </c>
      <c r="DE79" s="153" t="str">
        <f t="shared" si="35"/>
        <v>OK</v>
      </c>
      <c r="DF79" s="314" t="str">
        <f t="shared" si="36"/>
        <v>OK</v>
      </c>
      <c r="DG79" s="482" t="str">
        <f t="shared" si="61"/>
        <v>OK</v>
      </c>
      <c r="DH79" s="482" t="str">
        <f>IF(OR(AND(T79='Adjustment factors'!$R$28,'Class 3, 5-9'!U79='Adjustment factors'!$R$29),AND('Class 3, 5-9'!T79='Adjustment factors'!$R$29,'Class 3, 5-9'!U79='Adjustment factors'!$R$28)),"Invalid combination of adjustment factors",IF(AND(T79=U79,NOT(ISBLANK(T79)),NOT(ISBLANK(U79))),"Same colour factor selected twice","OK"))</f>
        <v>OK</v>
      </c>
      <c r="DI79" s="313" t="str">
        <f t="shared" si="37"/>
        <v>OK</v>
      </c>
      <c r="DJ79" s="153" t="str">
        <f t="shared" si="62"/>
        <v>OK</v>
      </c>
      <c r="DK79" s="153" t="str">
        <f t="shared" si="38"/>
        <v>OK</v>
      </c>
      <c r="DL79" s="313" t="str">
        <f t="shared" si="39"/>
        <v>OK</v>
      </c>
      <c r="DM79" s="153" t="str">
        <f t="shared" si="40"/>
        <v>OK</v>
      </c>
      <c r="DN79" s="153" t="str">
        <f t="shared" si="63"/>
        <v>OK</v>
      </c>
      <c r="DO79" s="154" t="str">
        <f t="shared" si="64"/>
        <v>OK</v>
      </c>
      <c r="DP79" s="153" t="str">
        <f t="shared" si="41"/>
        <v>OK</v>
      </c>
      <c r="DQ79" s="313" t="str">
        <f t="shared" si="42"/>
        <v>OK</v>
      </c>
      <c r="DR79" s="153" t="str">
        <f t="shared" si="65"/>
        <v>OK</v>
      </c>
      <c r="DS79" s="153" t="str">
        <f t="shared" si="43"/>
        <v>OK</v>
      </c>
      <c r="DT79" s="313" t="str">
        <f t="shared" si="79"/>
        <v>OK</v>
      </c>
      <c r="DU79" s="153" t="str">
        <f t="shared" si="45"/>
        <v>OK</v>
      </c>
      <c r="DV79" s="153" t="str">
        <f t="shared" si="66"/>
        <v>OK</v>
      </c>
      <c r="DW79" s="154" t="str">
        <f t="shared" si="67"/>
        <v>OK</v>
      </c>
      <c r="DX79" s="157">
        <f t="shared" si="68"/>
        <v>0</v>
      </c>
      <c r="DY79" s="156" t="str">
        <f t="shared" si="69"/>
        <v>OK</v>
      </c>
    </row>
    <row r="80" spans="1:129" ht="13" hidden="1" x14ac:dyDescent="0.3">
      <c r="A80" s="333"/>
      <c r="B80" s="333"/>
      <c r="C80" s="332" t="str">
        <f t="shared" si="46"/>
        <v>-</v>
      </c>
      <c r="D80" s="584">
        <f t="shared" si="77"/>
        <v>57</v>
      </c>
      <c r="E80" s="585"/>
      <c r="F80" s="586"/>
      <c r="G80" s="600"/>
      <c r="H80" s="587"/>
      <c r="I80" s="601"/>
      <c r="J80" s="585"/>
      <c r="K80" s="617"/>
      <c r="L80" s="602"/>
      <c r="M80" s="603"/>
      <c r="N80" s="588"/>
      <c r="O80" s="604"/>
      <c r="P80" s="605"/>
      <c r="Q80" s="588"/>
      <c r="R80" s="604"/>
      <c r="S80" s="605"/>
      <c r="T80" s="606"/>
      <c r="U80" s="606"/>
      <c r="V80" s="429" t="str">
        <f t="shared" si="0"/>
        <v/>
      </c>
      <c r="W80" s="430" t="str">
        <f t="shared" si="47"/>
        <v/>
      </c>
      <c r="X80" s="66" t="str">
        <f>IF(AND(ISNUMBER(P80),N80=FixedDim),MAX('Adjustment factors'!$S$16,0.2+0.8*P80),IF(ISTEXT(N80),VLOOKUP(N80,Afactors,2,TRUE),""))</f>
        <v/>
      </c>
      <c r="Y80" s="17" t="str">
        <f>IF(AND(ISNUMBER(S80),Q80=FixedDim),MAX('Adjustment factors'!$S$16,0.2+0.8*S80),IF(ISTEXT(Q80),VLOOKUP(Q80,Afactors,2,TRUE),""))</f>
        <v/>
      </c>
      <c r="Z80" s="297" t="str">
        <f>IF(ISBLANK(T80),"",VLOOKUP(T80,'Adjustment factors'!$R$27:$S$30,2,TRUE))</f>
        <v/>
      </c>
      <c r="AA80" s="297" t="str">
        <f>IF(ISBLANK(U80),"",VLOOKUP(U80,'Adjustment factors'!$R$27:$S$30,2,TRUE))</f>
        <v/>
      </c>
      <c r="AB80" s="480">
        <f t="shared" si="48"/>
        <v>1</v>
      </c>
      <c r="AC80" s="18" t="b">
        <f t="shared" si="1"/>
        <v>0</v>
      </c>
      <c r="AD80" s="18" t="b">
        <f t="shared" si="2"/>
        <v>0</v>
      </c>
      <c r="AE80" s="18" t="b">
        <f t="shared" si="70"/>
        <v>0</v>
      </c>
      <c r="AF80" s="17" t="str">
        <f t="shared" si="3"/>
        <v/>
      </c>
      <c r="AG80" s="18" t="str">
        <f t="shared" si="4"/>
        <v/>
      </c>
      <c r="AH80" s="17" t="str">
        <f t="shared" si="71"/>
        <v/>
      </c>
      <c r="AI80" s="297" t="e">
        <f t="shared" si="49"/>
        <v>#VALUE!</v>
      </c>
      <c r="AJ80" s="79" t="e">
        <f t="shared" si="5"/>
        <v>#VALUE!</v>
      </c>
      <c r="AK80" s="17" t="str">
        <f t="shared" si="72"/>
        <v/>
      </c>
      <c r="AL80" s="80" t="e">
        <f t="shared" si="6"/>
        <v>#VALUE!</v>
      </c>
      <c r="AM80" s="139" t="b">
        <f t="shared" si="7"/>
        <v>1</v>
      </c>
      <c r="AN80" s="139" t="b">
        <f>AND(COUNTA(E80)&gt;0,ISNUMBER(F80),OR(COUNT(G80:H80)=0,COUNT(G80:H80)=2,AND(ISNUMBER(G80),ISNUMBER(VALUE(LEFT(H80,SUM(LEN(H80)-LEN(SUBSTITUTE(H80,{"0","1","2","3","4","5","6","7","8","9","."},"")))))))),ISNUMBER(I80),ISTEXT(J80))</f>
        <v>0</v>
      </c>
      <c r="AO80" s="19" t="b">
        <f t="shared" si="8"/>
        <v>0</v>
      </c>
      <c r="AP80" s="19" t="b">
        <f t="shared" si="9"/>
        <v>1</v>
      </c>
      <c r="AQ80" s="19" t="b">
        <f>IF(AND(COUNTBLANK(E80:J80)=6,OR(AN81:AN$523)),NOT(AN80))</f>
        <v>0</v>
      </c>
      <c r="AR80" s="19" t="str">
        <f t="shared" si="10"/>
        <v/>
      </c>
      <c r="AS80" s="19" t="b">
        <f t="shared" si="11"/>
        <v>1</v>
      </c>
      <c r="AT80" s="19" t="str">
        <f t="shared" si="12"/>
        <v/>
      </c>
      <c r="AU80" s="19" t="b">
        <f t="shared" si="13"/>
        <v>1</v>
      </c>
      <c r="AV80" s="140" t="str">
        <f t="shared" si="50"/>
        <v/>
      </c>
      <c r="AW80" s="19" t="str">
        <f t="shared" si="14"/>
        <v/>
      </c>
      <c r="AX80" s="81">
        <f t="shared" si="15"/>
        <v>0</v>
      </c>
      <c r="AY80" s="81" t="str">
        <f t="shared" si="16"/>
        <v/>
      </c>
      <c r="AZ80" s="307" t="str">
        <f t="shared" si="51"/>
        <v/>
      </c>
      <c r="BA80" s="281" t="str">
        <f t="shared" si="52"/>
        <v/>
      </c>
      <c r="BB80" s="281" t="str">
        <f t="shared" si="53"/>
        <v/>
      </c>
      <c r="BC80" s="953"/>
      <c r="BD80" s="955"/>
      <c r="BE80" s="219" t="str">
        <f t="shared" si="17"/>
        <v>n/a</v>
      </c>
      <c r="BF80" s="215" t="b">
        <f t="shared" si="18"/>
        <v>0</v>
      </c>
      <c r="BG80" s="145" t="b">
        <f t="shared" si="19"/>
        <v>0</v>
      </c>
      <c r="BH80" s="145" t="b">
        <f t="shared" si="20"/>
        <v>0</v>
      </c>
      <c r="BI80" s="216" t="b">
        <f t="shared" si="21"/>
        <v>0</v>
      </c>
      <c r="BJ80" s="215" t="b">
        <f t="shared" si="74"/>
        <v>0</v>
      </c>
      <c r="BK80" s="145" t="b">
        <f t="shared" si="75"/>
        <v>0</v>
      </c>
      <c r="BL80" s="216" t="b">
        <f t="shared" si="76"/>
        <v>0</v>
      </c>
      <c r="BM80" s="217" t="str">
        <f t="shared" si="54"/>
        <v/>
      </c>
      <c r="BN80" s="146" t="str">
        <f t="shared" si="55"/>
        <v/>
      </c>
      <c r="BO80" s="147" t="str">
        <f t="shared" si="56"/>
        <v/>
      </c>
      <c r="BP80" s="148" t="str">
        <f t="shared" si="57"/>
        <v/>
      </c>
      <c r="BT80" s="50">
        <f t="shared" si="78"/>
        <v>57</v>
      </c>
      <c r="BU80" s="50" t="str">
        <f t="shared" si="25"/>
        <v>-</v>
      </c>
      <c r="BW80" s="340"/>
      <c r="BX80" s="333"/>
      <c r="BY80" s="333"/>
      <c r="BZ80" s="333"/>
      <c r="CA80" s="333"/>
      <c r="CB80" s="333"/>
      <c r="CC80" s="333"/>
      <c r="CD80" s="333"/>
      <c r="CE80" s="333"/>
      <c r="CF80" s="333"/>
      <c r="CG80" s="354">
        <f t="shared" si="26"/>
        <v>57</v>
      </c>
      <c r="CH80" s="613">
        <f t="shared" si="27"/>
        <v>0</v>
      </c>
      <c r="CI80" s="613">
        <f t="shared" si="28"/>
        <v>0</v>
      </c>
      <c r="CJ80" s="614" t="str">
        <f t="shared" si="29"/>
        <v/>
      </c>
      <c r="CK80" s="615" t="str">
        <f t="shared" si="30"/>
        <v/>
      </c>
      <c r="CL80" s="610" t="str">
        <f>IF(ISBLANK(H80),"",IF(AND(ISNUMBER(F80),ISNUMBER(G80),ISNUMBER(H80)),ROUND(F80/(H80*G80),2),ROUND(F80/(VALUE(LEFT(H80,SUM(LEN(H80)-LEN(SUBSTITUTE(H80,{"0","1","2","3","4","5","6","7","8","9","."},"")))))*G80),2)))</f>
        <v/>
      </c>
      <c r="CM80" s="616" t="str">
        <f t="shared" si="58"/>
        <v/>
      </c>
      <c r="CN80" s="616" t="str">
        <f>IF(ISNUMBER(P80),MAX('Adjustment factors'!$S$16,(0.2+0.8*P80)),IF(ISTEXT(N80),VLOOKUP(N80,Afactors,2,FALSE),""))</f>
        <v/>
      </c>
      <c r="CO80" s="616" t="str">
        <f>IF(ISNUMBER(S80),MAX('Adjustment factors'!$S$16,0.2+0.8*S80),IF(ISTEXT(Q80),VLOOKUP(Q80,Afactors,2,FALSE),""))</f>
        <v/>
      </c>
      <c r="CP80" s="611" t="str">
        <f t="shared" si="59"/>
        <v/>
      </c>
      <c r="CQ80" s="612" t="str">
        <f t="shared" si="60"/>
        <v/>
      </c>
      <c r="CR80" s="340"/>
      <c r="CS80" s="340"/>
      <c r="CT80" s="340"/>
      <c r="CU80" s="340"/>
      <c r="CV80" s="333"/>
      <c r="CW80" s="333"/>
      <c r="CX80" s="333"/>
      <c r="CY80" s="333"/>
      <c r="DA80" s="313" t="str">
        <f t="shared" si="31"/>
        <v>OK</v>
      </c>
      <c r="DB80" s="313" t="str">
        <f t="shared" si="32"/>
        <v>OK</v>
      </c>
      <c r="DC80" s="313" t="str">
        <f t="shared" si="33"/>
        <v>OK</v>
      </c>
      <c r="DD80" s="313" t="str">
        <f t="shared" si="34"/>
        <v>OK</v>
      </c>
      <c r="DE80" s="153" t="str">
        <f t="shared" si="35"/>
        <v>OK</v>
      </c>
      <c r="DF80" s="314" t="str">
        <f t="shared" si="36"/>
        <v>OK</v>
      </c>
      <c r="DG80" s="482" t="str">
        <f t="shared" si="61"/>
        <v>OK</v>
      </c>
      <c r="DH80" s="482" t="str">
        <f>IF(OR(AND(T80='Adjustment factors'!$R$28,'Class 3, 5-9'!U80='Adjustment factors'!$R$29),AND('Class 3, 5-9'!T80='Adjustment factors'!$R$29,'Class 3, 5-9'!U80='Adjustment factors'!$R$28)),"Invalid combination of adjustment factors",IF(AND(T80=U80,NOT(ISBLANK(T80)),NOT(ISBLANK(U80))),"Same colour factor selected twice","OK"))</f>
        <v>OK</v>
      </c>
      <c r="DI80" s="313" t="str">
        <f t="shared" si="37"/>
        <v>OK</v>
      </c>
      <c r="DJ80" s="153" t="str">
        <f t="shared" si="62"/>
        <v>OK</v>
      </c>
      <c r="DK80" s="153" t="str">
        <f t="shared" si="38"/>
        <v>OK</v>
      </c>
      <c r="DL80" s="313" t="str">
        <f t="shared" si="39"/>
        <v>OK</v>
      </c>
      <c r="DM80" s="153" t="str">
        <f t="shared" si="40"/>
        <v>OK</v>
      </c>
      <c r="DN80" s="153" t="str">
        <f t="shared" si="63"/>
        <v>OK</v>
      </c>
      <c r="DO80" s="154" t="str">
        <f t="shared" si="64"/>
        <v>OK</v>
      </c>
      <c r="DP80" s="153" t="str">
        <f t="shared" si="41"/>
        <v>OK</v>
      </c>
      <c r="DQ80" s="313" t="str">
        <f t="shared" si="42"/>
        <v>OK</v>
      </c>
      <c r="DR80" s="153" t="str">
        <f t="shared" si="65"/>
        <v>OK</v>
      </c>
      <c r="DS80" s="153" t="str">
        <f t="shared" si="43"/>
        <v>OK</v>
      </c>
      <c r="DT80" s="313" t="str">
        <f t="shared" si="79"/>
        <v>OK</v>
      </c>
      <c r="DU80" s="153" t="str">
        <f t="shared" si="45"/>
        <v>OK</v>
      </c>
      <c r="DV80" s="153" t="str">
        <f t="shared" si="66"/>
        <v>OK</v>
      </c>
      <c r="DW80" s="154" t="str">
        <f t="shared" si="67"/>
        <v>OK</v>
      </c>
      <c r="DX80" s="157">
        <f t="shared" si="68"/>
        <v>0</v>
      </c>
      <c r="DY80" s="156" t="str">
        <f t="shared" si="69"/>
        <v>OK</v>
      </c>
    </row>
    <row r="81" spans="1:129" ht="13" hidden="1" x14ac:dyDescent="0.3">
      <c r="A81" s="333"/>
      <c r="B81" s="333"/>
      <c r="C81" s="332" t="str">
        <f t="shared" si="46"/>
        <v>-</v>
      </c>
      <c r="D81" s="584">
        <f t="shared" si="77"/>
        <v>58</v>
      </c>
      <c r="E81" s="585"/>
      <c r="F81" s="586"/>
      <c r="G81" s="600"/>
      <c r="H81" s="587"/>
      <c r="I81" s="601"/>
      <c r="J81" s="585"/>
      <c r="K81" s="617"/>
      <c r="L81" s="602"/>
      <c r="M81" s="603"/>
      <c r="N81" s="588"/>
      <c r="O81" s="604"/>
      <c r="P81" s="605"/>
      <c r="Q81" s="588"/>
      <c r="R81" s="604"/>
      <c r="S81" s="605"/>
      <c r="T81" s="606"/>
      <c r="U81" s="606"/>
      <c r="V81" s="429" t="str">
        <f t="shared" si="0"/>
        <v/>
      </c>
      <c r="W81" s="430" t="str">
        <f t="shared" si="47"/>
        <v/>
      </c>
      <c r="X81" s="66" t="str">
        <f>IF(AND(ISNUMBER(P81),N81=FixedDim),MAX('Adjustment factors'!$S$16,0.2+0.8*P81),IF(ISTEXT(N81),VLOOKUP(N81,Afactors,2,TRUE),""))</f>
        <v/>
      </c>
      <c r="Y81" s="17" t="str">
        <f>IF(AND(ISNUMBER(S81),Q81=FixedDim),MAX('Adjustment factors'!$S$16,0.2+0.8*S81),IF(ISTEXT(Q81),VLOOKUP(Q81,Afactors,2,TRUE),""))</f>
        <v/>
      </c>
      <c r="Z81" s="297" t="str">
        <f>IF(ISBLANK(T81),"",VLOOKUP(T81,'Adjustment factors'!$R$27:$S$30,2,TRUE))</f>
        <v/>
      </c>
      <c r="AA81" s="297" t="str">
        <f>IF(ISBLANK(U81),"",VLOOKUP(U81,'Adjustment factors'!$R$27:$S$30,2,TRUE))</f>
        <v/>
      </c>
      <c r="AB81" s="480">
        <f t="shared" si="48"/>
        <v>1</v>
      </c>
      <c r="AC81" s="18" t="b">
        <f t="shared" si="1"/>
        <v>0</v>
      </c>
      <c r="AD81" s="18" t="b">
        <f t="shared" si="2"/>
        <v>0</v>
      </c>
      <c r="AE81" s="18" t="b">
        <f t="shared" si="70"/>
        <v>0</v>
      </c>
      <c r="AF81" s="17" t="str">
        <f t="shared" si="3"/>
        <v/>
      </c>
      <c r="AG81" s="18" t="str">
        <f t="shared" si="4"/>
        <v/>
      </c>
      <c r="AH81" s="17" t="str">
        <f t="shared" si="71"/>
        <v/>
      </c>
      <c r="AI81" s="297" t="e">
        <f t="shared" si="49"/>
        <v>#VALUE!</v>
      </c>
      <c r="AJ81" s="79" t="e">
        <f t="shared" si="5"/>
        <v>#VALUE!</v>
      </c>
      <c r="AK81" s="17" t="str">
        <f t="shared" si="72"/>
        <v/>
      </c>
      <c r="AL81" s="80" t="e">
        <f t="shared" si="6"/>
        <v>#VALUE!</v>
      </c>
      <c r="AM81" s="139" t="b">
        <f t="shared" si="7"/>
        <v>1</v>
      </c>
      <c r="AN81" s="139" t="b">
        <f>AND(COUNTA(E81)&gt;0,ISNUMBER(F81),OR(COUNT(G81:H81)=0,COUNT(G81:H81)=2,AND(ISNUMBER(G81),ISNUMBER(VALUE(LEFT(H81,SUM(LEN(H81)-LEN(SUBSTITUTE(H81,{"0","1","2","3","4","5","6","7","8","9","."},"")))))))),ISNUMBER(I81),ISTEXT(J81))</f>
        <v>0</v>
      </c>
      <c r="AO81" s="19" t="b">
        <f t="shared" si="8"/>
        <v>0</v>
      </c>
      <c r="AP81" s="19" t="b">
        <f t="shared" si="9"/>
        <v>1</v>
      </c>
      <c r="AQ81" s="19" t="b">
        <f>IF(AND(COUNTBLANK(E81:J81)=6,OR(AN82:AN$523)),NOT(AN81))</f>
        <v>0</v>
      </c>
      <c r="AR81" s="19" t="str">
        <f t="shared" si="10"/>
        <v/>
      </c>
      <c r="AS81" s="19" t="b">
        <f t="shared" si="11"/>
        <v>1</v>
      </c>
      <c r="AT81" s="19" t="str">
        <f t="shared" si="12"/>
        <v/>
      </c>
      <c r="AU81" s="19" t="b">
        <f t="shared" si="13"/>
        <v>1</v>
      </c>
      <c r="AV81" s="140" t="str">
        <f t="shared" si="50"/>
        <v/>
      </c>
      <c r="AW81" s="19" t="str">
        <f t="shared" si="14"/>
        <v/>
      </c>
      <c r="AX81" s="81">
        <f t="shared" si="15"/>
        <v>0</v>
      </c>
      <c r="AY81" s="81" t="str">
        <f t="shared" si="16"/>
        <v/>
      </c>
      <c r="AZ81" s="307" t="str">
        <f t="shared" si="51"/>
        <v/>
      </c>
      <c r="BA81" s="281" t="str">
        <f t="shared" si="52"/>
        <v/>
      </c>
      <c r="BB81" s="281" t="str">
        <f t="shared" si="53"/>
        <v/>
      </c>
      <c r="BC81" s="953"/>
      <c r="BD81" s="955"/>
      <c r="BE81" s="219" t="str">
        <f t="shared" si="17"/>
        <v>n/a</v>
      </c>
      <c r="BF81" s="215" t="b">
        <f t="shared" si="18"/>
        <v>0</v>
      </c>
      <c r="BG81" s="145" t="b">
        <f t="shared" si="19"/>
        <v>0</v>
      </c>
      <c r="BH81" s="145" t="b">
        <f t="shared" si="20"/>
        <v>0</v>
      </c>
      <c r="BI81" s="216" t="b">
        <f t="shared" si="21"/>
        <v>0</v>
      </c>
      <c r="BJ81" s="215" t="b">
        <f t="shared" si="74"/>
        <v>0</v>
      </c>
      <c r="BK81" s="145" t="b">
        <f t="shared" si="75"/>
        <v>0</v>
      </c>
      <c r="BL81" s="216" t="b">
        <f t="shared" si="76"/>
        <v>0</v>
      </c>
      <c r="BM81" s="217" t="str">
        <f t="shared" si="54"/>
        <v/>
      </c>
      <c r="BN81" s="146" t="str">
        <f t="shared" si="55"/>
        <v/>
      </c>
      <c r="BO81" s="147" t="str">
        <f t="shared" si="56"/>
        <v/>
      </c>
      <c r="BP81" s="148" t="str">
        <f t="shared" si="57"/>
        <v/>
      </c>
      <c r="BT81" s="50">
        <f t="shared" si="78"/>
        <v>58</v>
      </c>
      <c r="BU81" s="50" t="str">
        <f t="shared" si="25"/>
        <v>-</v>
      </c>
      <c r="BW81" s="340"/>
      <c r="BX81" s="333"/>
      <c r="BY81" s="333"/>
      <c r="BZ81" s="333"/>
      <c r="CA81" s="333"/>
      <c r="CB81" s="333"/>
      <c r="CC81" s="333"/>
      <c r="CD81" s="333"/>
      <c r="CE81" s="333"/>
      <c r="CF81" s="333"/>
      <c r="CG81" s="354">
        <f t="shared" si="26"/>
        <v>58</v>
      </c>
      <c r="CH81" s="613">
        <f t="shared" si="27"/>
        <v>0</v>
      </c>
      <c r="CI81" s="613">
        <f t="shared" si="28"/>
        <v>0</v>
      </c>
      <c r="CJ81" s="614" t="str">
        <f t="shared" si="29"/>
        <v/>
      </c>
      <c r="CK81" s="615" t="str">
        <f t="shared" si="30"/>
        <v/>
      </c>
      <c r="CL81" s="610" t="str">
        <f>IF(ISBLANK(H81),"",IF(AND(ISNUMBER(F81),ISNUMBER(G81),ISNUMBER(H81)),ROUND(F81/(H81*G81),2),ROUND(F81/(VALUE(LEFT(H81,SUM(LEN(H81)-LEN(SUBSTITUTE(H81,{"0","1","2","3","4","5","6","7","8","9","."},"")))))*G81),2)))</f>
        <v/>
      </c>
      <c r="CM81" s="616" t="str">
        <f t="shared" si="58"/>
        <v/>
      </c>
      <c r="CN81" s="616" t="str">
        <f>IF(ISNUMBER(P81),MAX('Adjustment factors'!$S$16,(0.2+0.8*P81)),IF(ISTEXT(N81),VLOOKUP(N81,Afactors,2,FALSE),""))</f>
        <v/>
      </c>
      <c r="CO81" s="616" t="str">
        <f>IF(ISNUMBER(S81),MAX('Adjustment factors'!$S$16,0.2+0.8*S81),IF(ISTEXT(Q81),VLOOKUP(Q81,Afactors,2,FALSE),""))</f>
        <v/>
      </c>
      <c r="CP81" s="611" t="str">
        <f t="shared" si="59"/>
        <v/>
      </c>
      <c r="CQ81" s="612" t="str">
        <f t="shared" si="60"/>
        <v/>
      </c>
      <c r="CR81" s="340"/>
      <c r="CS81" s="340"/>
      <c r="CT81" s="340"/>
      <c r="CU81" s="340"/>
      <c r="CV81" s="333"/>
      <c r="CW81" s="333"/>
      <c r="CX81" s="333"/>
      <c r="CY81" s="333"/>
      <c r="DA81" s="313" t="str">
        <f t="shared" si="31"/>
        <v>OK</v>
      </c>
      <c r="DB81" s="313" t="str">
        <f t="shared" si="32"/>
        <v>OK</v>
      </c>
      <c r="DC81" s="313" t="str">
        <f t="shared" si="33"/>
        <v>OK</v>
      </c>
      <c r="DD81" s="313" t="str">
        <f t="shared" si="34"/>
        <v>OK</v>
      </c>
      <c r="DE81" s="153" t="str">
        <f t="shared" si="35"/>
        <v>OK</v>
      </c>
      <c r="DF81" s="314" t="str">
        <f t="shared" si="36"/>
        <v>OK</v>
      </c>
      <c r="DG81" s="482" t="str">
        <f t="shared" si="61"/>
        <v>OK</v>
      </c>
      <c r="DH81" s="482" t="str">
        <f>IF(OR(AND(T81='Adjustment factors'!$R$28,'Class 3, 5-9'!U81='Adjustment factors'!$R$29),AND('Class 3, 5-9'!T81='Adjustment factors'!$R$29,'Class 3, 5-9'!U81='Adjustment factors'!$R$28)),"Invalid combination of adjustment factors",IF(AND(T81=U81,NOT(ISBLANK(T81)),NOT(ISBLANK(U81))),"Same colour factor selected twice","OK"))</f>
        <v>OK</v>
      </c>
      <c r="DI81" s="313" t="str">
        <f t="shared" si="37"/>
        <v>OK</v>
      </c>
      <c r="DJ81" s="153" t="str">
        <f t="shared" si="62"/>
        <v>OK</v>
      </c>
      <c r="DK81" s="153" t="str">
        <f t="shared" si="38"/>
        <v>OK</v>
      </c>
      <c r="DL81" s="313" t="str">
        <f t="shared" si="39"/>
        <v>OK</v>
      </c>
      <c r="DM81" s="153" t="str">
        <f t="shared" si="40"/>
        <v>OK</v>
      </c>
      <c r="DN81" s="153" t="str">
        <f t="shared" si="63"/>
        <v>OK</v>
      </c>
      <c r="DO81" s="154" t="str">
        <f t="shared" si="64"/>
        <v>OK</v>
      </c>
      <c r="DP81" s="153" t="str">
        <f t="shared" si="41"/>
        <v>OK</v>
      </c>
      <c r="DQ81" s="313" t="str">
        <f t="shared" si="42"/>
        <v>OK</v>
      </c>
      <c r="DR81" s="153" t="str">
        <f t="shared" si="65"/>
        <v>OK</v>
      </c>
      <c r="DS81" s="153" t="str">
        <f t="shared" si="43"/>
        <v>OK</v>
      </c>
      <c r="DT81" s="313" t="str">
        <f t="shared" si="79"/>
        <v>OK</v>
      </c>
      <c r="DU81" s="153" t="str">
        <f t="shared" si="45"/>
        <v>OK</v>
      </c>
      <c r="DV81" s="153" t="str">
        <f t="shared" si="66"/>
        <v>OK</v>
      </c>
      <c r="DW81" s="154" t="str">
        <f t="shared" si="67"/>
        <v>OK</v>
      </c>
      <c r="DX81" s="157">
        <f t="shared" si="68"/>
        <v>0</v>
      </c>
      <c r="DY81" s="156" t="str">
        <f t="shared" si="69"/>
        <v>OK</v>
      </c>
    </row>
    <row r="82" spans="1:129" ht="13" hidden="1" x14ac:dyDescent="0.3">
      <c r="A82" s="333"/>
      <c r="B82" s="333"/>
      <c r="C82" s="332" t="str">
        <f t="shared" si="46"/>
        <v>-</v>
      </c>
      <c r="D82" s="584">
        <f t="shared" si="77"/>
        <v>59</v>
      </c>
      <c r="E82" s="585"/>
      <c r="F82" s="586"/>
      <c r="G82" s="600"/>
      <c r="H82" s="587"/>
      <c r="I82" s="601"/>
      <c r="J82" s="585"/>
      <c r="K82" s="617"/>
      <c r="L82" s="602"/>
      <c r="M82" s="603"/>
      <c r="N82" s="588"/>
      <c r="O82" s="604"/>
      <c r="P82" s="605"/>
      <c r="Q82" s="588"/>
      <c r="R82" s="604"/>
      <c r="S82" s="605"/>
      <c r="T82" s="606"/>
      <c r="U82" s="606"/>
      <c r="V82" s="429" t="str">
        <f t="shared" si="0"/>
        <v/>
      </c>
      <c r="W82" s="430" t="str">
        <f t="shared" si="47"/>
        <v/>
      </c>
      <c r="X82" s="66" t="str">
        <f>IF(AND(ISNUMBER(P82),N82=FixedDim),MAX('Adjustment factors'!$S$16,0.2+0.8*P82),IF(ISTEXT(N82),VLOOKUP(N82,Afactors,2,TRUE),""))</f>
        <v/>
      </c>
      <c r="Y82" s="17" t="str">
        <f>IF(AND(ISNUMBER(S82),Q82=FixedDim),MAX('Adjustment factors'!$S$16,0.2+0.8*S82),IF(ISTEXT(Q82),VLOOKUP(Q82,Afactors,2,TRUE),""))</f>
        <v/>
      </c>
      <c r="Z82" s="297" t="str">
        <f>IF(ISBLANK(T82),"",VLOOKUP(T82,'Adjustment factors'!$R$27:$S$30,2,TRUE))</f>
        <v/>
      </c>
      <c r="AA82" s="297" t="str">
        <f>IF(ISBLANK(U82),"",VLOOKUP(U82,'Adjustment factors'!$R$27:$S$30,2,TRUE))</f>
        <v/>
      </c>
      <c r="AB82" s="480">
        <f t="shared" si="48"/>
        <v>1</v>
      </c>
      <c r="AC82" s="18" t="b">
        <f t="shared" si="1"/>
        <v>0</v>
      </c>
      <c r="AD82" s="18" t="b">
        <f t="shared" si="2"/>
        <v>0</v>
      </c>
      <c r="AE82" s="18" t="b">
        <f t="shared" si="70"/>
        <v>0</v>
      </c>
      <c r="AF82" s="17" t="str">
        <f t="shared" si="3"/>
        <v/>
      </c>
      <c r="AG82" s="18" t="str">
        <f t="shared" si="4"/>
        <v/>
      </c>
      <c r="AH82" s="17" t="str">
        <f t="shared" si="71"/>
        <v/>
      </c>
      <c r="AI82" s="297" t="e">
        <f t="shared" si="49"/>
        <v>#VALUE!</v>
      </c>
      <c r="AJ82" s="79" t="e">
        <f t="shared" si="5"/>
        <v>#VALUE!</v>
      </c>
      <c r="AK82" s="17" t="str">
        <f t="shared" si="72"/>
        <v/>
      </c>
      <c r="AL82" s="80" t="e">
        <f t="shared" si="6"/>
        <v>#VALUE!</v>
      </c>
      <c r="AM82" s="139" t="b">
        <f t="shared" si="7"/>
        <v>1</v>
      </c>
      <c r="AN82" s="139" t="b">
        <f>AND(COUNTA(E82)&gt;0,ISNUMBER(F82),OR(COUNT(G82:H82)=0,COUNT(G82:H82)=2,AND(ISNUMBER(G82),ISNUMBER(VALUE(LEFT(H82,SUM(LEN(H82)-LEN(SUBSTITUTE(H82,{"0","1","2","3","4","5","6","7","8","9","."},"")))))))),ISNUMBER(I82),ISTEXT(J82))</f>
        <v>0</v>
      </c>
      <c r="AO82" s="19" t="b">
        <f t="shared" si="8"/>
        <v>0</v>
      </c>
      <c r="AP82" s="19" t="b">
        <f t="shared" si="9"/>
        <v>1</v>
      </c>
      <c r="AQ82" s="19" t="b">
        <f>IF(AND(COUNTBLANK(E82:J82)=6,OR(AN83:AN$523)),NOT(AN82))</f>
        <v>0</v>
      </c>
      <c r="AR82" s="19" t="str">
        <f t="shared" si="10"/>
        <v/>
      </c>
      <c r="AS82" s="19" t="b">
        <f t="shared" si="11"/>
        <v>1</v>
      </c>
      <c r="AT82" s="19" t="str">
        <f t="shared" si="12"/>
        <v/>
      </c>
      <c r="AU82" s="19" t="b">
        <f t="shared" si="13"/>
        <v>1</v>
      </c>
      <c r="AV82" s="140" t="str">
        <f t="shared" si="50"/>
        <v/>
      </c>
      <c r="AW82" s="19" t="str">
        <f t="shared" si="14"/>
        <v/>
      </c>
      <c r="AX82" s="81">
        <f t="shared" si="15"/>
        <v>0</v>
      </c>
      <c r="AY82" s="81" t="str">
        <f t="shared" si="16"/>
        <v/>
      </c>
      <c r="AZ82" s="307" t="str">
        <f t="shared" si="51"/>
        <v/>
      </c>
      <c r="BA82" s="281" t="str">
        <f t="shared" si="52"/>
        <v/>
      </c>
      <c r="BB82" s="281" t="str">
        <f t="shared" si="53"/>
        <v/>
      </c>
      <c r="BC82" s="953"/>
      <c r="BD82" s="955"/>
      <c r="BE82" s="219" t="str">
        <f t="shared" si="17"/>
        <v>n/a</v>
      </c>
      <c r="BF82" s="215" t="b">
        <f t="shared" si="18"/>
        <v>0</v>
      </c>
      <c r="BG82" s="145" t="b">
        <f t="shared" si="19"/>
        <v>0</v>
      </c>
      <c r="BH82" s="145" t="b">
        <f t="shared" si="20"/>
        <v>0</v>
      </c>
      <c r="BI82" s="216" t="b">
        <f t="shared" si="21"/>
        <v>0</v>
      </c>
      <c r="BJ82" s="215" t="b">
        <f t="shared" si="74"/>
        <v>0</v>
      </c>
      <c r="BK82" s="145" t="b">
        <f t="shared" si="75"/>
        <v>0</v>
      </c>
      <c r="BL82" s="216" t="b">
        <f t="shared" si="76"/>
        <v>0</v>
      </c>
      <c r="BM82" s="217" t="str">
        <f t="shared" si="54"/>
        <v/>
      </c>
      <c r="BN82" s="146" t="str">
        <f t="shared" si="55"/>
        <v/>
      </c>
      <c r="BO82" s="147" t="str">
        <f t="shared" si="56"/>
        <v/>
      </c>
      <c r="BP82" s="148" t="str">
        <f t="shared" si="57"/>
        <v/>
      </c>
      <c r="BT82" s="50">
        <f t="shared" si="78"/>
        <v>59</v>
      </c>
      <c r="BU82" s="50" t="str">
        <f t="shared" si="25"/>
        <v>-</v>
      </c>
      <c r="BW82" s="340"/>
      <c r="BX82" s="333"/>
      <c r="BY82" s="333"/>
      <c r="BZ82" s="333"/>
      <c r="CA82" s="333"/>
      <c r="CB82" s="333"/>
      <c r="CC82" s="333"/>
      <c r="CD82" s="333"/>
      <c r="CE82" s="333"/>
      <c r="CF82" s="333"/>
      <c r="CG82" s="354">
        <f t="shared" si="26"/>
        <v>59</v>
      </c>
      <c r="CH82" s="613">
        <f t="shared" si="27"/>
        <v>0</v>
      </c>
      <c r="CI82" s="613">
        <f t="shared" si="28"/>
        <v>0</v>
      </c>
      <c r="CJ82" s="614" t="str">
        <f t="shared" si="29"/>
        <v/>
      </c>
      <c r="CK82" s="615" t="str">
        <f t="shared" si="30"/>
        <v/>
      </c>
      <c r="CL82" s="610" t="str">
        <f>IF(ISBLANK(H82),"",IF(AND(ISNUMBER(F82),ISNUMBER(G82),ISNUMBER(H82)),ROUND(F82/(H82*G82),2),ROUND(F82/(VALUE(LEFT(H82,SUM(LEN(H82)-LEN(SUBSTITUTE(H82,{"0","1","2","3","4","5","6","7","8","9","."},"")))))*G82),2)))</f>
        <v/>
      </c>
      <c r="CM82" s="616" t="str">
        <f t="shared" si="58"/>
        <v/>
      </c>
      <c r="CN82" s="616" t="str">
        <f>IF(ISNUMBER(P82),MAX('Adjustment factors'!$S$16,(0.2+0.8*P82)),IF(ISTEXT(N82),VLOOKUP(N82,Afactors,2,FALSE),""))</f>
        <v/>
      </c>
      <c r="CO82" s="616" t="str">
        <f>IF(ISNUMBER(S82),MAX('Adjustment factors'!$S$16,0.2+0.8*S82),IF(ISTEXT(Q82),VLOOKUP(Q82,Afactors,2,FALSE),""))</f>
        <v/>
      </c>
      <c r="CP82" s="611" t="str">
        <f t="shared" si="59"/>
        <v/>
      </c>
      <c r="CQ82" s="612" t="str">
        <f t="shared" si="60"/>
        <v/>
      </c>
      <c r="CR82" s="340"/>
      <c r="CS82" s="340"/>
      <c r="CT82" s="340"/>
      <c r="CU82" s="340"/>
      <c r="CV82" s="333"/>
      <c r="CW82" s="333"/>
      <c r="CX82" s="333"/>
      <c r="CY82" s="333"/>
      <c r="DA82" s="313" t="str">
        <f t="shared" si="31"/>
        <v>OK</v>
      </c>
      <c r="DB82" s="313" t="str">
        <f t="shared" si="32"/>
        <v>OK</v>
      </c>
      <c r="DC82" s="313" t="str">
        <f t="shared" si="33"/>
        <v>OK</v>
      </c>
      <c r="DD82" s="313" t="str">
        <f t="shared" si="34"/>
        <v>OK</v>
      </c>
      <c r="DE82" s="153" t="str">
        <f t="shared" si="35"/>
        <v>OK</v>
      </c>
      <c r="DF82" s="314" t="str">
        <f t="shared" si="36"/>
        <v>OK</v>
      </c>
      <c r="DG82" s="482" t="str">
        <f t="shared" si="61"/>
        <v>OK</v>
      </c>
      <c r="DH82" s="482" t="str">
        <f>IF(OR(AND(T82='Adjustment factors'!$R$28,'Class 3, 5-9'!U82='Adjustment factors'!$R$29),AND('Class 3, 5-9'!T82='Adjustment factors'!$R$29,'Class 3, 5-9'!U82='Adjustment factors'!$R$28)),"Invalid combination of adjustment factors",IF(AND(T82=U82,NOT(ISBLANK(T82)),NOT(ISBLANK(U82))),"Same colour factor selected twice","OK"))</f>
        <v>OK</v>
      </c>
      <c r="DI82" s="313" t="str">
        <f t="shared" si="37"/>
        <v>OK</v>
      </c>
      <c r="DJ82" s="153" t="str">
        <f t="shared" si="62"/>
        <v>OK</v>
      </c>
      <c r="DK82" s="153" t="str">
        <f t="shared" si="38"/>
        <v>OK</v>
      </c>
      <c r="DL82" s="313" t="str">
        <f t="shared" si="39"/>
        <v>OK</v>
      </c>
      <c r="DM82" s="153" t="str">
        <f t="shared" si="40"/>
        <v>OK</v>
      </c>
      <c r="DN82" s="153" t="str">
        <f t="shared" si="63"/>
        <v>OK</v>
      </c>
      <c r="DO82" s="154" t="str">
        <f t="shared" si="64"/>
        <v>OK</v>
      </c>
      <c r="DP82" s="153" t="str">
        <f t="shared" si="41"/>
        <v>OK</v>
      </c>
      <c r="DQ82" s="313" t="str">
        <f t="shared" si="42"/>
        <v>OK</v>
      </c>
      <c r="DR82" s="153" t="str">
        <f t="shared" si="65"/>
        <v>OK</v>
      </c>
      <c r="DS82" s="153" t="str">
        <f t="shared" si="43"/>
        <v>OK</v>
      </c>
      <c r="DT82" s="313" t="str">
        <f t="shared" si="79"/>
        <v>OK</v>
      </c>
      <c r="DU82" s="153" t="str">
        <f t="shared" si="45"/>
        <v>OK</v>
      </c>
      <c r="DV82" s="153" t="str">
        <f t="shared" si="66"/>
        <v>OK</v>
      </c>
      <c r="DW82" s="154" t="str">
        <f t="shared" si="67"/>
        <v>OK</v>
      </c>
      <c r="DX82" s="157">
        <f t="shared" si="68"/>
        <v>0</v>
      </c>
      <c r="DY82" s="156" t="str">
        <f t="shared" si="69"/>
        <v>OK</v>
      </c>
    </row>
    <row r="83" spans="1:129" ht="13" hidden="1" x14ac:dyDescent="0.3">
      <c r="A83" s="333"/>
      <c r="B83" s="333"/>
      <c r="C83" s="332" t="str">
        <f t="shared" si="46"/>
        <v>-</v>
      </c>
      <c r="D83" s="584">
        <f t="shared" si="77"/>
        <v>60</v>
      </c>
      <c r="E83" s="585"/>
      <c r="F83" s="586"/>
      <c r="G83" s="600"/>
      <c r="H83" s="587"/>
      <c r="I83" s="601"/>
      <c r="J83" s="585"/>
      <c r="K83" s="617"/>
      <c r="L83" s="602"/>
      <c r="M83" s="603"/>
      <c r="N83" s="588"/>
      <c r="O83" s="604"/>
      <c r="P83" s="605"/>
      <c r="Q83" s="588"/>
      <c r="R83" s="604"/>
      <c r="S83" s="605"/>
      <c r="T83" s="606"/>
      <c r="U83" s="606"/>
      <c r="V83" s="429" t="str">
        <f t="shared" si="0"/>
        <v/>
      </c>
      <c r="W83" s="430" t="str">
        <f t="shared" si="47"/>
        <v/>
      </c>
      <c r="X83" s="66" t="str">
        <f>IF(AND(ISNUMBER(P83),N83=FixedDim),MAX('Adjustment factors'!$S$16,0.2+0.8*P83),IF(ISTEXT(N83),VLOOKUP(N83,Afactors,2,TRUE),""))</f>
        <v/>
      </c>
      <c r="Y83" s="17" t="str">
        <f>IF(AND(ISNUMBER(S83),Q83=FixedDim),MAX('Adjustment factors'!$S$16,0.2+0.8*S83),IF(ISTEXT(Q83),VLOOKUP(Q83,Afactors,2,TRUE),""))</f>
        <v/>
      </c>
      <c r="Z83" s="297" t="str">
        <f>IF(ISBLANK(T83),"",VLOOKUP(T83,'Adjustment factors'!$R$27:$S$30,2,TRUE))</f>
        <v/>
      </c>
      <c r="AA83" s="297" t="str">
        <f>IF(ISBLANK(U83),"",VLOOKUP(U83,'Adjustment factors'!$R$27:$S$30,2,TRUE))</f>
        <v/>
      </c>
      <c r="AB83" s="480">
        <f t="shared" si="48"/>
        <v>1</v>
      </c>
      <c r="AC83" s="18" t="b">
        <f t="shared" si="1"/>
        <v>0</v>
      </c>
      <c r="AD83" s="18" t="b">
        <f t="shared" si="2"/>
        <v>0</v>
      </c>
      <c r="AE83" s="18" t="b">
        <f t="shared" si="70"/>
        <v>0</v>
      </c>
      <c r="AF83" s="17" t="str">
        <f t="shared" si="3"/>
        <v/>
      </c>
      <c r="AG83" s="18" t="str">
        <f t="shared" si="4"/>
        <v/>
      </c>
      <c r="AH83" s="17" t="str">
        <f t="shared" si="71"/>
        <v/>
      </c>
      <c r="AI83" s="297" t="e">
        <f t="shared" si="49"/>
        <v>#VALUE!</v>
      </c>
      <c r="AJ83" s="79" t="e">
        <f t="shared" si="5"/>
        <v>#VALUE!</v>
      </c>
      <c r="AK83" s="17" t="str">
        <f t="shared" si="72"/>
        <v/>
      </c>
      <c r="AL83" s="80" t="e">
        <f t="shared" si="6"/>
        <v>#VALUE!</v>
      </c>
      <c r="AM83" s="139" t="b">
        <f t="shared" si="7"/>
        <v>1</v>
      </c>
      <c r="AN83" s="139" t="b">
        <f>AND(COUNTA(E83)&gt;0,ISNUMBER(F83),OR(COUNT(G83:H83)=0,COUNT(G83:H83)=2,AND(ISNUMBER(G83),ISNUMBER(VALUE(LEFT(H83,SUM(LEN(H83)-LEN(SUBSTITUTE(H83,{"0","1","2","3","4","5","6","7","8","9","."},"")))))))),ISNUMBER(I83),ISTEXT(J83))</f>
        <v>0</v>
      </c>
      <c r="AO83" s="19" t="b">
        <f t="shared" si="8"/>
        <v>0</v>
      </c>
      <c r="AP83" s="19" t="b">
        <f t="shared" si="9"/>
        <v>1</v>
      </c>
      <c r="AQ83" s="19" t="b">
        <f>IF(AND(COUNTBLANK(E83:J83)=6,OR(AN84:AN$523)),NOT(AN83))</f>
        <v>0</v>
      </c>
      <c r="AR83" s="19" t="str">
        <f t="shared" si="10"/>
        <v/>
      </c>
      <c r="AS83" s="19" t="b">
        <f t="shared" si="11"/>
        <v>1</v>
      </c>
      <c r="AT83" s="19" t="str">
        <f t="shared" si="12"/>
        <v/>
      </c>
      <c r="AU83" s="19" t="b">
        <f t="shared" si="13"/>
        <v>1</v>
      </c>
      <c r="AV83" s="140" t="str">
        <f t="shared" si="50"/>
        <v/>
      </c>
      <c r="AW83" s="19" t="str">
        <f t="shared" si="14"/>
        <v/>
      </c>
      <c r="AX83" s="81">
        <f t="shared" si="15"/>
        <v>0</v>
      </c>
      <c r="AY83" s="81" t="str">
        <f t="shared" si="16"/>
        <v/>
      </c>
      <c r="AZ83" s="307" t="str">
        <f t="shared" si="51"/>
        <v/>
      </c>
      <c r="BA83" s="281" t="str">
        <f t="shared" si="52"/>
        <v/>
      </c>
      <c r="BB83" s="281" t="str">
        <f t="shared" si="53"/>
        <v/>
      </c>
      <c r="BC83" s="953"/>
      <c r="BD83" s="955"/>
      <c r="BE83" s="219" t="str">
        <f t="shared" si="17"/>
        <v>n/a</v>
      </c>
      <c r="BF83" s="215" t="b">
        <f t="shared" si="18"/>
        <v>0</v>
      </c>
      <c r="BG83" s="145" t="b">
        <f t="shared" si="19"/>
        <v>0</v>
      </c>
      <c r="BH83" s="145" t="b">
        <f t="shared" si="20"/>
        <v>0</v>
      </c>
      <c r="BI83" s="216" t="b">
        <f t="shared" si="21"/>
        <v>0</v>
      </c>
      <c r="BJ83" s="215" t="b">
        <f t="shared" si="74"/>
        <v>0</v>
      </c>
      <c r="BK83" s="145" t="b">
        <f t="shared" si="75"/>
        <v>0</v>
      </c>
      <c r="BL83" s="216" t="b">
        <f t="shared" si="76"/>
        <v>0</v>
      </c>
      <c r="BM83" s="217" t="str">
        <f t="shared" si="54"/>
        <v/>
      </c>
      <c r="BN83" s="146" t="str">
        <f t="shared" si="55"/>
        <v/>
      </c>
      <c r="BO83" s="147" t="str">
        <f t="shared" si="56"/>
        <v/>
      </c>
      <c r="BP83" s="148" t="str">
        <f t="shared" si="57"/>
        <v/>
      </c>
      <c r="BT83" s="50">
        <f t="shared" si="78"/>
        <v>60</v>
      </c>
      <c r="BU83" s="50" t="str">
        <f t="shared" si="25"/>
        <v>-</v>
      </c>
      <c r="BW83" s="340"/>
      <c r="BX83" s="333"/>
      <c r="BY83" s="333"/>
      <c r="BZ83" s="333"/>
      <c r="CA83" s="333"/>
      <c r="CB83" s="333"/>
      <c r="CC83" s="333"/>
      <c r="CD83" s="333"/>
      <c r="CE83" s="333"/>
      <c r="CF83" s="333"/>
      <c r="CG83" s="354">
        <f t="shared" si="26"/>
        <v>60</v>
      </c>
      <c r="CH83" s="613">
        <f t="shared" si="27"/>
        <v>0</v>
      </c>
      <c r="CI83" s="613">
        <f t="shared" si="28"/>
        <v>0</v>
      </c>
      <c r="CJ83" s="614" t="str">
        <f t="shared" si="29"/>
        <v/>
      </c>
      <c r="CK83" s="615" t="str">
        <f t="shared" si="30"/>
        <v/>
      </c>
      <c r="CL83" s="610" t="str">
        <f>IF(ISBLANK(H83),"",IF(AND(ISNUMBER(F83),ISNUMBER(G83),ISNUMBER(H83)),ROUND(F83/(H83*G83),2),ROUND(F83/(VALUE(LEFT(H83,SUM(LEN(H83)-LEN(SUBSTITUTE(H83,{"0","1","2","3","4","5","6","7","8","9","."},"")))))*G83),2)))</f>
        <v/>
      </c>
      <c r="CM83" s="616" t="str">
        <f t="shared" si="58"/>
        <v/>
      </c>
      <c r="CN83" s="616" t="str">
        <f>IF(ISNUMBER(P83),MAX('Adjustment factors'!$S$16,(0.2+0.8*P83)),IF(ISTEXT(N83),VLOOKUP(N83,Afactors,2,FALSE),""))</f>
        <v/>
      </c>
      <c r="CO83" s="616" t="str">
        <f>IF(ISNUMBER(S83),MAX('Adjustment factors'!$S$16,0.2+0.8*S83),IF(ISTEXT(Q83),VLOOKUP(Q83,Afactors,2,FALSE),""))</f>
        <v/>
      </c>
      <c r="CP83" s="611" t="str">
        <f t="shared" si="59"/>
        <v/>
      </c>
      <c r="CQ83" s="612" t="str">
        <f t="shared" si="60"/>
        <v/>
      </c>
      <c r="CR83" s="340"/>
      <c r="CS83" s="340"/>
      <c r="CT83" s="340"/>
      <c r="CU83" s="340"/>
      <c r="CV83" s="333"/>
      <c r="CW83" s="333"/>
      <c r="CX83" s="333"/>
      <c r="CY83" s="333"/>
      <c r="DA83" s="313" t="str">
        <f t="shared" si="31"/>
        <v>OK</v>
      </c>
      <c r="DB83" s="313" t="str">
        <f t="shared" si="32"/>
        <v>OK</v>
      </c>
      <c r="DC83" s="313" t="str">
        <f t="shared" si="33"/>
        <v>OK</v>
      </c>
      <c r="DD83" s="313" t="str">
        <f t="shared" si="34"/>
        <v>OK</v>
      </c>
      <c r="DE83" s="153" t="str">
        <f t="shared" si="35"/>
        <v>OK</v>
      </c>
      <c r="DF83" s="314" t="str">
        <f t="shared" si="36"/>
        <v>OK</v>
      </c>
      <c r="DG83" s="482" t="str">
        <f t="shared" si="61"/>
        <v>OK</v>
      </c>
      <c r="DH83" s="482" t="str">
        <f>IF(OR(AND(T83='Adjustment factors'!$R$28,'Class 3, 5-9'!U83='Adjustment factors'!$R$29),AND('Class 3, 5-9'!T83='Adjustment factors'!$R$29,'Class 3, 5-9'!U83='Adjustment factors'!$R$28)),"Invalid combination of adjustment factors",IF(AND(T83=U83,NOT(ISBLANK(T83)),NOT(ISBLANK(U83))),"Same colour factor selected twice","OK"))</f>
        <v>OK</v>
      </c>
      <c r="DI83" s="313" t="str">
        <f t="shared" si="37"/>
        <v>OK</v>
      </c>
      <c r="DJ83" s="153" t="str">
        <f t="shared" si="62"/>
        <v>OK</v>
      </c>
      <c r="DK83" s="153" t="str">
        <f t="shared" si="38"/>
        <v>OK</v>
      </c>
      <c r="DL83" s="313" t="str">
        <f t="shared" si="39"/>
        <v>OK</v>
      </c>
      <c r="DM83" s="153" t="str">
        <f t="shared" si="40"/>
        <v>OK</v>
      </c>
      <c r="DN83" s="153" t="str">
        <f t="shared" si="63"/>
        <v>OK</v>
      </c>
      <c r="DO83" s="154" t="str">
        <f t="shared" si="64"/>
        <v>OK</v>
      </c>
      <c r="DP83" s="153" t="str">
        <f t="shared" si="41"/>
        <v>OK</v>
      </c>
      <c r="DQ83" s="313" t="str">
        <f t="shared" si="42"/>
        <v>OK</v>
      </c>
      <c r="DR83" s="153" t="str">
        <f t="shared" si="65"/>
        <v>OK</v>
      </c>
      <c r="DS83" s="153" t="str">
        <f t="shared" si="43"/>
        <v>OK</v>
      </c>
      <c r="DT83" s="313" t="str">
        <f t="shared" si="79"/>
        <v>OK</v>
      </c>
      <c r="DU83" s="153" t="str">
        <f t="shared" si="45"/>
        <v>OK</v>
      </c>
      <c r="DV83" s="153" t="str">
        <f t="shared" si="66"/>
        <v>OK</v>
      </c>
      <c r="DW83" s="154" t="str">
        <f t="shared" si="67"/>
        <v>OK</v>
      </c>
      <c r="DX83" s="157">
        <f t="shared" si="68"/>
        <v>0</v>
      </c>
      <c r="DY83" s="156" t="str">
        <f t="shared" si="69"/>
        <v>OK</v>
      </c>
    </row>
    <row r="84" spans="1:129" ht="13" hidden="1" x14ac:dyDescent="0.3">
      <c r="A84" s="333"/>
      <c r="B84" s="333"/>
      <c r="C84" s="332" t="str">
        <f t="shared" si="46"/>
        <v>-</v>
      </c>
      <c r="D84" s="584">
        <f t="shared" si="77"/>
        <v>61</v>
      </c>
      <c r="E84" s="585"/>
      <c r="F84" s="586"/>
      <c r="G84" s="600"/>
      <c r="H84" s="587"/>
      <c r="I84" s="601"/>
      <c r="J84" s="585"/>
      <c r="K84" s="617"/>
      <c r="L84" s="602"/>
      <c r="M84" s="603"/>
      <c r="N84" s="588"/>
      <c r="O84" s="604"/>
      <c r="P84" s="605"/>
      <c r="Q84" s="588"/>
      <c r="R84" s="604"/>
      <c r="S84" s="605"/>
      <c r="T84" s="606"/>
      <c r="U84" s="606"/>
      <c r="V84" s="429" t="str">
        <f t="shared" si="0"/>
        <v/>
      </c>
      <c r="W84" s="430" t="str">
        <f t="shared" si="47"/>
        <v/>
      </c>
      <c r="X84" s="66" t="str">
        <f>IF(AND(ISNUMBER(P84),N84=FixedDim),MAX('Adjustment factors'!$S$16,0.2+0.8*P84),IF(ISTEXT(N84),VLOOKUP(N84,Afactors,2,TRUE),""))</f>
        <v/>
      </c>
      <c r="Y84" s="17" t="str">
        <f>IF(AND(ISNUMBER(S84),Q84=FixedDim),MAX('Adjustment factors'!$S$16,0.2+0.8*S84),IF(ISTEXT(Q84),VLOOKUP(Q84,Afactors,2,TRUE),""))</f>
        <v/>
      </c>
      <c r="Z84" s="297" t="str">
        <f>IF(ISBLANK(T84),"",VLOOKUP(T84,'Adjustment factors'!$R$27:$S$30,2,TRUE))</f>
        <v/>
      </c>
      <c r="AA84" s="297" t="str">
        <f>IF(ISBLANK(U84),"",VLOOKUP(U84,'Adjustment factors'!$R$27:$S$30,2,TRUE))</f>
        <v/>
      </c>
      <c r="AB84" s="480">
        <f t="shared" si="48"/>
        <v>1</v>
      </c>
      <c r="AC84" s="18" t="b">
        <f t="shared" si="1"/>
        <v>0</v>
      </c>
      <c r="AD84" s="18" t="b">
        <f t="shared" si="2"/>
        <v>0</v>
      </c>
      <c r="AE84" s="18" t="b">
        <f t="shared" si="70"/>
        <v>0</v>
      </c>
      <c r="AF84" s="17" t="str">
        <f t="shared" si="3"/>
        <v/>
      </c>
      <c r="AG84" s="18" t="str">
        <f t="shared" si="4"/>
        <v/>
      </c>
      <c r="AH84" s="17" t="str">
        <f t="shared" si="71"/>
        <v/>
      </c>
      <c r="AI84" s="297" t="e">
        <f t="shared" si="49"/>
        <v>#VALUE!</v>
      </c>
      <c r="AJ84" s="79" t="e">
        <f t="shared" si="5"/>
        <v>#VALUE!</v>
      </c>
      <c r="AK84" s="17" t="str">
        <f t="shared" si="72"/>
        <v/>
      </c>
      <c r="AL84" s="80" t="e">
        <f t="shared" si="6"/>
        <v>#VALUE!</v>
      </c>
      <c r="AM84" s="139" t="b">
        <f t="shared" si="7"/>
        <v>1</v>
      </c>
      <c r="AN84" s="139" t="b">
        <f>AND(COUNTA(E84)&gt;0,ISNUMBER(F84),OR(COUNT(G84:H84)=0,COUNT(G84:H84)=2,AND(ISNUMBER(G84),ISNUMBER(VALUE(LEFT(H84,SUM(LEN(H84)-LEN(SUBSTITUTE(H84,{"0","1","2","3","4","5","6","7","8","9","."},"")))))))),ISNUMBER(I84),ISTEXT(J84))</f>
        <v>0</v>
      </c>
      <c r="AO84" s="19" t="b">
        <f t="shared" si="8"/>
        <v>0</v>
      </c>
      <c r="AP84" s="19" t="b">
        <f t="shared" si="9"/>
        <v>1</v>
      </c>
      <c r="AQ84" s="19" t="b">
        <f>IF(AND(COUNTBLANK(E84:J84)=6,OR(AN85:AN$523)),NOT(AN84))</f>
        <v>0</v>
      </c>
      <c r="AR84" s="19" t="str">
        <f t="shared" si="10"/>
        <v/>
      </c>
      <c r="AS84" s="19" t="b">
        <f t="shared" si="11"/>
        <v>1</v>
      </c>
      <c r="AT84" s="19" t="str">
        <f t="shared" si="12"/>
        <v/>
      </c>
      <c r="AU84" s="19" t="b">
        <f t="shared" si="13"/>
        <v>1</v>
      </c>
      <c r="AV84" s="140" t="str">
        <f t="shared" si="50"/>
        <v/>
      </c>
      <c r="AW84" s="19" t="str">
        <f t="shared" si="14"/>
        <v/>
      </c>
      <c r="AX84" s="81">
        <f t="shared" si="15"/>
        <v>0</v>
      </c>
      <c r="AY84" s="81" t="str">
        <f t="shared" si="16"/>
        <v/>
      </c>
      <c r="AZ84" s="307" t="str">
        <f t="shared" si="51"/>
        <v/>
      </c>
      <c r="BA84" s="281" t="str">
        <f t="shared" si="52"/>
        <v/>
      </c>
      <c r="BB84" s="281" t="str">
        <f t="shared" si="53"/>
        <v/>
      </c>
      <c r="BC84" s="953"/>
      <c r="BD84" s="955"/>
      <c r="BE84" s="219" t="str">
        <f t="shared" si="17"/>
        <v>n/a</v>
      </c>
      <c r="BF84" s="215" t="b">
        <f t="shared" si="18"/>
        <v>0</v>
      </c>
      <c r="BG84" s="145" t="b">
        <f t="shared" si="19"/>
        <v>0</v>
      </c>
      <c r="BH84" s="145" t="b">
        <f t="shared" si="20"/>
        <v>0</v>
      </c>
      <c r="BI84" s="216" t="b">
        <f t="shared" si="21"/>
        <v>0</v>
      </c>
      <c r="BJ84" s="215" t="b">
        <f t="shared" si="74"/>
        <v>0</v>
      </c>
      <c r="BK84" s="145" t="b">
        <f t="shared" si="75"/>
        <v>0</v>
      </c>
      <c r="BL84" s="216" t="b">
        <f t="shared" si="76"/>
        <v>0</v>
      </c>
      <c r="BM84" s="217" t="str">
        <f t="shared" si="54"/>
        <v/>
      </c>
      <c r="BN84" s="146" t="str">
        <f t="shared" si="55"/>
        <v/>
      </c>
      <c r="BO84" s="147" t="str">
        <f t="shared" si="56"/>
        <v/>
      </c>
      <c r="BP84" s="148" t="str">
        <f t="shared" si="57"/>
        <v/>
      </c>
      <c r="BT84" s="50">
        <f t="shared" si="78"/>
        <v>61</v>
      </c>
      <c r="BU84" s="50" t="str">
        <f t="shared" si="25"/>
        <v>-</v>
      </c>
      <c r="BW84" s="340"/>
      <c r="BX84" s="333"/>
      <c r="BY84" s="333"/>
      <c r="BZ84" s="333"/>
      <c r="CA84" s="333"/>
      <c r="CB84" s="333"/>
      <c r="CC84" s="333"/>
      <c r="CD84" s="333"/>
      <c r="CE84" s="333"/>
      <c r="CF84" s="333"/>
      <c r="CG84" s="354">
        <f t="shared" si="26"/>
        <v>61</v>
      </c>
      <c r="CH84" s="613">
        <f t="shared" si="27"/>
        <v>0</v>
      </c>
      <c r="CI84" s="613">
        <f t="shared" si="28"/>
        <v>0</v>
      </c>
      <c r="CJ84" s="614" t="str">
        <f t="shared" si="29"/>
        <v/>
      </c>
      <c r="CK84" s="615" t="str">
        <f t="shared" si="30"/>
        <v/>
      </c>
      <c r="CL84" s="610" t="str">
        <f>IF(ISBLANK(H84),"",IF(AND(ISNUMBER(F84),ISNUMBER(G84),ISNUMBER(H84)),ROUND(F84/(H84*G84),2),ROUND(F84/(VALUE(LEFT(H84,SUM(LEN(H84)-LEN(SUBSTITUTE(H84,{"0","1","2","3","4","5","6","7","8","9","."},"")))))*G84),2)))</f>
        <v/>
      </c>
      <c r="CM84" s="616" t="str">
        <f t="shared" si="58"/>
        <v/>
      </c>
      <c r="CN84" s="616" t="str">
        <f>IF(ISNUMBER(P84),MAX('Adjustment factors'!$S$16,(0.2+0.8*P84)),IF(ISTEXT(N84),VLOOKUP(N84,Afactors,2,FALSE),""))</f>
        <v/>
      </c>
      <c r="CO84" s="616" t="str">
        <f>IF(ISNUMBER(S84),MAX('Adjustment factors'!$S$16,0.2+0.8*S84),IF(ISTEXT(Q84),VLOOKUP(Q84,Afactors,2,FALSE),""))</f>
        <v/>
      </c>
      <c r="CP84" s="611" t="str">
        <f t="shared" si="59"/>
        <v/>
      </c>
      <c r="CQ84" s="612" t="str">
        <f t="shared" si="60"/>
        <v/>
      </c>
      <c r="CR84" s="340"/>
      <c r="CS84" s="340"/>
      <c r="CT84" s="340"/>
      <c r="CU84" s="340"/>
      <c r="CV84" s="333"/>
      <c r="CW84" s="333"/>
      <c r="CX84" s="333"/>
      <c r="CY84" s="333"/>
      <c r="DA84" s="313" t="str">
        <f t="shared" si="31"/>
        <v>OK</v>
      </c>
      <c r="DB84" s="313" t="str">
        <f t="shared" si="32"/>
        <v>OK</v>
      </c>
      <c r="DC84" s="313" t="str">
        <f t="shared" si="33"/>
        <v>OK</v>
      </c>
      <c r="DD84" s="313" t="str">
        <f t="shared" si="34"/>
        <v>OK</v>
      </c>
      <c r="DE84" s="153" t="str">
        <f t="shared" si="35"/>
        <v>OK</v>
      </c>
      <c r="DF84" s="314" t="str">
        <f t="shared" si="36"/>
        <v>OK</v>
      </c>
      <c r="DG84" s="482" t="str">
        <f t="shared" si="61"/>
        <v>OK</v>
      </c>
      <c r="DH84" s="482" t="str">
        <f>IF(OR(AND(T84='Adjustment factors'!$R$28,'Class 3, 5-9'!U84='Adjustment factors'!$R$29),AND('Class 3, 5-9'!T84='Adjustment factors'!$R$29,'Class 3, 5-9'!U84='Adjustment factors'!$R$28)),"Invalid combination of adjustment factors",IF(AND(T84=U84,NOT(ISBLANK(T84)),NOT(ISBLANK(U84))),"Same colour factor selected twice","OK"))</f>
        <v>OK</v>
      </c>
      <c r="DI84" s="313" t="str">
        <f t="shared" si="37"/>
        <v>OK</v>
      </c>
      <c r="DJ84" s="153" t="str">
        <f t="shared" si="62"/>
        <v>OK</v>
      </c>
      <c r="DK84" s="153" t="str">
        <f t="shared" si="38"/>
        <v>OK</v>
      </c>
      <c r="DL84" s="313" t="str">
        <f t="shared" si="39"/>
        <v>OK</v>
      </c>
      <c r="DM84" s="153" t="str">
        <f t="shared" si="40"/>
        <v>OK</v>
      </c>
      <c r="DN84" s="153" t="str">
        <f t="shared" si="63"/>
        <v>OK</v>
      </c>
      <c r="DO84" s="154" t="str">
        <f t="shared" si="64"/>
        <v>OK</v>
      </c>
      <c r="DP84" s="153" t="str">
        <f t="shared" si="41"/>
        <v>OK</v>
      </c>
      <c r="DQ84" s="313" t="str">
        <f t="shared" si="42"/>
        <v>OK</v>
      </c>
      <c r="DR84" s="153" t="str">
        <f t="shared" si="65"/>
        <v>OK</v>
      </c>
      <c r="DS84" s="153" t="str">
        <f t="shared" si="43"/>
        <v>OK</v>
      </c>
      <c r="DT84" s="313" t="str">
        <f t="shared" si="79"/>
        <v>OK</v>
      </c>
      <c r="DU84" s="153" t="str">
        <f t="shared" si="45"/>
        <v>OK</v>
      </c>
      <c r="DV84" s="153" t="str">
        <f t="shared" si="66"/>
        <v>OK</v>
      </c>
      <c r="DW84" s="154" t="str">
        <f t="shared" si="67"/>
        <v>OK</v>
      </c>
      <c r="DX84" s="157">
        <f t="shared" si="68"/>
        <v>0</v>
      </c>
      <c r="DY84" s="156" t="str">
        <f t="shared" si="69"/>
        <v>OK</v>
      </c>
    </row>
    <row r="85" spans="1:129" ht="13" hidden="1" x14ac:dyDescent="0.3">
      <c r="A85" s="333"/>
      <c r="B85" s="333"/>
      <c r="C85" s="332" t="str">
        <f t="shared" si="46"/>
        <v>-</v>
      </c>
      <c r="D85" s="584">
        <f t="shared" si="77"/>
        <v>62</v>
      </c>
      <c r="E85" s="585"/>
      <c r="F85" s="586"/>
      <c r="G85" s="600"/>
      <c r="H85" s="587"/>
      <c r="I85" s="601"/>
      <c r="J85" s="585"/>
      <c r="K85" s="617"/>
      <c r="L85" s="602"/>
      <c r="M85" s="603"/>
      <c r="N85" s="588"/>
      <c r="O85" s="604"/>
      <c r="P85" s="605"/>
      <c r="Q85" s="588"/>
      <c r="R85" s="604"/>
      <c r="S85" s="605"/>
      <c r="T85" s="606"/>
      <c r="U85" s="606"/>
      <c r="V85" s="429" t="str">
        <f t="shared" si="0"/>
        <v/>
      </c>
      <c r="W85" s="430" t="str">
        <f t="shared" si="47"/>
        <v/>
      </c>
      <c r="X85" s="66" t="str">
        <f>IF(AND(ISNUMBER(P85),N85=FixedDim),MAX('Adjustment factors'!$S$16,0.2+0.8*P85),IF(ISTEXT(N85),VLOOKUP(N85,Afactors,2,TRUE),""))</f>
        <v/>
      </c>
      <c r="Y85" s="17" t="str">
        <f>IF(AND(ISNUMBER(S85),Q85=FixedDim),MAX('Adjustment factors'!$S$16,0.2+0.8*S85),IF(ISTEXT(Q85),VLOOKUP(Q85,Afactors,2,TRUE),""))</f>
        <v/>
      </c>
      <c r="Z85" s="297" t="str">
        <f>IF(ISBLANK(T85),"",VLOOKUP(T85,'Adjustment factors'!$R$27:$S$30,2,TRUE))</f>
        <v/>
      </c>
      <c r="AA85" s="297" t="str">
        <f>IF(ISBLANK(U85),"",VLOOKUP(U85,'Adjustment factors'!$R$27:$S$30,2,TRUE))</f>
        <v/>
      </c>
      <c r="AB85" s="480">
        <f t="shared" si="48"/>
        <v>1</v>
      </c>
      <c r="AC85" s="18" t="b">
        <f t="shared" si="1"/>
        <v>0</v>
      </c>
      <c r="AD85" s="18" t="b">
        <f t="shared" si="2"/>
        <v>0</v>
      </c>
      <c r="AE85" s="18" t="b">
        <f t="shared" si="70"/>
        <v>0</v>
      </c>
      <c r="AF85" s="17" t="str">
        <f t="shared" si="3"/>
        <v/>
      </c>
      <c r="AG85" s="18" t="str">
        <f t="shared" si="4"/>
        <v/>
      </c>
      <c r="AH85" s="17" t="str">
        <f t="shared" si="71"/>
        <v/>
      </c>
      <c r="AI85" s="297" t="e">
        <f t="shared" si="49"/>
        <v>#VALUE!</v>
      </c>
      <c r="AJ85" s="79" t="e">
        <f t="shared" si="5"/>
        <v>#VALUE!</v>
      </c>
      <c r="AK85" s="17" t="str">
        <f t="shared" si="72"/>
        <v/>
      </c>
      <c r="AL85" s="80" t="e">
        <f t="shared" si="6"/>
        <v>#VALUE!</v>
      </c>
      <c r="AM85" s="139" t="b">
        <f t="shared" si="7"/>
        <v>1</v>
      </c>
      <c r="AN85" s="139" t="b">
        <f>AND(COUNTA(E85)&gt;0,ISNUMBER(F85),OR(COUNT(G85:H85)=0,COUNT(G85:H85)=2,AND(ISNUMBER(G85),ISNUMBER(VALUE(LEFT(H85,SUM(LEN(H85)-LEN(SUBSTITUTE(H85,{"0","1","2","3","4","5","6","7","8","9","."},"")))))))),ISNUMBER(I85),ISTEXT(J85))</f>
        <v>0</v>
      </c>
      <c r="AO85" s="19" t="b">
        <f t="shared" si="8"/>
        <v>0</v>
      </c>
      <c r="AP85" s="19" t="b">
        <f t="shared" si="9"/>
        <v>1</v>
      </c>
      <c r="AQ85" s="19" t="b">
        <f>IF(AND(COUNTBLANK(E85:J85)=6,OR(AN86:AN$523)),NOT(AN85))</f>
        <v>0</v>
      </c>
      <c r="AR85" s="19" t="str">
        <f t="shared" si="10"/>
        <v/>
      </c>
      <c r="AS85" s="19" t="b">
        <f t="shared" si="11"/>
        <v>1</v>
      </c>
      <c r="AT85" s="19" t="str">
        <f t="shared" si="12"/>
        <v/>
      </c>
      <c r="AU85" s="19" t="b">
        <f t="shared" si="13"/>
        <v>1</v>
      </c>
      <c r="AV85" s="140" t="str">
        <f t="shared" si="50"/>
        <v/>
      </c>
      <c r="AW85" s="19" t="str">
        <f t="shared" si="14"/>
        <v/>
      </c>
      <c r="AX85" s="81">
        <f t="shared" si="15"/>
        <v>0</v>
      </c>
      <c r="AY85" s="81" t="str">
        <f t="shared" si="16"/>
        <v/>
      </c>
      <c r="AZ85" s="307" t="str">
        <f t="shared" si="51"/>
        <v/>
      </c>
      <c r="BA85" s="281" t="str">
        <f t="shared" si="52"/>
        <v/>
      </c>
      <c r="BB85" s="281" t="str">
        <f t="shared" si="53"/>
        <v/>
      </c>
      <c r="BC85" s="953"/>
      <c r="BD85" s="955"/>
      <c r="BE85" s="219" t="str">
        <f t="shared" si="17"/>
        <v>n/a</v>
      </c>
      <c r="BF85" s="215" t="b">
        <f t="shared" si="18"/>
        <v>0</v>
      </c>
      <c r="BG85" s="145" t="b">
        <f t="shared" si="19"/>
        <v>0</v>
      </c>
      <c r="BH85" s="145" t="b">
        <f t="shared" si="20"/>
        <v>0</v>
      </c>
      <c r="BI85" s="216" t="b">
        <f t="shared" si="21"/>
        <v>0</v>
      </c>
      <c r="BJ85" s="215" t="b">
        <f t="shared" si="74"/>
        <v>0</v>
      </c>
      <c r="BK85" s="145" t="b">
        <f t="shared" si="75"/>
        <v>0</v>
      </c>
      <c r="BL85" s="216" t="b">
        <f t="shared" si="76"/>
        <v>0</v>
      </c>
      <c r="BM85" s="217" t="str">
        <f t="shared" si="54"/>
        <v/>
      </c>
      <c r="BN85" s="146" t="str">
        <f t="shared" si="55"/>
        <v/>
      </c>
      <c r="BO85" s="147" t="str">
        <f t="shared" si="56"/>
        <v/>
      </c>
      <c r="BP85" s="148" t="str">
        <f t="shared" si="57"/>
        <v/>
      </c>
      <c r="BT85" s="50">
        <f t="shared" si="78"/>
        <v>62</v>
      </c>
      <c r="BU85" s="50" t="str">
        <f t="shared" si="25"/>
        <v>-</v>
      </c>
      <c r="BW85" s="340"/>
      <c r="BX85" s="333"/>
      <c r="BY85" s="333"/>
      <c r="BZ85" s="333"/>
      <c r="CA85" s="333"/>
      <c r="CB85" s="333"/>
      <c r="CC85" s="333"/>
      <c r="CD85" s="333"/>
      <c r="CE85" s="333"/>
      <c r="CF85" s="333"/>
      <c r="CG85" s="354">
        <f t="shared" si="26"/>
        <v>62</v>
      </c>
      <c r="CH85" s="613">
        <f t="shared" si="27"/>
        <v>0</v>
      </c>
      <c r="CI85" s="613">
        <f t="shared" si="28"/>
        <v>0</v>
      </c>
      <c r="CJ85" s="614" t="str">
        <f t="shared" si="29"/>
        <v/>
      </c>
      <c r="CK85" s="615" t="str">
        <f t="shared" si="30"/>
        <v/>
      </c>
      <c r="CL85" s="610" t="str">
        <f>IF(ISBLANK(H85),"",IF(AND(ISNUMBER(F85),ISNUMBER(G85),ISNUMBER(H85)),ROUND(F85/(H85*G85),2),ROUND(F85/(VALUE(LEFT(H85,SUM(LEN(H85)-LEN(SUBSTITUTE(H85,{"0","1","2","3","4","5","6","7","8","9","."},"")))))*G85),2)))</f>
        <v/>
      </c>
      <c r="CM85" s="616" t="str">
        <f t="shared" si="58"/>
        <v/>
      </c>
      <c r="CN85" s="616" t="str">
        <f>IF(ISNUMBER(P85),MAX('Adjustment factors'!$S$16,(0.2+0.8*P85)),IF(ISTEXT(N85),VLOOKUP(N85,Afactors,2,FALSE),""))</f>
        <v/>
      </c>
      <c r="CO85" s="616" t="str">
        <f>IF(ISNUMBER(S85),MAX('Adjustment factors'!$S$16,0.2+0.8*S85),IF(ISTEXT(Q85),VLOOKUP(Q85,Afactors,2,FALSE),""))</f>
        <v/>
      </c>
      <c r="CP85" s="611" t="str">
        <f t="shared" si="59"/>
        <v/>
      </c>
      <c r="CQ85" s="612" t="str">
        <f t="shared" si="60"/>
        <v/>
      </c>
      <c r="CR85" s="340"/>
      <c r="CS85" s="340"/>
      <c r="CT85" s="340"/>
      <c r="CU85" s="340"/>
      <c r="CV85" s="333"/>
      <c r="CW85" s="333"/>
      <c r="CX85" s="333"/>
      <c r="CY85" s="333"/>
      <c r="DA85" s="313" t="str">
        <f t="shared" si="31"/>
        <v>OK</v>
      </c>
      <c r="DB85" s="313" t="str">
        <f t="shared" si="32"/>
        <v>OK</v>
      </c>
      <c r="DC85" s="313" t="str">
        <f t="shared" si="33"/>
        <v>OK</v>
      </c>
      <c r="DD85" s="313" t="str">
        <f t="shared" si="34"/>
        <v>OK</v>
      </c>
      <c r="DE85" s="153" t="str">
        <f t="shared" si="35"/>
        <v>OK</v>
      </c>
      <c r="DF85" s="314" t="str">
        <f t="shared" si="36"/>
        <v>OK</v>
      </c>
      <c r="DG85" s="482" t="str">
        <f t="shared" si="61"/>
        <v>OK</v>
      </c>
      <c r="DH85" s="482" t="str">
        <f>IF(OR(AND(T85='Adjustment factors'!$R$28,'Class 3, 5-9'!U85='Adjustment factors'!$R$29),AND('Class 3, 5-9'!T85='Adjustment factors'!$R$29,'Class 3, 5-9'!U85='Adjustment factors'!$R$28)),"Invalid combination of adjustment factors",IF(AND(T85=U85,NOT(ISBLANK(T85)),NOT(ISBLANK(U85))),"Same colour factor selected twice","OK"))</f>
        <v>OK</v>
      </c>
      <c r="DI85" s="313" t="str">
        <f t="shared" si="37"/>
        <v>OK</v>
      </c>
      <c r="DJ85" s="153" t="str">
        <f t="shared" si="62"/>
        <v>OK</v>
      </c>
      <c r="DK85" s="153" t="str">
        <f t="shared" si="38"/>
        <v>OK</v>
      </c>
      <c r="DL85" s="313" t="str">
        <f t="shared" si="39"/>
        <v>OK</v>
      </c>
      <c r="DM85" s="153" t="str">
        <f t="shared" si="40"/>
        <v>OK</v>
      </c>
      <c r="DN85" s="153" t="str">
        <f t="shared" si="63"/>
        <v>OK</v>
      </c>
      <c r="DO85" s="154" t="str">
        <f t="shared" si="64"/>
        <v>OK</v>
      </c>
      <c r="DP85" s="153" t="str">
        <f t="shared" si="41"/>
        <v>OK</v>
      </c>
      <c r="DQ85" s="313" t="str">
        <f t="shared" si="42"/>
        <v>OK</v>
      </c>
      <c r="DR85" s="153" t="str">
        <f t="shared" si="65"/>
        <v>OK</v>
      </c>
      <c r="DS85" s="153" t="str">
        <f t="shared" si="43"/>
        <v>OK</v>
      </c>
      <c r="DT85" s="313" t="str">
        <f t="shared" si="79"/>
        <v>OK</v>
      </c>
      <c r="DU85" s="153" t="str">
        <f t="shared" si="45"/>
        <v>OK</v>
      </c>
      <c r="DV85" s="153" t="str">
        <f t="shared" si="66"/>
        <v>OK</v>
      </c>
      <c r="DW85" s="154" t="str">
        <f t="shared" si="67"/>
        <v>OK</v>
      </c>
      <c r="DX85" s="157">
        <f t="shared" si="68"/>
        <v>0</v>
      </c>
      <c r="DY85" s="156" t="str">
        <f t="shared" si="69"/>
        <v>OK</v>
      </c>
    </row>
    <row r="86" spans="1:129" ht="13" hidden="1" x14ac:dyDescent="0.3">
      <c r="A86" s="333"/>
      <c r="B86" s="333"/>
      <c r="C86" s="332" t="str">
        <f t="shared" si="46"/>
        <v>-</v>
      </c>
      <c r="D86" s="584">
        <f t="shared" si="77"/>
        <v>63</v>
      </c>
      <c r="E86" s="585"/>
      <c r="F86" s="586"/>
      <c r="G86" s="600"/>
      <c r="H86" s="587"/>
      <c r="I86" s="601"/>
      <c r="J86" s="585"/>
      <c r="K86" s="617"/>
      <c r="L86" s="602"/>
      <c r="M86" s="603"/>
      <c r="N86" s="588"/>
      <c r="O86" s="604"/>
      <c r="P86" s="605"/>
      <c r="Q86" s="588"/>
      <c r="R86" s="604"/>
      <c r="S86" s="605"/>
      <c r="T86" s="606"/>
      <c r="U86" s="606"/>
      <c r="V86" s="429" t="str">
        <f t="shared" si="0"/>
        <v/>
      </c>
      <c r="W86" s="430" t="str">
        <f t="shared" si="47"/>
        <v/>
      </c>
      <c r="X86" s="66" t="str">
        <f>IF(AND(ISNUMBER(P86),N86=FixedDim),MAX('Adjustment factors'!$S$16,0.2+0.8*P86),IF(ISTEXT(N86),VLOOKUP(N86,Afactors,2,TRUE),""))</f>
        <v/>
      </c>
      <c r="Y86" s="17" t="str">
        <f>IF(AND(ISNUMBER(S86),Q86=FixedDim),MAX('Adjustment factors'!$S$16,0.2+0.8*S86),IF(ISTEXT(Q86),VLOOKUP(Q86,Afactors,2,TRUE),""))</f>
        <v/>
      </c>
      <c r="Z86" s="297" t="str">
        <f>IF(ISBLANK(T86),"",VLOOKUP(T86,'Adjustment factors'!$R$27:$S$30,2,TRUE))</f>
        <v/>
      </c>
      <c r="AA86" s="297" t="str">
        <f>IF(ISBLANK(U86),"",VLOOKUP(U86,'Adjustment factors'!$R$27:$S$30,2,TRUE))</f>
        <v/>
      </c>
      <c r="AB86" s="480">
        <f t="shared" si="48"/>
        <v>1</v>
      </c>
      <c r="AC86" s="18" t="b">
        <f t="shared" si="1"/>
        <v>0</v>
      </c>
      <c r="AD86" s="18" t="b">
        <f t="shared" si="2"/>
        <v>0</v>
      </c>
      <c r="AE86" s="18" t="b">
        <f t="shared" si="70"/>
        <v>0</v>
      </c>
      <c r="AF86" s="17" t="str">
        <f t="shared" si="3"/>
        <v/>
      </c>
      <c r="AG86" s="18" t="str">
        <f t="shared" si="4"/>
        <v/>
      </c>
      <c r="AH86" s="17" t="str">
        <f t="shared" si="71"/>
        <v/>
      </c>
      <c r="AI86" s="297" t="e">
        <f t="shared" si="49"/>
        <v>#VALUE!</v>
      </c>
      <c r="AJ86" s="79" t="e">
        <f t="shared" si="5"/>
        <v>#VALUE!</v>
      </c>
      <c r="AK86" s="17" t="str">
        <f t="shared" si="72"/>
        <v/>
      </c>
      <c r="AL86" s="80" t="e">
        <f t="shared" si="6"/>
        <v>#VALUE!</v>
      </c>
      <c r="AM86" s="139" t="b">
        <f t="shared" si="7"/>
        <v>1</v>
      </c>
      <c r="AN86" s="139" t="b">
        <f>AND(COUNTA(E86)&gt;0,ISNUMBER(F86),OR(COUNT(G86:H86)=0,COUNT(G86:H86)=2,AND(ISNUMBER(G86),ISNUMBER(VALUE(LEFT(H86,SUM(LEN(H86)-LEN(SUBSTITUTE(H86,{"0","1","2","3","4","5","6","7","8","9","."},"")))))))),ISNUMBER(I86),ISTEXT(J86))</f>
        <v>0</v>
      </c>
      <c r="AO86" s="19" t="b">
        <f t="shared" si="8"/>
        <v>0</v>
      </c>
      <c r="AP86" s="19" t="b">
        <f t="shared" si="9"/>
        <v>1</v>
      </c>
      <c r="AQ86" s="19" t="b">
        <f>IF(AND(COUNTBLANK(E86:J86)=6,OR(AN87:AN$523)),NOT(AN86))</f>
        <v>0</v>
      </c>
      <c r="AR86" s="19" t="str">
        <f t="shared" si="10"/>
        <v/>
      </c>
      <c r="AS86" s="19" t="b">
        <f t="shared" si="11"/>
        <v>1</v>
      </c>
      <c r="AT86" s="19" t="str">
        <f t="shared" si="12"/>
        <v/>
      </c>
      <c r="AU86" s="19" t="b">
        <f t="shared" si="13"/>
        <v>1</v>
      </c>
      <c r="AV86" s="140" t="str">
        <f t="shared" si="50"/>
        <v/>
      </c>
      <c r="AW86" s="19" t="str">
        <f t="shared" si="14"/>
        <v/>
      </c>
      <c r="AX86" s="81">
        <f t="shared" si="15"/>
        <v>0</v>
      </c>
      <c r="AY86" s="81" t="str">
        <f t="shared" si="16"/>
        <v/>
      </c>
      <c r="AZ86" s="307" t="str">
        <f t="shared" si="51"/>
        <v/>
      </c>
      <c r="BA86" s="281" t="str">
        <f t="shared" si="52"/>
        <v/>
      </c>
      <c r="BB86" s="281" t="str">
        <f t="shared" si="53"/>
        <v/>
      </c>
      <c r="BC86" s="953"/>
      <c r="BD86" s="955"/>
      <c r="BE86" s="219" t="str">
        <f t="shared" si="17"/>
        <v>n/a</v>
      </c>
      <c r="BF86" s="215" t="b">
        <f t="shared" si="18"/>
        <v>0</v>
      </c>
      <c r="BG86" s="145" t="b">
        <f t="shared" si="19"/>
        <v>0</v>
      </c>
      <c r="BH86" s="145" t="b">
        <f t="shared" si="20"/>
        <v>0</v>
      </c>
      <c r="BI86" s="216" t="b">
        <f t="shared" si="21"/>
        <v>0</v>
      </c>
      <c r="BJ86" s="215" t="b">
        <f t="shared" si="74"/>
        <v>0</v>
      </c>
      <c r="BK86" s="145" t="b">
        <f t="shared" si="75"/>
        <v>0</v>
      </c>
      <c r="BL86" s="216" t="b">
        <f t="shared" si="76"/>
        <v>0</v>
      </c>
      <c r="BM86" s="217" t="str">
        <f t="shared" si="54"/>
        <v/>
      </c>
      <c r="BN86" s="146" t="str">
        <f t="shared" si="55"/>
        <v/>
      </c>
      <c r="BO86" s="147" t="str">
        <f t="shared" si="56"/>
        <v/>
      </c>
      <c r="BP86" s="148" t="str">
        <f t="shared" si="57"/>
        <v/>
      </c>
      <c r="BT86" s="50">
        <f t="shared" si="78"/>
        <v>63</v>
      </c>
      <c r="BU86" s="50" t="str">
        <f t="shared" si="25"/>
        <v>-</v>
      </c>
      <c r="BW86" s="340"/>
      <c r="BX86" s="333"/>
      <c r="BY86" s="333"/>
      <c r="BZ86" s="333"/>
      <c r="CA86" s="333"/>
      <c r="CB86" s="333"/>
      <c r="CC86" s="333"/>
      <c r="CD86" s="333"/>
      <c r="CE86" s="333"/>
      <c r="CF86" s="333"/>
      <c r="CG86" s="354">
        <f t="shared" si="26"/>
        <v>63</v>
      </c>
      <c r="CH86" s="613">
        <f t="shared" si="27"/>
        <v>0</v>
      </c>
      <c r="CI86" s="613">
        <f t="shared" si="28"/>
        <v>0</v>
      </c>
      <c r="CJ86" s="614" t="str">
        <f t="shared" si="29"/>
        <v/>
      </c>
      <c r="CK86" s="615" t="str">
        <f t="shared" si="30"/>
        <v/>
      </c>
      <c r="CL86" s="610" t="str">
        <f>IF(ISBLANK(H86),"",IF(AND(ISNUMBER(F86),ISNUMBER(G86),ISNUMBER(H86)),ROUND(F86/(H86*G86),2),ROUND(F86/(VALUE(LEFT(H86,SUM(LEN(H86)-LEN(SUBSTITUTE(H86,{"0","1","2","3","4","5","6","7","8","9","."},"")))))*G86),2)))</f>
        <v/>
      </c>
      <c r="CM86" s="616" t="str">
        <f t="shared" si="58"/>
        <v/>
      </c>
      <c r="CN86" s="616" t="str">
        <f>IF(ISNUMBER(P86),MAX('Adjustment factors'!$S$16,(0.2+0.8*P86)),IF(ISTEXT(N86),VLOOKUP(N86,Afactors,2,FALSE),""))</f>
        <v/>
      </c>
      <c r="CO86" s="616" t="str">
        <f>IF(ISNUMBER(S86),MAX('Adjustment factors'!$S$16,0.2+0.8*S86),IF(ISTEXT(Q86),VLOOKUP(Q86,Afactors,2,FALSE),""))</f>
        <v/>
      </c>
      <c r="CP86" s="611" t="str">
        <f t="shared" si="59"/>
        <v/>
      </c>
      <c r="CQ86" s="612" t="str">
        <f t="shared" si="60"/>
        <v/>
      </c>
      <c r="CR86" s="340"/>
      <c r="CS86" s="340"/>
      <c r="CT86" s="340"/>
      <c r="CU86" s="340"/>
      <c r="CV86" s="333"/>
      <c r="CW86" s="333"/>
      <c r="CX86" s="333"/>
      <c r="CY86" s="333"/>
      <c r="DA86" s="313" t="str">
        <f t="shared" si="31"/>
        <v>OK</v>
      </c>
      <c r="DB86" s="313" t="str">
        <f t="shared" si="32"/>
        <v>OK</v>
      </c>
      <c r="DC86" s="313" t="str">
        <f t="shared" si="33"/>
        <v>OK</v>
      </c>
      <c r="DD86" s="313" t="str">
        <f t="shared" si="34"/>
        <v>OK</v>
      </c>
      <c r="DE86" s="153" t="str">
        <f t="shared" si="35"/>
        <v>OK</v>
      </c>
      <c r="DF86" s="314" t="str">
        <f t="shared" si="36"/>
        <v>OK</v>
      </c>
      <c r="DG86" s="482" t="str">
        <f t="shared" si="61"/>
        <v>OK</v>
      </c>
      <c r="DH86" s="482" t="str">
        <f>IF(OR(AND(T86='Adjustment factors'!$R$28,'Class 3, 5-9'!U86='Adjustment factors'!$R$29),AND('Class 3, 5-9'!T86='Adjustment factors'!$R$29,'Class 3, 5-9'!U86='Adjustment factors'!$R$28)),"Invalid combination of adjustment factors",IF(AND(T86=U86,NOT(ISBLANK(T86)),NOT(ISBLANK(U86))),"Same colour factor selected twice","OK"))</f>
        <v>OK</v>
      </c>
      <c r="DI86" s="313" t="str">
        <f t="shared" si="37"/>
        <v>OK</v>
      </c>
      <c r="DJ86" s="153" t="str">
        <f t="shared" si="62"/>
        <v>OK</v>
      </c>
      <c r="DK86" s="153" t="str">
        <f t="shared" si="38"/>
        <v>OK</v>
      </c>
      <c r="DL86" s="313" t="str">
        <f t="shared" si="39"/>
        <v>OK</v>
      </c>
      <c r="DM86" s="153" t="str">
        <f t="shared" si="40"/>
        <v>OK</v>
      </c>
      <c r="DN86" s="153" t="str">
        <f t="shared" si="63"/>
        <v>OK</v>
      </c>
      <c r="DO86" s="154" t="str">
        <f t="shared" si="64"/>
        <v>OK</v>
      </c>
      <c r="DP86" s="153" t="str">
        <f t="shared" si="41"/>
        <v>OK</v>
      </c>
      <c r="DQ86" s="313" t="str">
        <f t="shared" si="42"/>
        <v>OK</v>
      </c>
      <c r="DR86" s="153" t="str">
        <f t="shared" si="65"/>
        <v>OK</v>
      </c>
      <c r="DS86" s="153" t="str">
        <f t="shared" si="43"/>
        <v>OK</v>
      </c>
      <c r="DT86" s="313" t="str">
        <f t="shared" si="79"/>
        <v>OK</v>
      </c>
      <c r="DU86" s="153" t="str">
        <f t="shared" si="45"/>
        <v>OK</v>
      </c>
      <c r="DV86" s="153" t="str">
        <f t="shared" si="66"/>
        <v>OK</v>
      </c>
      <c r="DW86" s="154" t="str">
        <f t="shared" si="67"/>
        <v>OK</v>
      </c>
      <c r="DX86" s="157">
        <f t="shared" si="68"/>
        <v>0</v>
      </c>
      <c r="DY86" s="156" t="str">
        <f t="shared" si="69"/>
        <v>OK</v>
      </c>
    </row>
    <row r="87" spans="1:129" ht="13" hidden="1" x14ac:dyDescent="0.3">
      <c r="A87" s="333"/>
      <c r="B87" s="333"/>
      <c r="C87" s="332" t="str">
        <f t="shared" si="46"/>
        <v>-</v>
      </c>
      <c r="D87" s="584">
        <f t="shared" si="77"/>
        <v>64</v>
      </c>
      <c r="E87" s="585"/>
      <c r="F87" s="586"/>
      <c r="G87" s="600"/>
      <c r="H87" s="587"/>
      <c r="I87" s="601"/>
      <c r="J87" s="585"/>
      <c r="K87" s="617"/>
      <c r="L87" s="602"/>
      <c r="M87" s="603"/>
      <c r="N87" s="588"/>
      <c r="O87" s="604"/>
      <c r="P87" s="605"/>
      <c r="Q87" s="588"/>
      <c r="R87" s="604"/>
      <c r="S87" s="605"/>
      <c r="T87" s="606"/>
      <c r="U87" s="606"/>
      <c r="V87" s="429" t="str">
        <f t="shared" si="0"/>
        <v/>
      </c>
      <c r="W87" s="430" t="str">
        <f t="shared" si="47"/>
        <v/>
      </c>
      <c r="X87" s="66" t="str">
        <f>IF(AND(ISNUMBER(P87),N87=FixedDim),MAX('Adjustment factors'!$S$16,0.2+0.8*P87),IF(ISTEXT(N87),VLOOKUP(N87,Afactors,2,TRUE),""))</f>
        <v/>
      </c>
      <c r="Y87" s="17" t="str">
        <f>IF(AND(ISNUMBER(S87),Q87=FixedDim),MAX('Adjustment factors'!$S$16,0.2+0.8*S87),IF(ISTEXT(Q87),VLOOKUP(Q87,Afactors,2,TRUE),""))</f>
        <v/>
      </c>
      <c r="Z87" s="297" t="str">
        <f>IF(ISBLANK(T87),"",VLOOKUP(T87,'Adjustment factors'!$R$27:$S$30,2,TRUE))</f>
        <v/>
      </c>
      <c r="AA87" s="297" t="str">
        <f>IF(ISBLANK(U87),"",VLOOKUP(U87,'Adjustment factors'!$R$27:$S$30,2,TRUE))</f>
        <v/>
      </c>
      <c r="AB87" s="480">
        <f t="shared" si="48"/>
        <v>1</v>
      </c>
      <c r="AC87" s="18" t="b">
        <f t="shared" si="1"/>
        <v>0</v>
      </c>
      <c r="AD87" s="18" t="b">
        <f t="shared" si="2"/>
        <v>0</v>
      </c>
      <c r="AE87" s="18" t="b">
        <f t="shared" si="70"/>
        <v>0</v>
      </c>
      <c r="AF87" s="17" t="str">
        <f t="shared" si="3"/>
        <v/>
      </c>
      <c r="AG87" s="18" t="str">
        <f t="shared" si="4"/>
        <v/>
      </c>
      <c r="AH87" s="17" t="str">
        <f t="shared" si="71"/>
        <v/>
      </c>
      <c r="AI87" s="297" t="e">
        <f t="shared" si="49"/>
        <v>#VALUE!</v>
      </c>
      <c r="AJ87" s="79" t="e">
        <f t="shared" si="5"/>
        <v>#VALUE!</v>
      </c>
      <c r="AK87" s="17" t="str">
        <f t="shared" si="72"/>
        <v/>
      </c>
      <c r="AL87" s="80" t="e">
        <f t="shared" si="6"/>
        <v>#VALUE!</v>
      </c>
      <c r="AM87" s="139" t="b">
        <f t="shared" si="7"/>
        <v>1</v>
      </c>
      <c r="AN87" s="139" t="b">
        <f>AND(COUNTA(E87)&gt;0,ISNUMBER(F87),OR(COUNT(G87:H87)=0,COUNT(G87:H87)=2,AND(ISNUMBER(G87),ISNUMBER(VALUE(LEFT(H87,SUM(LEN(H87)-LEN(SUBSTITUTE(H87,{"0","1","2","3","4","5","6","7","8","9","."},"")))))))),ISNUMBER(I87),ISTEXT(J87))</f>
        <v>0</v>
      </c>
      <c r="AO87" s="19" t="b">
        <f t="shared" si="8"/>
        <v>0</v>
      </c>
      <c r="AP87" s="19" t="b">
        <f t="shared" si="9"/>
        <v>1</v>
      </c>
      <c r="AQ87" s="19" t="b">
        <f>IF(AND(COUNTBLANK(E87:J87)=6,OR(AN88:AN$523)),NOT(AN87))</f>
        <v>0</v>
      </c>
      <c r="AR87" s="19" t="str">
        <f t="shared" si="10"/>
        <v/>
      </c>
      <c r="AS87" s="19" t="b">
        <f t="shared" si="11"/>
        <v>1</v>
      </c>
      <c r="AT87" s="19" t="str">
        <f t="shared" si="12"/>
        <v/>
      </c>
      <c r="AU87" s="19" t="b">
        <f t="shared" si="13"/>
        <v>1</v>
      </c>
      <c r="AV87" s="140" t="str">
        <f t="shared" si="50"/>
        <v/>
      </c>
      <c r="AW87" s="19" t="str">
        <f t="shared" si="14"/>
        <v/>
      </c>
      <c r="AX87" s="81">
        <f t="shared" si="15"/>
        <v>0</v>
      </c>
      <c r="AY87" s="81" t="str">
        <f t="shared" si="16"/>
        <v/>
      </c>
      <c r="AZ87" s="307" t="str">
        <f t="shared" si="51"/>
        <v/>
      </c>
      <c r="BA87" s="281" t="str">
        <f t="shared" si="52"/>
        <v/>
      </c>
      <c r="BB87" s="281" t="str">
        <f t="shared" si="53"/>
        <v/>
      </c>
      <c r="BC87" s="953"/>
      <c r="BD87" s="955"/>
      <c r="BE87" s="219" t="str">
        <f t="shared" si="17"/>
        <v>n/a</v>
      </c>
      <c r="BF87" s="215" t="b">
        <f t="shared" si="18"/>
        <v>0</v>
      </c>
      <c r="BG87" s="145" t="b">
        <f t="shared" si="19"/>
        <v>0</v>
      </c>
      <c r="BH87" s="145" t="b">
        <f t="shared" si="20"/>
        <v>0</v>
      </c>
      <c r="BI87" s="216" t="b">
        <f t="shared" si="21"/>
        <v>0</v>
      </c>
      <c r="BJ87" s="215" t="b">
        <f t="shared" si="74"/>
        <v>0</v>
      </c>
      <c r="BK87" s="145" t="b">
        <f t="shared" si="75"/>
        <v>0</v>
      </c>
      <c r="BL87" s="216" t="b">
        <f t="shared" si="76"/>
        <v>0</v>
      </c>
      <c r="BM87" s="217" t="str">
        <f t="shared" si="54"/>
        <v/>
      </c>
      <c r="BN87" s="146" t="str">
        <f t="shared" si="55"/>
        <v/>
      </c>
      <c r="BO87" s="147" t="str">
        <f t="shared" si="56"/>
        <v/>
      </c>
      <c r="BP87" s="148" t="str">
        <f t="shared" si="57"/>
        <v/>
      </c>
      <c r="BT87" s="50">
        <f t="shared" si="78"/>
        <v>64</v>
      </c>
      <c r="BU87" s="50" t="str">
        <f t="shared" si="25"/>
        <v>-</v>
      </c>
      <c r="BW87" s="340"/>
      <c r="BX87" s="333"/>
      <c r="BY87" s="333"/>
      <c r="BZ87" s="333"/>
      <c r="CA87" s="333"/>
      <c r="CB87" s="333"/>
      <c r="CC87" s="333"/>
      <c r="CD87" s="333"/>
      <c r="CE87" s="333"/>
      <c r="CF87" s="333"/>
      <c r="CG87" s="354">
        <f t="shared" si="26"/>
        <v>64</v>
      </c>
      <c r="CH87" s="613">
        <f t="shared" si="27"/>
        <v>0</v>
      </c>
      <c r="CI87" s="613">
        <f t="shared" si="28"/>
        <v>0</v>
      </c>
      <c r="CJ87" s="614" t="str">
        <f t="shared" si="29"/>
        <v/>
      </c>
      <c r="CK87" s="615" t="str">
        <f t="shared" si="30"/>
        <v/>
      </c>
      <c r="CL87" s="610" t="str">
        <f>IF(ISBLANK(H87),"",IF(AND(ISNUMBER(F87),ISNUMBER(G87),ISNUMBER(H87)),ROUND(F87/(H87*G87),2),ROUND(F87/(VALUE(LEFT(H87,SUM(LEN(H87)-LEN(SUBSTITUTE(H87,{"0","1","2","3","4","5","6","7","8","9","."},"")))))*G87),2)))</f>
        <v/>
      </c>
      <c r="CM87" s="616" t="str">
        <f t="shared" si="58"/>
        <v/>
      </c>
      <c r="CN87" s="616" t="str">
        <f>IF(ISNUMBER(P87),MAX('Adjustment factors'!$S$16,(0.2+0.8*P87)),IF(ISTEXT(N87),VLOOKUP(N87,Afactors,2,FALSE),""))</f>
        <v/>
      </c>
      <c r="CO87" s="616" t="str">
        <f>IF(ISNUMBER(S87),MAX('Adjustment factors'!$S$16,0.2+0.8*S87),IF(ISTEXT(Q87),VLOOKUP(Q87,Afactors,2,FALSE),""))</f>
        <v/>
      </c>
      <c r="CP87" s="611" t="str">
        <f t="shared" si="59"/>
        <v/>
      </c>
      <c r="CQ87" s="612" t="str">
        <f t="shared" si="60"/>
        <v/>
      </c>
      <c r="CR87" s="340"/>
      <c r="CS87" s="340"/>
      <c r="CT87" s="340"/>
      <c r="CU87" s="340"/>
      <c r="CV87" s="333"/>
      <c r="CW87" s="333"/>
      <c r="CX87" s="333"/>
      <c r="CY87" s="333"/>
      <c r="DA87" s="313" t="str">
        <f t="shared" si="31"/>
        <v>OK</v>
      </c>
      <c r="DB87" s="313" t="str">
        <f t="shared" si="32"/>
        <v>OK</v>
      </c>
      <c r="DC87" s="313" t="str">
        <f t="shared" si="33"/>
        <v>OK</v>
      </c>
      <c r="DD87" s="313" t="str">
        <f t="shared" si="34"/>
        <v>OK</v>
      </c>
      <c r="DE87" s="153" t="str">
        <f t="shared" si="35"/>
        <v>OK</v>
      </c>
      <c r="DF87" s="314" t="str">
        <f t="shared" si="36"/>
        <v>OK</v>
      </c>
      <c r="DG87" s="482" t="str">
        <f t="shared" si="61"/>
        <v>OK</v>
      </c>
      <c r="DH87" s="482" t="str">
        <f>IF(OR(AND(T87='Adjustment factors'!$R$28,'Class 3, 5-9'!U87='Adjustment factors'!$R$29),AND('Class 3, 5-9'!T87='Adjustment factors'!$R$29,'Class 3, 5-9'!U87='Adjustment factors'!$R$28)),"Invalid combination of adjustment factors",IF(AND(T87=U87,NOT(ISBLANK(T87)),NOT(ISBLANK(U87))),"Same colour factor selected twice","OK"))</f>
        <v>OK</v>
      </c>
      <c r="DI87" s="313" t="str">
        <f t="shared" si="37"/>
        <v>OK</v>
      </c>
      <c r="DJ87" s="153" t="str">
        <f t="shared" si="62"/>
        <v>OK</v>
      </c>
      <c r="DK87" s="153" t="str">
        <f t="shared" si="38"/>
        <v>OK</v>
      </c>
      <c r="DL87" s="313" t="str">
        <f t="shared" si="39"/>
        <v>OK</v>
      </c>
      <c r="DM87" s="153" t="str">
        <f t="shared" si="40"/>
        <v>OK</v>
      </c>
      <c r="DN87" s="153" t="str">
        <f t="shared" si="63"/>
        <v>OK</v>
      </c>
      <c r="DO87" s="154" t="str">
        <f t="shared" si="64"/>
        <v>OK</v>
      </c>
      <c r="DP87" s="153" t="str">
        <f t="shared" si="41"/>
        <v>OK</v>
      </c>
      <c r="DQ87" s="313" t="str">
        <f t="shared" si="42"/>
        <v>OK</v>
      </c>
      <c r="DR87" s="153" t="str">
        <f t="shared" si="65"/>
        <v>OK</v>
      </c>
      <c r="DS87" s="153" t="str">
        <f t="shared" si="43"/>
        <v>OK</v>
      </c>
      <c r="DT87" s="313" t="str">
        <f t="shared" si="79"/>
        <v>OK</v>
      </c>
      <c r="DU87" s="153" t="str">
        <f t="shared" si="45"/>
        <v>OK</v>
      </c>
      <c r="DV87" s="153" t="str">
        <f t="shared" si="66"/>
        <v>OK</v>
      </c>
      <c r="DW87" s="154" t="str">
        <f t="shared" si="67"/>
        <v>OK</v>
      </c>
      <c r="DX87" s="157">
        <f t="shared" si="68"/>
        <v>0</v>
      </c>
      <c r="DY87" s="156" t="str">
        <f t="shared" si="69"/>
        <v>OK</v>
      </c>
    </row>
    <row r="88" spans="1:129" ht="13" hidden="1" x14ac:dyDescent="0.3">
      <c r="A88" s="333"/>
      <c r="B88" s="333"/>
      <c r="C88" s="332" t="str">
        <f t="shared" si="46"/>
        <v>-</v>
      </c>
      <c r="D88" s="584">
        <f t="shared" si="77"/>
        <v>65</v>
      </c>
      <c r="E88" s="585"/>
      <c r="F88" s="586"/>
      <c r="G88" s="600"/>
      <c r="H88" s="587"/>
      <c r="I88" s="601"/>
      <c r="J88" s="585"/>
      <c r="K88" s="617"/>
      <c r="L88" s="602"/>
      <c r="M88" s="603"/>
      <c r="N88" s="588"/>
      <c r="O88" s="604"/>
      <c r="P88" s="605"/>
      <c r="Q88" s="588"/>
      <c r="R88" s="604"/>
      <c r="S88" s="605"/>
      <c r="T88" s="606"/>
      <c r="U88" s="606"/>
      <c r="V88" s="429" t="str">
        <f t="shared" ref="V88:W123" si="80">AV88</f>
        <v/>
      </c>
      <c r="W88" s="430" t="str">
        <f t="shared" si="47"/>
        <v/>
      </c>
      <c r="X88" s="66" t="str">
        <f>IF(AND(ISNUMBER(P88),N88=FixedDim),MAX('Adjustment factors'!$S$16,0.2+0.8*P88),IF(ISTEXT(N88),VLOOKUP(N88,Afactors,2,TRUE),""))</f>
        <v/>
      </c>
      <c r="Y88" s="17" t="str">
        <f>IF(AND(ISNUMBER(S88),Q88=FixedDim),MAX('Adjustment factors'!$S$16,0.2+0.8*S88),IF(ISTEXT(Q88),VLOOKUP(Q88,Afactors,2,TRUE),""))</f>
        <v/>
      </c>
      <c r="Z88" s="297" t="str">
        <f>IF(ISBLANK(T88),"",VLOOKUP(T88,'Adjustment factors'!$R$27:$S$30,2,TRUE))</f>
        <v/>
      </c>
      <c r="AA88" s="297" t="str">
        <f>IF(ISBLANK(U88),"",VLOOKUP(U88,'Adjustment factors'!$R$27:$S$30,2,TRUE))</f>
        <v/>
      </c>
      <c r="AB88" s="480">
        <f t="shared" si="48"/>
        <v>1</v>
      </c>
      <c r="AC88" s="18" t="b">
        <f t="shared" ref="AC88:AC151" si="81">OR(ISNUMBER(X88),ISNUMBER(Y88))</f>
        <v>0</v>
      </c>
      <c r="AD88" s="18" t="b">
        <f t="shared" ref="AD88:AD151" si="82">AND(ISNUMBER(X88),ISNUMBER(Y88))</f>
        <v>0</v>
      </c>
      <c r="AE88" s="18" t="b">
        <f t="shared" si="70"/>
        <v>0</v>
      </c>
      <c r="AF88" s="17" t="str">
        <f t="shared" ref="AF88:AF151" si="83">IF(OR(ISNUMBER(X88),ISNUMBER(Y88)),SMALL(X88:Y88,1),"")</f>
        <v/>
      </c>
      <c r="AG88" s="18" t="str">
        <f t="shared" ref="AG88:AG151" si="84">IF(AD88,SMALL(X88:Y88,2),"")</f>
        <v/>
      </c>
      <c r="AH88" s="17" t="str">
        <f t="shared" ref="AH88:AH124" si="85">IF(AE88,CK88/CM88,"")</f>
        <v/>
      </c>
      <c r="AI88" s="297" t="e">
        <f t="shared" si="49"/>
        <v>#VALUE!</v>
      </c>
      <c r="AJ88" s="79" t="e">
        <f t="shared" ref="AJ88:AJ151" si="86">IF(AND(AC88,AE88,AR88),AI88/X88,IF(AE88,AI88,IF(AND(AC88,AR88),AI88/X88,IF(AND(NOT(AC88),NOT(AE88)),CK88/AB88,""))))</f>
        <v>#VALUE!</v>
      </c>
      <c r="AK88" s="17" t="str">
        <f t="shared" si="72"/>
        <v/>
      </c>
      <c r="AL88" s="80" t="e">
        <f t="shared" ref="AL88:AL151" si="87">IF(AND(AD88,AE88),IF(Q88=FixedDim,IF(ISNUMBER(S88),AI88/AK88,""),AI88/AK88),IF(AND(AD88,Q88=FixedDim,ISNUMBER(S88)),CK88/AK88,IF(AND(AD88,Q88=FixedDim,ISBLANK(S88)),"",CK88/(AK88*AB88))))</f>
        <v>#VALUE!</v>
      </c>
      <c r="AM88" s="139" t="b">
        <f t="shared" ref="AM88:AM151" si="88">OR(AND(NOT(ISBLANK(E88)),AN88),COUNTA(E88:J88)+COUNTA(N88:S88)=0)</f>
        <v>1</v>
      </c>
      <c r="AN88" s="139" t="b">
        <f>AND(COUNTA(E88)&gt;0,ISNUMBER(F88),OR(COUNT(G88:H88)=0,COUNT(G88:H88)=2,AND(ISNUMBER(G88),ISNUMBER(VALUE(LEFT(H88,SUM(LEN(H88)-LEN(SUBSTITUTE(H88,{"0","1","2","3","4","5","6","7","8","9","."},"")))))))),ISNUMBER(I88),ISTEXT(J88))</f>
        <v>0</v>
      </c>
      <c r="AO88" s="19" t="b">
        <f t="shared" ref="AO88:AO151" si="89">NOT(COUNTBLANK(E88:J88)=6)</f>
        <v>0</v>
      </c>
      <c r="AP88" s="19" t="b">
        <f t="shared" ref="AP88:AP151" si="90">COUNTBLANK(E88:J88)=6</f>
        <v>1</v>
      </c>
      <c r="AQ88" s="19" t="b">
        <f>IF(AND(COUNTBLANK(E88:J88)=6,OR(AN89:AN$523)),NOT(AN88))</f>
        <v>0</v>
      </c>
      <c r="AR88" s="19" t="str">
        <f t="shared" ref="AR88:AR151" si="91">IF(COUNTBLANK(N88)&lt;=0,OR(AND(VLOOKUP(N88,Afactors,3,TRUE),NOT(ISNUMBER(O88)),NOT(ISNUMBER(P88))),AND(N88=FixedDim,NOT(ISNUMBER(O88)),(ISNUMBER(P88))),AND(N88=ProgDim,NOT(ISNUMBER(P88)),(ISNUMBER(O88)),O88&gt;=0.75)),IF(AS88,"",FALSE))</f>
        <v/>
      </c>
      <c r="AS88" s="19" t="b">
        <f t="shared" ref="AS88:AS151" si="92">AND(ISBLANK(O88),ISBLANK(P88))</f>
        <v>1</v>
      </c>
      <c r="AT88" s="19" t="str">
        <f t="shared" ref="AT88:AT151" si="93">IF(COUNTBLANK(Q88)&lt;=0,OR(AND(VLOOKUP(Q88,Afactors,3,TRUE),NOT(ISNUMBER(R88)),NOT(ISNUMBER(S88))),AND(Q88=FixedDim,NOT(ISNUMBER(R88)),(ISNUMBER(S88))),AND(Q88=ProgDim,NOT(ISNUMBER(S88)),(ISNUMBER(R88)),R88&gt;=0.75)),IF(AU88,"",FALSE))</f>
        <v/>
      </c>
      <c r="AU88" s="19" t="b">
        <f t="shared" ref="AU88:AU151" si="94">AND(ISBLANK(R88),ISBLANK(S88))</f>
        <v>1</v>
      </c>
      <c r="AV88" s="140" t="str">
        <f t="shared" si="50"/>
        <v/>
      </c>
      <c r="AW88" s="19" t="str">
        <f t="shared" ref="AW88:AW151" si="95">IF(AND(AM88,AN88,AR88,AT88),BP88,"")</f>
        <v/>
      </c>
      <c r="AX88" s="81">
        <f t="shared" ref="AX88:AX151" si="96">I88</f>
        <v>0</v>
      </c>
      <c r="AY88" s="81" t="str">
        <f t="shared" ref="AY88:AY151" si="97">V88</f>
        <v/>
      </c>
      <c r="AZ88" s="307" t="str">
        <f t="shared" si="51"/>
        <v/>
      </c>
      <c r="BA88" s="281" t="str">
        <f t="shared" si="52"/>
        <v/>
      </c>
      <c r="BB88" s="281" t="str">
        <f t="shared" si="53"/>
        <v/>
      </c>
      <c r="BC88" s="953"/>
      <c r="BD88" s="955"/>
      <c r="BE88" s="219" t="str">
        <f t="shared" ref="BE88:BE151" si="98">IF(G88=0,"n/a",G88&gt;=2*PI()*(F88/PI())^0.5)</f>
        <v>n/a</v>
      </c>
      <c r="BF88" s="215" t="b">
        <f t="shared" ref="BF88:BF151" si="99">AND(AM88,AN88,I88&gt;CQ88,Passcheck,InputIssuesOne=0,TopInputsOKOne)</f>
        <v>0</v>
      </c>
      <c r="BG88" s="145" t="b">
        <f t="shared" ref="BG88:BG151" si="100">AND(AM88,AN88,AR88,AT88,I88&lt;=CQ88,Passcheck,InputIssuesOne=0,TopInputsOKOne)</f>
        <v>0</v>
      </c>
      <c r="BH88" s="145" t="b">
        <f t="shared" ref="BH88:BH151" si="101">AND(AM88,AN88,AR88,AT88,I88&gt;CQ88,FailCheck,InputIssuesOne=0,TopInputsOKOne)</f>
        <v>0</v>
      </c>
      <c r="BI88" s="216" t="b">
        <f t="shared" ref="BI88:BI151" si="102">AND(AM88,AN88,I88&lt;=CQ88,InputIssuesOne=0,TopInputsOKOne)</f>
        <v>0</v>
      </c>
      <c r="BJ88" s="215" t="b">
        <f t="shared" ref="BJ88:BJ151" si="103">AND(AM88,AN88,AR88,AT88,Passcheck,InputIssuesOne=0,TopInputsOKOne)</f>
        <v>0</v>
      </c>
      <c r="BK88" s="145" t="b">
        <f t="shared" ref="BK88:BK151" si="104">AND(AM88,AN88,AR88,AT88,FailCheck,InputIssuesOne=0,TopInputsOKOne)</f>
        <v>0</v>
      </c>
      <c r="BL88" s="216" t="b">
        <f t="shared" ref="BL88:BL151" si="105">DX88&gt;0</f>
        <v>0</v>
      </c>
      <c r="BM88" s="217" t="str">
        <f t="shared" si="54"/>
        <v/>
      </c>
      <c r="BN88" s="146" t="str">
        <f t="shared" si="55"/>
        <v/>
      </c>
      <c r="BO88" s="147" t="str">
        <f t="shared" si="56"/>
        <v/>
      </c>
      <c r="BP88" s="148" t="str">
        <f t="shared" si="57"/>
        <v/>
      </c>
      <c r="BT88" s="50">
        <f t="shared" si="78"/>
        <v>65</v>
      </c>
      <c r="BU88" s="50" t="str">
        <f t="shared" ref="BU88:BU128" si="106">IF(RowsPreferredOne&gt;=BT88,RowsPreferredOne,"-")</f>
        <v>-</v>
      </c>
      <c r="BW88" s="340"/>
      <c r="BX88" s="333"/>
      <c r="BY88" s="333"/>
      <c r="BZ88" s="333"/>
      <c r="CA88" s="333"/>
      <c r="CB88" s="333"/>
      <c r="CC88" s="333"/>
      <c r="CD88" s="333"/>
      <c r="CE88" s="333"/>
      <c r="CF88" s="333"/>
      <c r="CG88" s="354">
        <f t="shared" ref="CG88:CG151" si="107">D88</f>
        <v>65</v>
      </c>
      <c r="CH88" s="613">
        <f t="shared" ref="CH88:CH151" si="108">E88</f>
        <v>0</v>
      </c>
      <c r="CI88" s="613">
        <f t="shared" ref="CI88:CI151" si="109">J88</f>
        <v>0</v>
      </c>
      <c r="CJ88" s="614" t="str">
        <f t="shared" ref="CJ88:CJ151" si="110">IF(ISBLANK(J88),"",VLOOKUP(J88,SpaceS1,5,FALSE))</f>
        <v/>
      </c>
      <c r="CK88" s="615" t="str">
        <f t="shared" ref="CK88:CK151" si="111">IF(ISBLANK(J88),"",ROUND(VLOOKUP(J88,SpaceS1,5,FALSE)*F88,0))</f>
        <v/>
      </c>
      <c r="CL88" s="610" t="str">
        <f>IF(ISBLANK(H88),"",IF(AND(ISNUMBER(F88),ISNUMBER(G88),ISNUMBER(H88)),ROUND(F88/(H88*G88),2),ROUND(F88/(VALUE(LEFT(H88,SUM(LEN(H88)-LEN(SUBSTITUTE(H88,{"0","1","2","3","4","5","6","7","8","9","."},"")))))*G88),2)))</f>
        <v/>
      </c>
      <c r="CM88" s="616" t="str">
        <f t="shared" si="58"/>
        <v/>
      </c>
      <c r="CN88" s="616" t="str">
        <f>IF(ISNUMBER(P88),MAX('Adjustment factors'!$S$16,(0.2+0.8*P88)),IF(ISTEXT(N88),VLOOKUP(N88,Afactors,2,FALSE),""))</f>
        <v/>
      </c>
      <c r="CO88" s="616" t="str">
        <f>IF(ISNUMBER(S88),MAX('Adjustment factors'!$S$16,0.2+0.8*S88),IF(ISTEXT(Q88),VLOOKUP(Q88,Afactors,2,FALSE),""))</f>
        <v/>
      </c>
      <c r="CP88" s="611" t="str">
        <f t="shared" si="59"/>
        <v/>
      </c>
      <c r="CQ88" s="612" t="str">
        <f t="shared" si="60"/>
        <v/>
      </c>
      <c r="CR88" s="340"/>
      <c r="CS88" s="340"/>
      <c r="CT88" s="340"/>
      <c r="CU88" s="340"/>
      <c r="CV88" s="333"/>
      <c r="CW88" s="333"/>
      <c r="CX88" s="333"/>
      <c r="CY88" s="333"/>
      <c r="DA88" s="313" t="str">
        <f t="shared" ref="DA88:DA151" si="112">IF(AND(COUNTA(DescriptionOne,ClassificationOne)=2,ISBLANK(E88),COUNTA(F88:J88)+COUNTA(N88:S88)&gt;0),"Enter Description","OK")</f>
        <v>OK</v>
      </c>
      <c r="DB88" s="313" t="str">
        <f t="shared" ref="DB88:DB151" si="113">IF(AND(COUNTA(DescriptionOne,ClassificationOne)=2,COUNTA(E88:J88)+COUNTA(N88:S88)&gt;0,ISBLANK(F88)),"Enter Floor area of the space","OK")</f>
        <v>OK</v>
      </c>
      <c r="DC88" s="313" t="str">
        <f t="shared" ref="DC88:DC151" si="114">IF(AND(COUNTA(DescriptionOne,ClassificationOne)=2,COUNTA(E88:J88)+COUNTA(N88:S88)&gt;0,ISBLANK(G88),H88&gt;0),"Enter Perimeter or clear height","OK")</f>
        <v>OK</v>
      </c>
      <c r="DD88" s="313" t="str">
        <f t="shared" ref="DD88:DD151" si="115">IF(AND(COUNTA(DescriptionOne,ClassificationOne)=2,COUNTA(E88:J88)+COUNTA(N88:S88)&gt;0,G88&gt;0,ISBLANK(H88)),"Enter Floor to ceiling height","OK")</f>
        <v>OK</v>
      </c>
      <c r="DE88" s="153" t="str">
        <f t="shared" ref="DE88:DE151" si="116">IF(AND(COUNTA(DescriptionOne,ClassificationOne)=2,COUNTA(E88:H88)&gt;1,ISBLANK(I88)),"Enter Design Illumination Power","OK")</f>
        <v>OK</v>
      </c>
      <c r="DF88" s="314" t="str">
        <f t="shared" ref="DF88:DF151" si="117">IF(AND(COUNTA(DescriptionOne,ClassificationOne)=2,COUNTA(E88:J88)+COUNTA(N88:S88)&gt;0,ISBLANK(J88)),"Enter Space","OK")</f>
        <v>OK</v>
      </c>
      <c r="DG88" s="482" t="str">
        <f t="shared" si="61"/>
        <v>OK</v>
      </c>
      <c r="DH88" s="482" t="str">
        <f>IF(OR(AND(T88='Adjustment factors'!$R$28,'Class 3, 5-9'!U88='Adjustment factors'!$R$29),AND('Class 3, 5-9'!T88='Adjustment factors'!$R$29,'Class 3, 5-9'!U88='Adjustment factors'!$R$28)),"Invalid combination of adjustment factors",IF(AND(T88=U88,NOT(ISBLANK(T88)),NOT(ISBLANK(U88))),"Same colour factor selected twice","OK"))</f>
        <v>OK</v>
      </c>
      <c r="DI88" s="313" t="str">
        <f t="shared" ref="DI88:DI151" si="118">IF(AND(COUNTA(DescriptionOne,ClassificationOne)=2,COUNTA(E88:J88)+COUNTA(N88:S88)&gt;0,OR(N88=ProgDim),ISBLANK(O88)),"Enter % of floor area controlled","OK")</f>
        <v>OK</v>
      </c>
      <c r="DJ88" s="153" t="str">
        <f t="shared" si="62"/>
        <v>OK</v>
      </c>
      <c r="DK88" s="153" t="str">
        <f t="shared" ref="DK88:DK151" si="119">IF(AND(COUNTA(O88)&gt;0, NOT(OR(N88=ProgDim))), "Adjustment factor is missing", "OK")</f>
        <v>OK</v>
      </c>
      <c r="DL88" s="313" t="str">
        <f t="shared" ref="DL88:DL151" si="120">IF(AND(ISNUMBER(P88),N88&lt;&gt;FixedDim),"Illuminance turndown is only valid for Fixed Dimming","OK")</f>
        <v>OK</v>
      </c>
      <c r="DM88" s="153" t="str">
        <f t="shared" ref="DM88:DM151" si="121">IF(AND(NOT(ISNUMBER(P88)),N88=FixedDim),"Enter an illuminance factor","OK")</f>
        <v>OK</v>
      </c>
      <c r="DN88" s="153" t="str">
        <f t="shared" si="63"/>
        <v>OK</v>
      </c>
      <c r="DO88" s="154" t="str">
        <f t="shared" si="64"/>
        <v>OK</v>
      </c>
      <c r="DP88" s="153" t="str">
        <f t="shared" ref="DP88:DP151" si="122">IF(AND(ISTEXT(Q88),NOT(ISTEXT(N88))),"Adjustment Factor 1 is missing","OK")</f>
        <v>OK</v>
      </c>
      <c r="DQ88" s="313" t="str">
        <f t="shared" ref="DQ88:DQ151" si="123">IF(AND(COUNTA(DescriptionOne,ClassificationOne)=2,COUNTA(E88:J88)+COUNTA(N88:S88)&gt;0,OR(Q88=ProgDim),ISBLANK(R88)),"Enter % of floor area controlled","OK")</f>
        <v>OK</v>
      </c>
      <c r="DR88" s="153" t="str">
        <f t="shared" si="65"/>
        <v>OK</v>
      </c>
      <c r="DS88" s="153" t="str">
        <f t="shared" ref="DS88:DS151" si="124">IF(AND(COUNTA(R88)&gt;0, NOT(OR(Q88=ProgDim))), "Adjustment factor is missing", "OK")</f>
        <v>OK</v>
      </c>
      <c r="DT88" s="313" t="str">
        <f t="shared" si="79"/>
        <v>OK</v>
      </c>
      <c r="DU88" s="153" t="str">
        <f t="shared" ref="DU88:DU151" si="125">IF(AND(NOT(ISNUMBER(S88)),Q88=FixedDim),"Enter an illuminance factor","OK")</f>
        <v>OK</v>
      </c>
      <c r="DV88" s="153" t="str">
        <f t="shared" si="66"/>
        <v>OK</v>
      </c>
      <c r="DW88" s="154" t="str">
        <f t="shared" si="67"/>
        <v>OK</v>
      </c>
      <c r="DX88" s="157">
        <f t="shared" si="68"/>
        <v>0</v>
      </c>
      <c r="DY88" s="156" t="str">
        <f t="shared" si="69"/>
        <v>OK</v>
      </c>
    </row>
    <row r="89" spans="1:129" ht="13" hidden="1" x14ac:dyDescent="0.3">
      <c r="A89" s="333"/>
      <c r="B89" s="333"/>
      <c r="C89" s="332" t="str">
        <f t="shared" ref="C89:C123" si="126">BU89</f>
        <v>-</v>
      </c>
      <c r="D89" s="584">
        <f t="shared" si="77"/>
        <v>66</v>
      </c>
      <c r="E89" s="585"/>
      <c r="F89" s="586"/>
      <c r="G89" s="600"/>
      <c r="H89" s="587"/>
      <c r="I89" s="601"/>
      <c r="J89" s="585"/>
      <c r="K89" s="617"/>
      <c r="L89" s="602"/>
      <c r="M89" s="603"/>
      <c r="N89" s="588"/>
      <c r="O89" s="604"/>
      <c r="P89" s="605"/>
      <c r="Q89" s="588"/>
      <c r="R89" s="604"/>
      <c r="S89" s="605"/>
      <c r="T89" s="606"/>
      <c r="U89" s="606"/>
      <c r="V89" s="429" t="str">
        <f t="shared" si="80"/>
        <v/>
      </c>
      <c r="W89" s="430" t="str">
        <f t="shared" si="80"/>
        <v/>
      </c>
      <c r="X89" s="66" t="str">
        <f>IF(AND(ISNUMBER(P89),N89=FixedDim),MAX('Adjustment factors'!$S$16,0.2+0.8*P89),IF(ISTEXT(N89),VLOOKUP(N89,Afactors,2,TRUE),""))</f>
        <v/>
      </c>
      <c r="Y89" s="17" t="str">
        <f>IF(AND(ISNUMBER(S89),Q89=FixedDim),MAX('Adjustment factors'!$S$16,0.2+0.8*S89),IF(ISTEXT(Q89),VLOOKUP(Q89,Afactors,2,TRUE),""))</f>
        <v/>
      </c>
      <c r="Z89" s="297" t="str">
        <f>IF(ISBLANK(T89),"",VLOOKUP(T89,'Adjustment factors'!$R$27:$S$30,2,TRUE))</f>
        <v/>
      </c>
      <c r="AA89" s="297" t="str">
        <f>IF(ISBLANK(U89),"",VLOOKUP(U89,'Adjustment factors'!$R$27:$S$30,2,TRUE))</f>
        <v/>
      </c>
      <c r="AB89" s="480">
        <f t="shared" ref="AB89:AB152" si="127">IF(Z89="",1,IF(AA89="",Z89,Z89*AA89))</f>
        <v>1</v>
      </c>
      <c r="AC89" s="18" t="b">
        <f t="shared" si="81"/>
        <v>0</v>
      </c>
      <c r="AD89" s="18" t="b">
        <f t="shared" si="82"/>
        <v>0</v>
      </c>
      <c r="AE89" s="18" t="b">
        <f t="shared" ref="AE89:AE123" si="128">ISNUMBER(CM89)</f>
        <v>0</v>
      </c>
      <c r="AF89" s="17" t="str">
        <f t="shared" si="83"/>
        <v/>
      </c>
      <c r="AG89" s="18" t="str">
        <f t="shared" si="84"/>
        <v/>
      </c>
      <c r="AH89" s="17" t="str">
        <f t="shared" si="85"/>
        <v/>
      </c>
      <c r="AI89" s="297" t="e">
        <f t="shared" ref="AI89:AI152" si="129">IF(AND(ISNUMBER(AB89),ISNUMBER(AH89)),AH89/AB89,CK89/AB89)</f>
        <v>#VALUE!</v>
      </c>
      <c r="AJ89" s="79" t="e">
        <f t="shared" si="86"/>
        <v>#VALUE!</v>
      </c>
      <c r="AK89" s="17" t="str">
        <f t="shared" si="72"/>
        <v/>
      </c>
      <c r="AL89" s="80" t="e">
        <f t="shared" si="87"/>
        <v>#VALUE!</v>
      </c>
      <c r="AM89" s="139" t="b">
        <f t="shared" si="88"/>
        <v>1</v>
      </c>
      <c r="AN89" s="139" t="b">
        <f>AND(COUNTA(E89)&gt;0,ISNUMBER(F89),OR(COUNT(G89:H89)=0,COUNT(G89:H89)=2,AND(ISNUMBER(G89),ISNUMBER(VALUE(LEFT(H89,SUM(LEN(H89)-LEN(SUBSTITUTE(H89,{"0","1","2","3","4","5","6","7","8","9","."},"")))))))),ISNUMBER(I89),ISTEXT(J89))</f>
        <v>0</v>
      </c>
      <c r="AO89" s="19" t="b">
        <f t="shared" si="89"/>
        <v>0</v>
      </c>
      <c r="AP89" s="19" t="b">
        <f t="shared" si="90"/>
        <v>1</v>
      </c>
      <c r="AQ89" s="19" t="b">
        <f>IF(AND(COUNTBLANK(E89:J89)=6,OR(AN90:AN$523)),NOT(AN89))</f>
        <v>0</v>
      </c>
      <c r="AR89" s="19" t="str">
        <f t="shared" si="91"/>
        <v/>
      </c>
      <c r="AS89" s="19" t="b">
        <f t="shared" si="92"/>
        <v>1</v>
      </c>
      <c r="AT89" s="19" t="str">
        <f t="shared" si="93"/>
        <v/>
      </c>
      <c r="AU89" s="19" t="b">
        <f t="shared" si="94"/>
        <v>1</v>
      </c>
      <c r="AV89" s="140" t="str">
        <f t="shared" ref="AV89:AV123" si="130">IF(AND(AM89,AN89,AR89,AT89),IF(ISNUMBER(AG89),ROUND(AL89,0),ROUND(AJ89,0)),"")</f>
        <v/>
      </c>
      <c r="AW89" s="19" t="str">
        <f t="shared" si="95"/>
        <v/>
      </c>
      <c r="AX89" s="81">
        <f t="shared" si="96"/>
        <v>0</v>
      </c>
      <c r="AY89" s="81" t="str">
        <f t="shared" si="97"/>
        <v/>
      </c>
      <c r="AZ89" s="307" t="str">
        <f t="shared" ref="AZ89:AZ152" si="131">IF(DA89&lt;&gt;"OK",DA89,IF(DB89&lt;&gt;"OK",DB89,IF(DC89&lt;&gt;"OK",DC89,IF(DD89&lt;&gt;"OK",DD89,IF(DE89&lt;&gt;"OK",DE89,IF(DF89&lt;&gt;"OK",DF89,IF(DG89&lt;&gt;"OK",DG89,IF(DH89&lt;&gt;"OK",DH89,BA89))))))))</f>
        <v/>
      </c>
      <c r="BA89" s="281" t="str">
        <f t="shared" ref="BA89:BA123" si="132">IF(DI89&lt;&gt;"OK",DI89,IF(DJ89&lt;&gt;"OK",DJ89,IF(DK89&lt;&gt;"OK",DK89,IF(DL89&lt;&gt;"OK",DL89,IF(DM89&lt;&gt;"OK",DM89,IF(DN89&lt;&gt;"OK",DN89,IF(DO89&lt;&gt;"OK",DO89,BB89)))))))</f>
        <v/>
      </c>
      <c r="BB89" s="281" t="str">
        <f t="shared" ref="BB89:BB123" si="133">IF(DP89&lt;&gt;"OK",DP89,IF(DQ89&lt;&gt;"OK",DQ89,IF(DR89&lt;&gt;"OK",DR89,IF(DS89&lt;&gt;"OK",DS89,IF(DT89&lt;&gt;"OK",DT89,IF(DU89&lt;&gt;"OK",DU89,IF(DV89&lt;&gt;"OK",DV89,IF(DW89&lt;&gt;"OK",DW89,IF(DY89&lt;&gt;"OK",DY89,"")))))))))</f>
        <v/>
      </c>
      <c r="BC89" s="953"/>
      <c r="BD89" s="955"/>
      <c r="BE89" s="219" t="str">
        <f t="shared" si="98"/>
        <v>n/a</v>
      </c>
      <c r="BF89" s="215" t="b">
        <f t="shared" si="99"/>
        <v>0</v>
      </c>
      <c r="BG89" s="145" t="b">
        <f t="shared" si="100"/>
        <v>0</v>
      </c>
      <c r="BH89" s="145" t="b">
        <f t="shared" si="101"/>
        <v>0</v>
      </c>
      <c r="BI89" s="216" t="b">
        <f t="shared" si="102"/>
        <v>0</v>
      </c>
      <c r="BJ89" s="215" t="b">
        <f t="shared" si="103"/>
        <v>0</v>
      </c>
      <c r="BK89" s="145" t="b">
        <f t="shared" si="104"/>
        <v>0</v>
      </c>
      <c r="BL89" s="216" t="b">
        <f t="shared" si="105"/>
        <v>0</v>
      </c>
      <c r="BM89" s="217" t="str">
        <f t="shared" ref="BM89:BM123" si="134">IF(AN89,AX89/ADIPLone,"")</f>
        <v/>
      </c>
      <c r="BN89" s="146" t="str">
        <f t="shared" ref="BN89:BN123" si="135">IF(AN89,percentage,"")</f>
        <v/>
      </c>
      <c r="BO89" s="147" t="str">
        <f t="shared" ref="BO89:BO123" si="136">IF(AN89,MIPDLONE&gt;=ADIPLone,"")</f>
        <v/>
      </c>
      <c r="BP89" s="148" t="str">
        <f t="shared" ref="BP89:BP123" si="137">IF(AND(AN89,AR89,AT89),TEXT(BM89,"0%")&amp;" of "&amp;TEXT(BN89*100,"General")&amp;"%","")</f>
        <v/>
      </c>
      <c r="BT89" s="50">
        <f t="shared" si="78"/>
        <v>66</v>
      </c>
      <c r="BU89" s="50" t="str">
        <f t="shared" si="106"/>
        <v>-</v>
      </c>
      <c r="BW89" s="340"/>
      <c r="BX89" s="333"/>
      <c r="BY89" s="333"/>
      <c r="BZ89" s="333"/>
      <c r="CA89" s="333"/>
      <c r="CB89" s="333"/>
      <c r="CC89" s="333"/>
      <c r="CD89" s="333"/>
      <c r="CE89" s="333"/>
      <c r="CF89" s="333"/>
      <c r="CG89" s="354">
        <f t="shared" si="107"/>
        <v>66</v>
      </c>
      <c r="CH89" s="613">
        <f t="shared" si="108"/>
        <v>0</v>
      </c>
      <c r="CI89" s="613">
        <f t="shared" si="109"/>
        <v>0</v>
      </c>
      <c r="CJ89" s="614" t="str">
        <f t="shared" si="110"/>
        <v/>
      </c>
      <c r="CK89" s="615" t="str">
        <f t="shared" si="111"/>
        <v/>
      </c>
      <c r="CL89" s="610" t="str">
        <f>IF(ISBLANK(H89),"",IF(AND(ISNUMBER(F89),ISNUMBER(G89),ISNUMBER(H89)),ROUND(F89/(H89*G89),2),ROUND(F89/(VALUE(LEFT(H89,SUM(LEN(H89)-LEN(SUBSTITUTE(H89,{"0","1","2","3","4","5","6","7","8","9","."},"")))))*G89),2)))</f>
        <v/>
      </c>
      <c r="CM89" s="616" t="str">
        <f t="shared" ref="CM89:CM123" si="138">IF(CL89&lt;1.5,ROUND(0.5+CL89/3,2),"")</f>
        <v/>
      </c>
      <c r="CN89" s="616" t="str">
        <f>IF(ISNUMBER(P89),MAX('Adjustment factors'!$S$16,(0.2+0.8*P89)),IF(ISTEXT(N89),VLOOKUP(N89,Afactors,2,FALSE),""))</f>
        <v/>
      </c>
      <c r="CO89" s="616" t="str">
        <f>IF(ISNUMBER(S89),MAX('Adjustment factors'!$S$16,0.2+0.8*S89),IF(ISTEXT(Q89),VLOOKUP(Q89,Afactors,2,FALSE),""))</f>
        <v/>
      </c>
      <c r="CP89" s="611" t="str">
        <f t="shared" ref="CP89:CP152" si="139">IF(AB89&lt;&gt;1,AB89,"")</f>
        <v/>
      </c>
      <c r="CQ89" s="612" t="str">
        <f t="shared" ref="CQ89:CQ152" si="140">IFERROR(IF(AO89=TRUE,IF(ISNUMBER(AG89),ROUND(AL89,0),ROUND(AJ89,0)),""),"")</f>
        <v/>
      </c>
      <c r="CR89" s="340"/>
      <c r="CS89" s="340"/>
      <c r="CT89" s="340"/>
      <c r="CU89" s="340"/>
      <c r="CV89" s="333"/>
      <c r="CW89" s="333"/>
      <c r="CX89" s="333"/>
      <c r="CY89" s="333"/>
      <c r="DA89" s="313" t="str">
        <f t="shared" si="112"/>
        <v>OK</v>
      </c>
      <c r="DB89" s="313" t="str">
        <f t="shared" si="113"/>
        <v>OK</v>
      </c>
      <c r="DC89" s="313" t="str">
        <f t="shared" si="114"/>
        <v>OK</v>
      </c>
      <c r="DD89" s="313" t="str">
        <f t="shared" si="115"/>
        <v>OK</v>
      </c>
      <c r="DE89" s="153" t="str">
        <f t="shared" si="116"/>
        <v>OK</v>
      </c>
      <c r="DF89" s="314" t="str">
        <f t="shared" si="117"/>
        <v>OK</v>
      </c>
      <c r="DG89" s="482" t="str">
        <f t="shared" ref="DG89:DG152" si="141">IF(AND(COUNTBLANK(T89)=1,COUNTBLANK(U89)=0),"Second Colour Factor entered without First","OK")</f>
        <v>OK</v>
      </c>
      <c r="DH89" s="482" t="str">
        <f>IF(OR(AND(T89='Adjustment factors'!$R$28,'Class 3, 5-9'!U89='Adjustment factors'!$R$29),AND('Class 3, 5-9'!T89='Adjustment factors'!$R$29,'Class 3, 5-9'!U89='Adjustment factors'!$R$28)),"Invalid combination of adjustment factors",IF(AND(T89=U89,NOT(ISBLANK(T89)),NOT(ISBLANK(U89))),"Same colour factor selected twice","OK"))</f>
        <v>OK</v>
      </c>
      <c r="DI89" s="313" t="str">
        <f t="shared" si="118"/>
        <v>OK</v>
      </c>
      <c r="DJ89" s="153" t="str">
        <f t="shared" ref="DJ89:DJ123" si="142">"OK"</f>
        <v>OK</v>
      </c>
      <c r="DK89" s="153" t="str">
        <f t="shared" si="119"/>
        <v>OK</v>
      </c>
      <c r="DL89" s="313" t="str">
        <f t="shared" si="120"/>
        <v>OK</v>
      </c>
      <c r="DM89" s="153" t="str">
        <f t="shared" si="121"/>
        <v>OK</v>
      </c>
      <c r="DN89" s="153" t="str">
        <f t="shared" ref="DN89:DN123" si="143">IF(ISNUMBER(FIND("NA",$N89)),"Adjustment Factor not applicable","OK")</f>
        <v>OK</v>
      </c>
      <c r="DO89" s="154" t="str">
        <f t="shared" ref="DO89:DO123" si="144">"OK"</f>
        <v>OK</v>
      </c>
      <c r="DP89" s="153" t="str">
        <f t="shared" si="122"/>
        <v>OK</v>
      </c>
      <c r="DQ89" s="313" t="str">
        <f t="shared" si="123"/>
        <v>OK</v>
      </c>
      <c r="DR89" s="153" t="str">
        <f t="shared" ref="DR89:DR123" si="145">"OK"</f>
        <v>OK</v>
      </c>
      <c r="DS89" s="153" t="str">
        <f t="shared" si="124"/>
        <v>OK</v>
      </c>
      <c r="DT89" s="313" t="str">
        <f t="shared" si="79"/>
        <v>OK</v>
      </c>
      <c r="DU89" s="153" t="str">
        <f t="shared" si="125"/>
        <v>OK</v>
      </c>
      <c r="DV89" s="153" t="str">
        <f t="shared" ref="DV89:DV123" si="146">IF(ISNUMBER(FIND("NA",$Q89)),"Adjustment Factor not applicable","OK")</f>
        <v>OK</v>
      </c>
      <c r="DW89" s="154" t="str">
        <f t="shared" ref="DW89:DW123" si="147">"OK"</f>
        <v>OK</v>
      </c>
      <c r="DX89" s="157">
        <f t="shared" ref="DX89:DX123" si="148">COUNTIF(DA89:DW89,"&lt;&gt;OK")</f>
        <v>0</v>
      </c>
      <c r="DY89" s="156" t="str">
        <f t="shared" ref="DY89:DY123" si="149">IF(AQ89,"ROW SKIPPED (OK if intentional)","OK")</f>
        <v>OK</v>
      </c>
    </row>
    <row r="90" spans="1:129" ht="13" hidden="1" x14ac:dyDescent="0.3">
      <c r="A90" s="333"/>
      <c r="B90" s="333"/>
      <c r="C90" s="332" t="str">
        <f t="shared" si="126"/>
        <v>-</v>
      </c>
      <c r="D90" s="584">
        <f t="shared" si="77"/>
        <v>67</v>
      </c>
      <c r="E90" s="585"/>
      <c r="F90" s="586"/>
      <c r="G90" s="600"/>
      <c r="H90" s="587"/>
      <c r="I90" s="601"/>
      <c r="J90" s="585"/>
      <c r="K90" s="617"/>
      <c r="L90" s="602"/>
      <c r="M90" s="603"/>
      <c r="N90" s="588"/>
      <c r="O90" s="604"/>
      <c r="P90" s="605"/>
      <c r="Q90" s="588"/>
      <c r="R90" s="604"/>
      <c r="S90" s="605"/>
      <c r="T90" s="606"/>
      <c r="U90" s="606"/>
      <c r="V90" s="429" t="str">
        <f t="shared" si="80"/>
        <v/>
      </c>
      <c r="W90" s="430" t="str">
        <f t="shared" si="80"/>
        <v/>
      </c>
      <c r="X90" s="66" t="str">
        <f>IF(AND(ISNUMBER(P90),N90=FixedDim),MAX('Adjustment factors'!$S$16,0.2+0.8*P90),IF(ISTEXT(N90),VLOOKUP(N90,Afactors,2,TRUE),""))</f>
        <v/>
      </c>
      <c r="Y90" s="17" t="str">
        <f>IF(AND(ISNUMBER(S90),Q90=FixedDim),MAX('Adjustment factors'!$S$16,0.2+0.8*S90),IF(ISTEXT(Q90),VLOOKUP(Q90,Afactors,2,TRUE),""))</f>
        <v/>
      </c>
      <c r="Z90" s="297" t="str">
        <f>IF(ISBLANK(T90),"",VLOOKUP(T90,'Adjustment factors'!$R$27:$S$30,2,TRUE))</f>
        <v/>
      </c>
      <c r="AA90" s="297" t="str">
        <f>IF(ISBLANK(U90),"",VLOOKUP(U90,'Adjustment factors'!$R$27:$S$30,2,TRUE))</f>
        <v/>
      </c>
      <c r="AB90" s="480">
        <f t="shared" si="127"/>
        <v>1</v>
      </c>
      <c r="AC90" s="18" t="b">
        <f t="shared" si="81"/>
        <v>0</v>
      </c>
      <c r="AD90" s="18" t="b">
        <f t="shared" si="82"/>
        <v>0</v>
      </c>
      <c r="AE90" s="18" t="b">
        <f t="shared" si="128"/>
        <v>0</v>
      </c>
      <c r="AF90" s="17" t="str">
        <f t="shared" si="83"/>
        <v/>
      </c>
      <c r="AG90" s="18" t="str">
        <f t="shared" si="84"/>
        <v/>
      </c>
      <c r="AH90" s="17" t="str">
        <f t="shared" si="85"/>
        <v/>
      </c>
      <c r="AI90" s="297" t="e">
        <f t="shared" si="129"/>
        <v>#VALUE!</v>
      </c>
      <c r="AJ90" s="79" t="e">
        <f t="shared" si="86"/>
        <v>#VALUE!</v>
      </c>
      <c r="AK90" s="17" t="str">
        <f t="shared" si="72"/>
        <v/>
      </c>
      <c r="AL90" s="80" t="e">
        <f t="shared" si="87"/>
        <v>#VALUE!</v>
      </c>
      <c r="AM90" s="139" t="b">
        <f t="shared" si="88"/>
        <v>1</v>
      </c>
      <c r="AN90" s="139" t="b">
        <f>AND(COUNTA(E90)&gt;0,ISNUMBER(F90),OR(COUNT(G90:H90)=0,COUNT(G90:H90)=2,AND(ISNUMBER(G90),ISNUMBER(VALUE(LEFT(H90,SUM(LEN(H90)-LEN(SUBSTITUTE(H90,{"0","1","2","3","4","5","6","7","8","9","."},"")))))))),ISNUMBER(I90),ISTEXT(J90))</f>
        <v>0</v>
      </c>
      <c r="AO90" s="19" t="b">
        <f t="shared" si="89"/>
        <v>0</v>
      </c>
      <c r="AP90" s="19" t="b">
        <f t="shared" si="90"/>
        <v>1</v>
      </c>
      <c r="AQ90" s="19" t="b">
        <f>IF(AND(COUNTBLANK(E90:J90)=6,OR(AN91:AN$523)),NOT(AN90))</f>
        <v>0</v>
      </c>
      <c r="AR90" s="19" t="str">
        <f t="shared" si="91"/>
        <v/>
      </c>
      <c r="AS90" s="19" t="b">
        <f t="shared" si="92"/>
        <v>1</v>
      </c>
      <c r="AT90" s="19" t="str">
        <f t="shared" si="93"/>
        <v/>
      </c>
      <c r="AU90" s="19" t="b">
        <f t="shared" si="94"/>
        <v>1</v>
      </c>
      <c r="AV90" s="140" t="str">
        <f t="shared" si="130"/>
        <v/>
      </c>
      <c r="AW90" s="19" t="str">
        <f t="shared" si="95"/>
        <v/>
      </c>
      <c r="AX90" s="81">
        <f t="shared" si="96"/>
        <v>0</v>
      </c>
      <c r="AY90" s="81" t="str">
        <f t="shared" si="97"/>
        <v/>
      </c>
      <c r="AZ90" s="307" t="str">
        <f t="shared" si="131"/>
        <v/>
      </c>
      <c r="BA90" s="281" t="str">
        <f t="shared" si="132"/>
        <v/>
      </c>
      <c r="BB90" s="281" t="str">
        <f t="shared" si="133"/>
        <v/>
      </c>
      <c r="BC90" s="953"/>
      <c r="BD90" s="955"/>
      <c r="BE90" s="219" t="str">
        <f t="shared" si="98"/>
        <v>n/a</v>
      </c>
      <c r="BF90" s="215" t="b">
        <f t="shared" si="99"/>
        <v>0</v>
      </c>
      <c r="BG90" s="145" t="b">
        <f t="shared" si="100"/>
        <v>0</v>
      </c>
      <c r="BH90" s="145" t="b">
        <f t="shared" si="101"/>
        <v>0</v>
      </c>
      <c r="BI90" s="216" t="b">
        <f t="shared" si="102"/>
        <v>0</v>
      </c>
      <c r="BJ90" s="215" t="b">
        <f t="shared" si="103"/>
        <v>0</v>
      </c>
      <c r="BK90" s="145" t="b">
        <f t="shared" si="104"/>
        <v>0</v>
      </c>
      <c r="BL90" s="216" t="b">
        <f t="shared" si="105"/>
        <v>0</v>
      </c>
      <c r="BM90" s="217" t="str">
        <f t="shared" si="134"/>
        <v/>
      </c>
      <c r="BN90" s="146" t="str">
        <f t="shared" si="135"/>
        <v/>
      </c>
      <c r="BO90" s="147" t="str">
        <f t="shared" si="136"/>
        <v/>
      </c>
      <c r="BP90" s="148" t="str">
        <f t="shared" si="137"/>
        <v/>
      </c>
      <c r="BT90" s="50">
        <f t="shared" si="78"/>
        <v>67</v>
      </c>
      <c r="BU90" s="50" t="str">
        <f t="shared" si="106"/>
        <v>-</v>
      </c>
      <c r="BW90" s="340"/>
      <c r="BX90" s="333"/>
      <c r="BY90" s="333"/>
      <c r="BZ90" s="333"/>
      <c r="CA90" s="333"/>
      <c r="CB90" s="333"/>
      <c r="CC90" s="333"/>
      <c r="CD90" s="333"/>
      <c r="CE90" s="333"/>
      <c r="CF90" s="333"/>
      <c r="CG90" s="354">
        <f t="shared" si="107"/>
        <v>67</v>
      </c>
      <c r="CH90" s="613">
        <f t="shared" si="108"/>
        <v>0</v>
      </c>
      <c r="CI90" s="613">
        <f t="shared" si="109"/>
        <v>0</v>
      </c>
      <c r="CJ90" s="614" t="str">
        <f t="shared" si="110"/>
        <v/>
      </c>
      <c r="CK90" s="615" t="str">
        <f t="shared" si="111"/>
        <v/>
      </c>
      <c r="CL90" s="610" t="str">
        <f>IF(ISBLANK(H90),"",IF(AND(ISNUMBER(F90),ISNUMBER(G90),ISNUMBER(H90)),ROUND(F90/(H90*G90),2),ROUND(F90/(VALUE(LEFT(H90,SUM(LEN(H90)-LEN(SUBSTITUTE(H90,{"0","1","2","3","4","5","6","7","8","9","."},"")))))*G90),2)))</f>
        <v/>
      </c>
      <c r="CM90" s="616" t="str">
        <f t="shared" si="138"/>
        <v/>
      </c>
      <c r="CN90" s="616" t="str">
        <f>IF(ISNUMBER(P90),MAX('Adjustment factors'!$S$16,(0.2+0.8*P90)),IF(ISTEXT(N90),VLOOKUP(N90,Afactors,2,FALSE),""))</f>
        <v/>
      </c>
      <c r="CO90" s="616" t="str">
        <f>IF(ISNUMBER(S90),MAX('Adjustment factors'!$S$16,0.2+0.8*S90),IF(ISTEXT(Q90),VLOOKUP(Q90,Afactors,2,FALSE),""))</f>
        <v/>
      </c>
      <c r="CP90" s="611" t="str">
        <f t="shared" si="139"/>
        <v/>
      </c>
      <c r="CQ90" s="612" t="str">
        <f t="shared" si="140"/>
        <v/>
      </c>
      <c r="CR90" s="340"/>
      <c r="CS90" s="340"/>
      <c r="CT90" s="340"/>
      <c r="CU90" s="340"/>
      <c r="CV90" s="333"/>
      <c r="CW90" s="333"/>
      <c r="CX90" s="333"/>
      <c r="CY90" s="333"/>
      <c r="DA90" s="313" t="str">
        <f t="shared" si="112"/>
        <v>OK</v>
      </c>
      <c r="DB90" s="313" t="str">
        <f t="shared" si="113"/>
        <v>OK</v>
      </c>
      <c r="DC90" s="313" t="str">
        <f t="shared" si="114"/>
        <v>OK</v>
      </c>
      <c r="DD90" s="313" t="str">
        <f t="shared" si="115"/>
        <v>OK</v>
      </c>
      <c r="DE90" s="153" t="str">
        <f t="shared" si="116"/>
        <v>OK</v>
      </c>
      <c r="DF90" s="314" t="str">
        <f t="shared" si="117"/>
        <v>OK</v>
      </c>
      <c r="DG90" s="482" t="str">
        <f t="shared" si="141"/>
        <v>OK</v>
      </c>
      <c r="DH90" s="482" t="str">
        <f>IF(OR(AND(T90='Adjustment factors'!$R$28,'Class 3, 5-9'!U90='Adjustment factors'!$R$29),AND('Class 3, 5-9'!T90='Adjustment factors'!$R$29,'Class 3, 5-9'!U90='Adjustment factors'!$R$28)),"Invalid combination of adjustment factors",IF(AND(T90=U90,NOT(ISBLANK(T90)),NOT(ISBLANK(U90))),"Same colour factor selected twice","OK"))</f>
        <v>OK</v>
      </c>
      <c r="DI90" s="313" t="str">
        <f t="shared" si="118"/>
        <v>OK</v>
      </c>
      <c r="DJ90" s="153" t="str">
        <f t="shared" si="142"/>
        <v>OK</v>
      </c>
      <c r="DK90" s="153" t="str">
        <f t="shared" si="119"/>
        <v>OK</v>
      </c>
      <c r="DL90" s="313" t="str">
        <f t="shared" si="120"/>
        <v>OK</v>
      </c>
      <c r="DM90" s="153" t="str">
        <f t="shared" si="121"/>
        <v>OK</v>
      </c>
      <c r="DN90" s="153" t="str">
        <f t="shared" si="143"/>
        <v>OK</v>
      </c>
      <c r="DO90" s="154" t="str">
        <f t="shared" si="144"/>
        <v>OK</v>
      </c>
      <c r="DP90" s="153" t="str">
        <f t="shared" si="122"/>
        <v>OK</v>
      </c>
      <c r="DQ90" s="313" t="str">
        <f t="shared" si="123"/>
        <v>OK</v>
      </c>
      <c r="DR90" s="153" t="str">
        <f t="shared" si="145"/>
        <v>OK</v>
      </c>
      <c r="DS90" s="153" t="str">
        <f t="shared" si="124"/>
        <v>OK</v>
      </c>
      <c r="DT90" s="313" t="str">
        <f t="shared" si="79"/>
        <v>OK</v>
      </c>
      <c r="DU90" s="153" t="str">
        <f t="shared" si="125"/>
        <v>OK</v>
      </c>
      <c r="DV90" s="153" t="str">
        <f t="shared" si="146"/>
        <v>OK</v>
      </c>
      <c r="DW90" s="154" t="str">
        <f t="shared" si="147"/>
        <v>OK</v>
      </c>
      <c r="DX90" s="157">
        <f t="shared" si="148"/>
        <v>0</v>
      </c>
      <c r="DY90" s="156" t="str">
        <f t="shared" si="149"/>
        <v>OK</v>
      </c>
    </row>
    <row r="91" spans="1:129" ht="13" hidden="1" x14ac:dyDescent="0.3">
      <c r="A91" s="333"/>
      <c r="B91" s="333"/>
      <c r="C91" s="332" t="str">
        <f t="shared" si="126"/>
        <v>-</v>
      </c>
      <c r="D91" s="584">
        <f t="shared" si="77"/>
        <v>68</v>
      </c>
      <c r="E91" s="585"/>
      <c r="F91" s="586"/>
      <c r="G91" s="600"/>
      <c r="H91" s="587"/>
      <c r="I91" s="601"/>
      <c r="J91" s="585"/>
      <c r="K91" s="617"/>
      <c r="L91" s="602"/>
      <c r="M91" s="603"/>
      <c r="N91" s="588"/>
      <c r="O91" s="604"/>
      <c r="P91" s="605"/>
      <c r="Q91" s="588"/>
      <c r="R91" s="604"/>
      <c r="S91" s="605"/>
      <c r="T91" s="606"/>
      <c r="U91" s="606"/>
      <c r="V91" s="429" t="str">
        <f t="shared" si="80"/>
        <v/>
      </c>
      <c r="W91" s="430" t="str">
        <f t="shared" si="80"/>
        <v/>
      </c>
      <c r="X91" s="66" t="str">
        <f>IF(AND(ISNUMBER(P91),N91=FixedDim),MAX('Adjustment factors'!$S$16,0.2+0.8*P91),IF(ISTEXT(N91),VLOOKUP(N91,Afactors,2,TRUE),""))</f>
        <v/>
      </c>
      <c r="Y91" s="17" t="str">
        <f>IF(AND(ISNUMBER(S91),Q91=FixedDim),MAX('Adjustment factors'!$S$16,0.2+0.8*S91),IF(ISTEXT(Q91),VLOOKUP(Q91,Afactors,2,TRUE),""))</f>
        <v/>
      </c>
      <c r="Z91" s="297" t="str">
        <f>IF(ISBLANK(T91),"",VLOOKUP(T91,'Adjustment factors'!$R$27:$S$30,2,TRUE))</f>
        <v/>
      </c>
      <c r="AA91" s="297" t="str">
        <f>IF(ISBLANK(U91),"",VLOOKUP(U91,'Adjustment factors'!$R$27:$S$30,2,TRUE))</f>
        <v/>
      </c>
      <c r="AB91" s="480">
        <f t="shared" si="127"/>
        <v>1</v>
      </c>
      <c r="AC91" s="18" t="b">
        <f t="shared" si="81"/>
        <v>0</v>
      </c>
      <c r="AD91" s="18" t="b">
        <f t="shared" si="82"/>
        <v>0</v>
      </c>
      <c r="AE91" s="18" t="b">
        <f t="shared" si="128"/>
        <v>0</v>
      </c>
      <c r="AF91" s="17" t="str">
        <f t="shared" si="83"/>
        <v/>
      </c>
      <c r="AG91" s="18" t="str">
        <f t="shared" si="84"/>
        <v/>
      </c>
      <c r="AH91" s="17" t="str">
        <f t="shared" si="85"/>
        <v/>
      </c>
      <c r="AI91" s="297" t="e">
        <f t="shared" si="129"/>
        <v>#VALUE!</v>
      </c>
      <c r="AJ91" s="79" t="e">
        <f t="shared" si="86"/>
        <v>#VALUE!</v>
      </c>
      <c r="AK91" s="17" t="str">
        <f t="shared" ref="AK91:AK123" si="150">IF(AD91,(AF91*(AG91+((1-AG91)/2))),"")</f>
        <v/>
      </c>
      <c r="AL91" s="80" t="e">
        <f t="shared" si="87"/>
        <v>#VALUE!</v>
      </c>
      <c r="AM91" s="139" t="b">
        <f t="shared" si="88"/>
        <v>1</v>
      </c>
      <c r="AN91" s="139" t="b">
        <f>AND(COUNTA(E91)&gt;0,ISNUMBER(F91),OR(COUNT(G91:H91)=0,COUNT(G91:H91)=2,AND(ISNUMBER(G91),ISNUMBER(VALUE(LEFT(H91,SUM(LEN(H91)-LEN(SUBSTITUTE(H91,{"0","1","2","3","4","5","6","7","8","9","."},"")))))))),ISNUMBER(I91),ISTEXT(J91))</f>
        <v>0</v>
      </c>
      <c r="AO91" s="19" t="b">
        <f t="shared" si="89"/>
        <v>0</v>
      </c>
      <c r="AP91" s="19" t="b">
        <f t="shared" si="90"/>
        <v>1</v>
      </c>
      <c r="AQ91" s="19" t="b">
        <f>IF(AND(COUNTBLANK(E91:J91)=6,OR(AN92:AN$523)),NOT(AN91))</f>
        <v>0</v>
      </c>
      <c r="AR91" s="19" t="str">
        <f t="shared" si="91"/>
        <v/>
      </c>
      <c r="AS91" s="19" t="b">
        <f t="shared" si="92"/>
        <v>1</v>
      </c>
      <c r="AT91" s="19" t="str">
        <f t="shared" si="93"/>
        <v/>
      </c>
      <c r="AU91" s="19" t="b">
        <f t="shared" si="94"/>
        <v>1</v>
      </c>
      <c r="AV91" s="140" t="str">
        <f t="shared" si="130"/>
        <v/>
      </c>
      <c r="AW91" s="19" t="str">
        <f t="shared" si="95"/>
        <v/>
      </c>
      <c r="AX91" s="81">
        <f t="shared" si="96"/>
        <v>0</v>
      </c>
      <c r="AY91" s="81" t="str">
        <f t="shared" si="97"/>
        <v/>
      </c>
      <c r="AZ91" s="307" t="str">
        <f t="shared" si="131"/>
        <v/>
      </c>
      <c r="BA91" s="281" t="str">
        <f t="shared" si="132"/>
        <v/>
      </c>
      <c r="BB91" s="281" t="str">
        <f t="shared" si="133"/>
        <v/>
      </c>
      <c r="BC91" s="953"/>
      <c r="BD91" s="955"/>
      <c r="BE91" s="219" t="str">
        <f t="shared" si="98"/>
        <v>n/a</v>
      </c>
      <c r="BF91" s="215" t="b">
        <f t="shared" si="99"/>
        <v>0</v>
      </c>
      <c r="BG91" s="145" t="b">
        <f t="shared" si="100"/>
        <v>0</v>
      </c>
      <c r="BH91" s="145" t="b">
        <f t="shared" si="101"/>
        <v>0</v>
      </c>
      <c r="BI91" s="216" t="b">
        <f t="shared" si="102"/>
        <v>0</v>
      </c>
      <c r="BJ91" s="215" t="b">
        <f t="shared" si="103"/>
        <v>0</v>
      </c>
      <c r="BK91" s="145" t="b">
        <f t="shared" si="104"/>
        <v>0</v>
      </c>
      <c r="BL91" s="216" t="b">
        <f t="shared" si="105"/>
        <v>0</v>
      </c>
      <c r="BM91" s="217" t="str">
        <f t="shared" si="134"/>
        <v/>
      </c>
      <c r="BN91" s="146" t="str">
        <f t="shared" si="135"/>
        <v/>
      </c>
      <c r="BO91" s="147" t="str">
        <f t="shared" si="136"/>
        <v/>
      </c>
      <c r="BP91" s="148" t="str">
        <f t="shared" si="137"/>
        <v/>
      </c>
      <c r="BT91" s="50">
        <f t="shared" si="78"/>
        <v>68</v>
      </c>
      <c r="BU91" s="50" t="str">
        <f t="shared" si="106"/>
        <v>-</v>
      </c>
      <c r="BW91" s="340"/>
      <c r="BX91" s="333"/>
      <c r="BY91" s="333"/>
      <c r="BZ91" s="333"/>
      <c r="CA91" s="333"/>
      <c r="CB91" s="333"/>
      <c r="CC91" s="333"/>
      <c r="CD91" s="333"/>
      <c r="CE91" s="333"/>
      <c r="CF91" s="333"/>
      <c r="CG91" s="354">
        <f t="shared" si="107"/>
        <v>68</v>
      </c>
      <c r="CH91" s="613">
        <f t="shared" si="108"/>
        <v>0</v>
      </c>
      <c r="CI91" s="613">
        <f t="shared" si="109"/>
        <v>0</v>
      </c>
      <c r="CJ91" s="614" t="str">
        <f t="shared" si="110"/>
        <v/>
      </c>
      <c r="CK91" s="615" t="str">
        <f t="shared" si="111"/>
        <v/>
      </c>
      <c r="CL91" s="610" t="str">
        <f>IF(ISBLANK(H91),"",IF(AND(ISNUMBER(F91),ISNUMBER(G91),ISNUMBER(H91)),ROUND(F91/(H91*G91),2),ROUND(F91/(VALUE(LEFT(H91,SUM(LEN(H91)-LEN(SUBSTITUTE(H91,{"0","1","2","3","4","5","6","7","8","9","."},"")))))*G91),2)))</f>
        <v/>
      </c>
      <c r="CM91" s="616" t="str">
        <f t="shared" si="138"/>
        <v/>
      </c>
      <c r="CN91" s="616" t="str">
        <f>IF(ISNUMBER(P91),MAX('Adjustment factors'!$S$16,(0.2+0.8*P91)),IF(ISTEXT(N91),VLOOKUP(N91,Afactors,2,FALSE),""))</f>
        <v/>
      </c>
      <c r="CO91" s="616" t="str">
        <f>IF(ISNUMBER(S91),MAX('Adjustment factors'!$S$16,0.2+0.8*S91),IF(ISTEXT(Q91),VLOOKUP(Q91,Afactors,2,FALSE),""))</f>
        <v/>
      </c>
      <c r="CP91" s="611" t="str">
        <f t="shared" si="139"/>
        <v/>
      </c>
      <c r="CQ91" s="612" t="str">
        <f t="shared" si="140"/>
        <v/>
      </c>
      <c r="CR91" s="340"/>
      <c r="CS91" s="340"/>
      <c r="CT91" s="340"/>
      <c r="CU91" s="340"/>
      <c r="CV91" s="333"/>
      <c r="CW91" s="333"/>
      <c r="CX91" s="333"/>
      <c r="CY91" s="333"/>
      <c r="DA91" s="313" t="str">
        <f t="shared" si="112"/>
        <v>OK</v>
      </c>
      <c r="DB91" s="313" t="str">
        <f t="shared" si="113"/>
        <v>OK</v>
      </c>
      <c r="DC91" s="313" t="str">
        <f t="shared" si="114"/>
        <v>OK</v>
      </c>
      <c r="DD91" s="313" t="str">
        <f t="shared" si="115"/>
        <v>OK</v>
      </c>
      <c r="DE91" s="153" t="str">
        <f t="shared" si="116"/>
        <v>OK</v>
      </c>
      <c r="DF91" s="314" t="str">
        <f t="shared" si="117"/>
        <v>OK</v>
      </c>
      <c r="DG91" s="482" t="str">
        <f t="shared" si="141"/>
        <v>OK</v>
      </c>
      <c r="DH91" s="482" t="str">
        <f>IF(OR(AND(T91='Adjustment factors'!$R$28,'Class 3, 5-9'!U91='Adjustment factors'!$R$29),AND('Class 3, 5-9'!T91='Adjustment factors'!$R$29,'Class 3, 5-9'!U91='Adjustment factors'!$R$28)),"Invalid combination of adjustment factors",IF(AND(T91=U91,NOT(ISBLANK(T91)),NOT(ISBLANK(U91))),"Same colour factor selected twice","OK"))</f>
        <v>OK</v>
      </c>
      <c r="DI91" s="313" t="str">
        <f t="shared" si="118"/>
        <v>OK</v>
      </c>
      <c r="DJ91" s="153" t="str">
        <f t="shared" si="142"/>
        <v>OK</v>
      </c>
      <c r="DK91" s="153" t="str">
        <f t="shared" si="119"/>
        <v>OK</v>
      </c>
      <c r="DL91" s="313" t="str">
        <f t="shared" si="120"/>
        <v>OK</v>
      </c>
      <c r="DM91" s="153" t="str">
        <f t="shared" si="121"/>
        <v>OK</v>
      </c>
      <c r="DN91" s="153" t="str">
        <f t="shared" si="143"/>
        <v>OK</v>
      </c>
      <c r="DO91" s="154" t="str">
        <f t="shared" si="144"/>
        <v>OK</v>
      </c>
      <c r="DP91" s="153" t="str">
        <f t="shared" si="122"/>
        <v>OK</v>
      </c>
      <c r="DQ91" s="313" t="str">
        <f t="shared" si="123"/>
        <v>OK</v>
      </c>
      <c r="DR91" s="153" t="str">
        <f t="shared" si="145"/>
        <v>OK</v>
      </c>
      <c r="DS91" s="153" t="str">
        <f t="shared" si="124"/>
        <v>OK</v>
      </c>
      <c r="DT91" s="313" t="str">
        <f t="shared" si="79"/>
        <v>OK</v>
      </c>
      <c r="DU91" s="153" t="str">
        <f t="shared" si="125"/>
        <v>OK</v>
      </c>
      <c r="DV91" s="153" t="str">
        <f t="shared" si="146"/>
        <v>OK</v>
      </c>
      <c r="DW91" s="154" t="str">
        <f t="shared" si="147"/>
        <v>OK</v>
      </c>
      <c r="DX91" s="157">
        <f t="shared" si="148"/>
        <v>0</v>
      </c>
      <c r="DY91" s="156" t="str">
        <f t="shared" si="149"/>
        <v>OK</v>
      </c>
    </row>
    <row r="92" spans="1:129" ht="13" hidden="1" x14ac:dyDescent="0.3">
      <c r="A92" s="333"/>
      <c r="B92" s="333"/>
      <c r="C92" s="332" t="str">
        <f t="shared" si="126"/>
        <v>-</v>
      </c>
      <c r="D92" s="584">
        <f t="shared" si="77"/>
        <v>69</v>
      </c>
      <c r="E92" s="585"/>
      <c r="F92" s="586"/>
      <c r="G92" s="600"/>
      <c r="H92" s="587"/>
      <c r="I92" s="601"/>
      <c r="J92" s="585"/>
      <c r="K92" s="617"/>
      <c r="L92" s="602"/>
      <c r="M92" s="603"/>
      <c r="N92" s="588"/>
      <c r="O92" s="604"/>
      <c r="P92" s="605"/>
      <c r="Q92" s="588"/>
      <c r="R92" s="604"/>
      <c r="S92" s="605"/>
      <c r="T92" s="606"/>
      <c r="U92" s="606"/>
      <c r="V92" s="429" t="str">
        <f t="shared" si="80"/>
        <v/>
      </c>
      <c r="W92" s="430" t="str">
        <f t="shared" si="80"/>
        <v/>
      </c>
      <c r="X92" s="66" t="str">
        <f>IF(AND(ISNUMBER(P92),N92=FixedDim),MAX('Adjustment factors'!$S$16,0.2+0.8*P92),IF(ISTEXT(N92),VLOOKUP(N92,Afactors,2,TRUE),""))</f>
        <v/>
      </c>
      <c r="Y92" s="17" t="str">
        <f>IF(AND(ISNUMBER(S92),Q92=FixedDim),MAX('Adjustment factors'!$S$16,0.2+0.8*S92),IF(ISTEXT(Q92),VLOOKUP(Q92,Afactors,2,TRUE),""))</f>
        <v/>
      </c>
      <c r="Z92" s="297" t="str">
        <f>IF(ISBLANK(T92),"",VLOOKUP(T92,'Adjustment factors'!$R$27:$S$30,2,TRUE))</f>
        <v/>
      </c>
      <c r="AA92" s="297" t="str">
        <f>IF(ISBLANK(U92),"",VLOOKUP(U92,'Adjustment factors'!$R$27:$S$30,2,TRUE))</f>
        <v/>
      </c>
      <c r="AB92" s="480">
        <f t="shared" si="127"/>
        <v>1</v>
      </c>
      <c r="AC92" s="18" t="b">
        <f t="shared" si="81"/>
        <v>0</v>
      </c>
      <c r="AD92" s="18" t="b">
        <f t="shared" si="82"/>
        <v>0</v>
      </c>
      <c r="AE92" s="18" t="b">
        <f t="shared" si="128"/>
        <v>0</v>
      </c>
      <c r="AF92" s="17" t="str">
        <f t="shared" si="83"/>
        <v/>
      </c>
      <c r="AG92" s="18" t="str">
        <f t="shared" si="84"/>
        <v/>
      </c>
      <c r="AH92" s="17" t="str">
        <f t="shared" si="85"/>
        <v/>
      </c>
      <c r="AI92" s="297" t="e">
        <f t="shared" si="129"/>
        <v>#VALUE!</v>
      </c>
      <c r="AJ92" s="79" t="e">
        <f t="shared" si="86"/>
        <v>#VALUE!</v>
      </c>
      <c r="AK92" s="17" t="str">
        <f t="shared" si="150"/>
        <v/>
      </c>
      <c r="AL92" s="80" t="e">
        <f t="shared" si="87"/>
        <v>#VALUE!</v>
      </c>
      <c r="AM92" s="139" t="b">
        <f t="shared" si="88"/>
        <v>1</v>
      </c>
      <c r="AN92" s="139" t="b">
        <f>AND(COUNTA(E92)&gt;0,ISNUMBER(F92),OR(COUNT(G92:H92)=0,COUNT(G92:H92)=2,AND(ISNUMBER(G92),ISNUMBER(VALUE(LEFT(H92,SUM(LEN(H92)-LEN(SUBSTITUTE(H92,{"0","1","2","3","4","5","6","7","8","9","."},"")))))))),ISNUMBER(I92),ISTEXT(J92))</f>
        <v>0</v>
      </c>
      <c r="AO92" s="19" t="b">
        <f t="shared" si="89"/>
        <v>0</v>
      </c>
      <c r="AP92" s="19" t="b">
        <f t="shared" si="90"/>
        <v>1</v>
      </c>
      <c r="AQ92" s="19" t="b">
        <f>IF(AND(COUNTBLANK(E92:J92)=6,OR(AN93:AN$523)),NOT(AN92))</f>
        <v>0</v>
      </c>
      <c r="AR92" s="19" t="str">
        <f t="shared" si="91"/>
        <v/>
      </c>
      <c r="AS92" s="19" t="b">
        <f t="shared" si="92"/>
        <v>1</v>
      </c>
      <c r="AT92" s="19" t="str">
        <f t="shared" si="93"/>
        <v/>
      </c>
      <c r="AU92" s="19" t="b">
        <f t="shared" si="94"/>
        <v>1</v>
      </c>
      <c r="AV92" s="140" t="str">
        <f t="shared" si="130"/>
        <v/>
      </c>
      <c r="AW92" s="19" t="str">
        <f t="shared" si="95"/>
        <v/>
      </c>
      <c r="AX92" s="81">
        <f t="shared" si="96"/>
        <v>0</v>
      </c>
      <c r="AY92" s="81" t="str">
        <f t="shared" si="97"/>
        <v/>
      </c>
      <c r="AZ92" s="307" t="str">
        <f t="shared" si="131"/>
        <v/>
      </c>
      <c r="BA92" s="281" t="str">
        <f t="shared" si="132"/>
        <v/>
      </c>
      <c r="BB92" s="281" t="str">
        <f t="shared" si="133"/>
        <v/>
      </c>
      <c r="BC92" s="953"/>
      <c r="BD92" s="955"/>
      <c r="BE92" s="219" t="str">
        <f t="shared" si="98"/>
        <v>n/a</v>
      </c>
      <c r="BF92" s="215" t="b">
        <f t="shared" si="99"/>
        <v>0</v>
      </c>
      <c r="BG92" s="145" t="b">
        <f t="shared" si="100"/>
        <v>0</v>
      </c>
      <c r="BH92" s="145" t="b">
        <f t="shared" si="101"/>
        <v>0</v>
      </c>
      <c r="BI92" s="216" t="b">
        <f t="shared" si="102"/>
        <v>0</v>
      </c>
      <c r="BJ92" s="215" t="b">
        <f t="shared" si="103"/>
        <v>0</v>
      </c>
      <c r="BK92" s="145" t="b">
        <f t="shared" si="104"/>
        <v>0</v>
      </c>
      <c r="BL92" s="216" t="b">
        <f t="shared" si="105"/>
        <v>0</v>
      </c>
      <c r="BM92" s="217" t="str">
        <f t="shared" si="134"/>
        <v/>
      </c>
      <c r="BN92" s="146" t="str">
        <f t="shared" si="135"/>
        <v/>
      </c>
      <c r="BO92" s="147" t="str">
        <f t="shared" si="136"/>
        <v/>
      </c>
      <c r="BP92" s="148" t="str">
        <f t="shared" si="137"/>
        <v/>
      </c>
      <c r="BT92" s="50">
        <f t="shared" si="78"/>
        <v>69</v>
      </c>
      <c r="BU92" s="50" t="str">
        <f t="shared" si="106"/>
        <v>-</v>
      </c>
      <c r="BW92" s="340"/>
      <c r="BX92" s="333"/>
      <c r="BY92" s="333"/>
      <c r="BZ92" s="333"/>
      <c r="CA92" s="333"/>
      <c r="CB92" s="333"/>
      <c r="CC92" s="333"/>
      <c r="CD92" s="333"/>
      <c r="CE92" s="333"/>
      <c r="CF92" s="333"/>
      <c r="CG92" s="354">
        <f t="shared" si="107"/>
        <v>69</v>
      </c>
      <c r="CH92" s="613">
        <f t="shared" si="108"/>
        <v>0</v>
      </c>
      <c r="CI92" s="613">
        <f t="shared" si="109"/>
        <v>0</v>
      </c>
      <c r="CJ92" s="614" t="str">
        <f t="shared" si="110"/>
        <v/>
      </c>
      <c r="CK92" s="615" t="str">
        <f t="shared" si="111"/>
        <v/>
      </c>
      <c r="CL92" s="610" t="str">
        <f>IF(ISBLANK(H92),"",IF(AND(ISNUMBER(F92),ISNUMBER(G92),ISNUMBER(H92)),ROUND(F92/(H92*G92),2),ROUND(F92/(VALUE(LEFT(H92,SUM(LEN(H92)-LEN(SUBSTITUTE(H92,{"0","1","2","3","4","5","6","7","8","9","."},"")))))*G92),2)))</f>
        <v/>
      </c>
      <c r="CM92" s="616" t="str">
        <f t="shared" si="138"/>
        <v/>
      </c>
      <c r="CN92" s="616" t="str">
        <f>IF(ISNUMBER(P92),MAX('Adjustment factors'!$S$16,(0.2+0.8*P92)),IF(ISTEXT(N92),VLOOKUP(N92,Afactors,2,FALSE),""))</f>
        <v/>
      </c>
      <c r="CO92" s="616" t="str">
        <f>IF(ISNUMBER(S92),MAX('Adjustment factors'!$S$16,0.2+0.8*S92),IF(ISTEXT(Q92),VLOOKUP(Q92,Afactors,2,FALSE),""))</f>
        <v/>
      </c>
      <c r="CP92" s="611" t="str">
        <f t="shared" si="139"/>
        <v/>
      </c>
      <c r="CQ92" s="612" t="str">
        <f t="shared" si="140"/>
        <v/>
      </c>
      <c r="CR92" s="340"/>
      <c r="CS92" s="340"/>
      <c r="CT92" s="340"/>
      <c r="CU92" s="340"/>
      <c r="CV92" s="333"/>
      <c r="CW92" s="333"/>
      <c r="CX92" s="333"/>
      <c r="CY92" s="333"/>
      <c r="DA92" s="313" t="str">
        <f t="shared" si="112"/>
        <v>OK</v>
      </c>
      <c r="DB92" s="313" t="str">
        <f t="shared" si="113"/>
        <v>OK</v>
      </c>
      <c r="DC92" s="313" t="str">
        <f t="shared" si="114"/>
        <v>OK</v>
      </c>
      <c r="DD92" s="313" t="str">
        <f t="shared" si="115"/>
        <v>OK</v>
      </c>
      <c r="DE92" s="153" t="str">
        <f t="shared" si="116"/>
        <v>OK</v>
      </c>
      <c r="DF92" s="314" t="str">
        <f t="shared" si="117"/>
        <v>OK</v>
      </c>
      <c r="DG92" s="482" t="str">
        <f t="shared" si="141"/>
        <v>OK</v>
      </c>
      <c r="DH92" s="482" t="str">
        <f>IF(OR(AND(T92='Adjustment factors'!$R$28,'Class 3, 5-9'!U92='Adjustment factors'!$R$29),AND('Class 3, 5-9'!T92='Adjustment factors'!$R$29,'Class 3, 5-9'!U92='Adjustment factors'!$R$28)),"Invalid combination of adjustment factors",IF(AND(T92=U92,NOT(ISBLANK(T92)),NOT(ISBLANK(U92))),"Same colour factor selected twice","OK"))</f>
        <v>OK</v>
      </c>
      <c r="DI92" s="313" t="str">
        <f t="shared" si="118"/>
        <v>OK</v>
      </c>
      <c r="DJ92" s="153" t="str">
        <f t="shared" si="142"/>
        <v>OK</v>
      </c>
      <c r="DK92" s="153" t="str">
        <f t="shared" si="119"/>
        <v>OK</v>
      </c>
      <c r="DL92" s="313" t="str">
        <f t="shared" si="120"/>
        <v>OK</v>
      </c>
      <c r="DM92" s="153" t="str">
        <f t="shared" si="121"/>
        <v>OK</v>
      </c>
      <c r="DN92" s="153" t="str">
        <f t="shared" si="143"/>
        <v>OK</v>
      </c>
      <c r="DO92" s="154" t="str">
        <f t="shared" si="144"/>
        <v>OK</v>
      </c>
      <c r="DP92" s="153" t="str">
        <f t="shared" si="122"/>
        <v>OK</v>
      </c>
      <c r="DQ92" s="313" t="str">
        <f t="shared" si="123"/>
        <v>OK</v>
      </c>
      <c r="DR92" s="153" t="str">
        <f t="shared" si="145"/>
        <v>OK</v>
      </c>
      <c r="DS92" s="153" t="str">
        <f t="shared" si="124"/>
        <v>OK</v>
      </c>
      <c r="DT92" s="313" t="str">
        <f t="shared" si="79"/>
        <v>OK</v>
      </c>
      <c r="DU92" s="153" t="str">
        <f t="shared" si="125"/>
        <v>OK</v>
      </c>
      <c r="DV92" s="153" t="str">
        <f t="shared" si="146"/>
        <v>OK</v>
      </c>
      <c r="DW92" s="154" t="str">
        <f t="shared" si="147"/>
        <v>OK</v>
      </c>
      <c r="DX92" s="157">
        <f t="shared" si="148"/>
        <v>0</v>
      </c>
      <c r="DY92" s="156" t="str">
        <f t="shared" si="149"/>
        <v>OK</v>
      </c>
    </row>
    <row r="93" spans="1:129" ht="13" hidden="1" x14ac:dyDescent="0.3">
      <c r="A93" s="333"/>
      <c r="B93" s="333"/>
      <c r="C93" s="332" t="str">
        <f t="shared" si="126"/>
        <v>-</v>
      </c>
      <c r="D93" s="584">
        <f t="shared" si="77"/>
        <v>70</v>
      </c>
      <c r="E93" s="585"/>
      <c r="F93" s="586"/>
      <c r="G93" s="600"/>
      <c r="H93" s="587"/>
      <c r="I93" s="601"/>
      <c r="J93" s="585"/>
      <c r="K93" s="617"/>
      <c r="L93" s="602"/>
      <c r="M93" s="603"/>
      <c r="N93" s="588"/>
      <c r="O93" s="604"/>
      <c r="P93" s="605"/>
      <c r="Q93" s="588"/>
      <c r="R93" s="604"/>
      <c r="S93" s="605"/>
      <c r="T93" s="606"/>
      <c r="U93" s="606"/>
      <c r="V93" s="429" t="str">
        <f t="shared" si="80"/>
        <v/>
      </c>
      <c r="W93" s="430" t="str">
        <f t="shared" si="80"/>
        <v/>
      </c>
      <c r="X93" s="66" t="str">
        <f>IF(AND(ISNUMBER(P93),N93=FixedDim),MAX('Adjustment factors'!$S$16,0.2+0.8*P93),IF(ISTEXT(N93),VLOOKUP(N93,Afactors,2,TRUE),""))</f>
        <v/>
      </c>
      <c r="Y93" s="17" t="str">
        <f>IF(AND(ISNUMBER(S93),Q93=FixedDim),MAX('Adjustment factors'!$S$16,0.2+0.8*S93),IF(ISTEXT(Q93),VLOOKUP(Q93,Afactors,2,TRUE),""))</f>
        <v/>
      </c>
      <c r="Z93" s="297" t="str">
        <f>IF(ISBLANK(T93),"",VLOOKUP(T93,'Adjustment factors'!$R$27:$S$30,2,TRUE))</f>
        <v/>
      </c>
      <c r="AA93" s="297" t="str">
        <f>IF(ISBLANK(U93),"",VLOOKUP(U93,'Adjustment factors'!$R$27:$S$30,2,TRUE))</f>
        <v/>
      </c>
      <c r="AB93" s="480">
        <f t="shared" si="127"/>
        <v>1</v>
      </c>
      <c r="AC93" s="18" t="b">
        <f t="shared" si="81"/>
        <v>0</v>
      </c>
      <c r="AD93" s="18" t="b">
        <f t="shared" si="82"/>
        <v>0</v>
      </c>
      <c r="AE93" s="18" t="b">
        <f t="shared" si="128"/>
        <v>0</v>
      </c>
      <c r="AF93" s="17" t="str">
        <f t="shared" si="83"/>
        <v/>
      </c>
      <c r="AG93" s="18" t="str">
        <f t="shared" si="84"/>
        <v/>
      </c>
      <c r="AH93" s="17" t="str">
        <f t="shared" si="85"/>
        <v/>
      </c>
      <c r="AI93" s="297" t="e">
        <f t="shared" si="129"/>
        <v>#VALUE!</v>
      </c>
      <c r="AJ93" s="79" t="e">
        <f t="shared" si="86"/>
        <v>#VALUE!</v>
      </c>
      <c r="AK93" s="17" t="str">
        <f t="shared" si="150"/>
        <v/>
      </c>
      <c r="AL93" s="80" t="e">
        <f t="shared" si="87"/>
        <v>#VALUE!</v>
      </c>
      <c r="AM93" s="139" t="b">
        <f t="shared" si="88"/>
        <v>1</v>
      </c>
      <c r="AN93" s="139" t="b">
        <f>AND(COUNTA(E93)&gt;0,ISNUMBER(F93),OR(COUNT(G93:H93)=0,COUNT(G93:H93)=2,AND(ISNUMBER(G93),ISNUMBER(VALUE(LEFT(H93,SUM(LEN(H93)-LEN(SUBSTITUTE(H93,{"0","1","2","3","4","5","6","7","8","9","."},"")))))))),ISNUMBER(I93),ISTEXT(J93))</f>
        <v>0</v>
      </c>
      <c r="AO93" s="19" t="b">
        <f t="shared" si="89"/>
        <v>0</v>
      </c>
      <c r="AP93" s="19" t="b">
        <f t="shared" si="90"/>
        <v>1</v>
      </c>
      <c r="AQ93" s="19" t="b">
        <f>IF(AND(COUNTBLANK(E93:J93)=6,OR(AN94:AN$523)),NOT(AN93))</f>
        <v>0</v>
      </c>
      <c r="AR93" s="19" t="str">
        <f t="shared" si="91"/>
        <v/>
      </c>
      <c r="AS93" s="19" t="b">
        <f t="shared" si="92"/>
        <v>1</v>
      </c>
      <c r="AT93" s="19" t="str">
        <f t="shared" si="93"/>
        <v/>
      </c>
      <c r="AU93" s="19" t="b">
        <f t="shared" si="94"/>
        <v>1</v>
      </c>
      <c r="AV93" s="140" t="str">
        <f t="shared" si="130"/>
        <v/>
      </c>
      <c r="AW93" s="19" t="str">
        <f t="shared" si="95"/>
        <v/>
      </c>
      <c r="AX93" s="81">
        <f t="shared" si="96"/>
        <v>0</v>
      </c>
      <c r="AY93" s="81" t="str">
        <f t="shared" si="97"/>
        <v/>
      </c>
      <c r="AZ93" s="307" t="str">
        <f t="shared" si="131"/>
        <v/>
      </c>
      <c r="BA93" s="281" t="str">
        <f t="shared" si="132"/>
        <v/>
      </c>
      <c r="BB93" s="281" t="str">
        <f t="shared" si="133"/>
        <v/>
      </c>
      <c r="BC93" s="953"/>
      <c r="BD93" s="955"/>
      <c r="BE93" s="219" t="str">
        <f t="shared" si="98"/>
        <v>n/a</v>
      </c>
      <c r="BF93" s="215" t="b">
        <f t="shared" si="99"/>
        <v>0</v>
      </c>
      <c r="BG93" s="145" t="b">
        <f t="shared" si="100"/>
        <v>0</v>
      </c>
      <c r="BH93" s="145" t="b">
        <f t="shared" si="101"/>
        <v>0</v>
      </c>
      <c r="BI93" s="216" t="b">
        <f t="shared" si="102"/>
        <v>0</v>
      </c>
      <c r="BJ93" s="215" t="b">
        <f t="shared" si="103"/>
        <v>0</v>
      </c>
      <c r="BK93" s="145" t="b">
        <f t="shared" si="104"/>
        <v>0</v>
      </c>
      <c r="BL93" s="216" t="b">
        <f t="shared" si="105"/>
        <v>0</v>
      </c>
      <c r="BM93" s="217" t="str">
        <f t="shared" si="134"/>
        <v/>
      </c>
      <c r="BN93" s="146" t="str">
        <f t="shared" si="135"/>
        <v/>
      </c>
      <c r="BO93" s="147" t="str">
        <f t="shared" si="136"/>
        <v/>
      </c>
      <c r="BP93" s="148" t="str">
        <f t="shared" si="137"/>
        <v/>
      </c>
      <c r="BT93" s="50">
        <f t="shared" si="78"/>
        <v>70</v>
      </c>
      <c r="BU93" s="50" t="str">
        <f t="shared" si="106"/>
        <v>-</v>
      </c>
      <c r="BW93" s="340"/>
      <c r="BX93" s="333"/>
      <c r="BY93" s="333"/>
      <c r="BZ93" s="333"/>
      <c r="CA93" s="333"/>
      <c r="CB93" s="333"/>
      <c r="CC93" s="333"/>
      <c r="CD93" s="333"/>
      <c r="CE93" s="333"/>
      <c r="CF93" s="333"/>
      <c r="CG93" s="354">
        <f t="shared" si="107"/>
        <v>70</v>
      </c>
      <c r="CH93" s="613">
        <f t="shared" si="108"/>
        <v>0</v>
      </c>
      <c r="CI93" s="613">
        <f t="shared" si="109"/>
        <v>0</v>
      </c>
      <c r="CJ93" s="614" t="str">
        <f t="shared" si="110"/>
        <v/>
      </c>
      <c r="CK93" s="615" t="str">
        <f t="shared" si="111"/>
        <v/>
      </c>
      <c r="CL93" s="610" t="str">
        <f>IF(ISBLANK(H93),"",IF(AND(ISNUMBER(F93),ISNUMBER(G93),ISNUMBER(H93)),ROUND(F93/(H93*G93),2),ROUND(F93/(VALUE(LEFT(H93,SUM(LEN(H93)-LEN(SUBSTITUTE(H93,{"0","1","2","3","4","5","6","7","8","9","."},"")))))*G93),2)))</f>
        <v/>
      </c>
      <c r="CM93" s="616" t="str">
        <f t="shared" si="138"/>
        <v/>
      </c>
      <c r="CN93" s="616" t="str">
        <f>IF(ISNUMBER(P93),MAX('Adjustment factors'!$S$16,(0.2+0.8*P93)),IF(ISTEXT(N93),VLOOKUP(N93,Afactors,2,FALSE),""))</f>
        <v/>
      </c>
      <c r="CO93" s="616" t="str">
        <f>IF(ISNUMBER(S93),MAX('Adjustment factors'!$S$16,0.2+0.8*S93),IF(ISTEXT(Q93),VLOOKUP(Q93,Afactors,2,FALSE),""))</f>
        <v/>
      </c>
      <c r="CP93" s="611" t="str">
        <f t="shared" si="139"/>
        <v/>
      </c>
      <c r="CQ93" s="612" t="str">
        <f t="shared" si="140"/>
        <v/>
      </c>
      <c r="CR93" s="340"/>
      <c r="CS93" s="340"/>
      <c r="CT93" s="340"/>
      <c r="CU93" s="340"/>
      <c r="CV93" s="333"/>
      <c r="CW93" s="333"/>
      <c r="CX93" s="333"/>
      <c r="CY93" s="333"/>
      <c r="DA93" s="313" t="str">
        <f t="shared" si="112"/>
        <v>OK</v>
      </c>
      <c r="DB93" s="313" t="str">
        <f t="shared" si="113"/>
        <v>OK</v>
      </c>
      <c r="DC93" s="313" t="str">
        <f t="shared" si="114"/>
        <v>OK</v>
      </c>
      <c r="DD93" s="313" t="str">
        <f t="shared" si="115"/>
        <v>OK</v>
      </c>
      <c r="DE93" s="153" t="str">
        <f t="shared" si="116"/>
        <v>OK</v>
      </c>
      <c r="DF93" s="314" t="str">
        <f t="shared" si="117"/>
        <v>OK</v>
      </c>
      <c r="DG93" s="482" t="str">
        <f t="shared" si="141"/>
        <v>OK</v>
      </c>
      <c r="DH93" s="482" t="str">
        <f>IF(OR(AND(T93='Adjustment factors'!$R$28,'Class 3, 5-9'!U93='Adjustment factors'!$R$29),AND('Class 3, 5-9'!T93='Adjustment factors'!$R$29,'Class 3, 5-9'!U93='Adjustment factors'!$R$28)),"Invalid combination of adjustment factors",IF(AND(T93=U93,NOT(ISBLANK(T93)),NOT(ISBLANK(U93))),"Same colour factor selected twice","OK"))</f>
        <v>OK</v>
      </c>
      <c r="DI93" s="313" t="str">
        <f t="shared" si="118"/>
        <v>OK</v>
      </c>
      <c r="DJ93" s="153" t="str">
        <f t="shared" si="142"/>
        <v>OK</v>
      </c>
      <c r="DK93" s="153" t="str">
        <f t="shared" si="119"/>
        <v>OK</v>
      </c>
      <c r="DL93" s="313" t="str">
        <f t="shared" si="120"/>
        <v>OK</v>
      </c>
      <c r="DM93" s="153" t="str">
        <f t="shared" si="121"/>
        <v>OK</v>
      </c>
      <c r="DN93" s="153" t="str">
        <f t="shared" si="143"/>
        <v>OK</v>
      </c>
      <c r="DO93" s="154" t="str">
        <f t="shared" si="144"/>
        <v>OK</v>
      </c>
      <c r="DP93" s="153" t="str">
        <f t="shared" si="122"/>
        <v>OK</v>
      </c>
      <c r="DQ93" s="313" t="str">
        <f t="shared" si="123"/>
        <v>OK</v>
      </c>
      <c r="DR93" s="153" t="str">
        <f t="shared" si="145"/>
        <v>OK</v>
      </c>
      <c r="DS93" s="153" t="str">
        <f t="shared" si="124"/>
        <v>OK</v>
      </c>
      <c r="DT93" s="313" t="str">
        <f t="shared" si="79"/>
        <v>OK</v>
      </c>
      <c r="DU93" s="153" t="str">
        <f t="shared" si="125"/>
        <v>OK</v>
      </c>
      <c r="DV93" s="153" t="str">
        <f t="shared" si="146"/>
        <v>OK</v>
      </c>
      <c r="DW93" s="154" t="str">
        <f t="shared" si="147"/>
        <v>OK</v>
      </c>
      <c r="DX93" s="157">
        <f t="shared" si="148"/>
        <v>0</v>
      </c>
      <c r="DY93" s="156" t="str">
        <f t="shared" si="149"/>
        <v>OK</v>
      </c>
    </row>
    <row r="94" spans="1:129" ht="13" hidden="1" x14ac:dyDescent="0.3">
      <c r="A94" s="333"/>
      <c r="B94" s="333"/>
      <c r="C94" s="332" t="str">
        <f t="shared" si="126"/>
        <v>-</v>
      </c>
      <c r="D94" s="584">
        <f t="shared" si="77"/>
        <v>71</v>
      </c>
      <c r="E94" s="585"/>
      <c r="F94" s="586"/>
      <c r="G94" s="600"/>
      <c r="H94" s="587"/>
      <c r="I94" s="601"/>
      <c r="J94" s="585"/>
      <c r="K94" s="617"/>
      <c r="L94" s="602"/>
      <c r="M94" s="603"/>
      <c r="N94" s="588"/>
      <c r="O94" s="604"/>
      <c r="P94" s="605"/>
      <c r="Q94" s="588"/>
      <c r="R94" s="604"/>
      <c r="S94" s="605"/>
      <c r="T94" s="606"/>
      <c r="U94" s="606"/>
      <c r="V94" s="429" t="str">
        <f t="shared" si="80"/>
        <v/>
      </c>
      <c r="W94" s="430" t="str">
        <f t="shared" si="80"/>
        <v/>
      </c>
      <c r="X94" s="66" t="str">
        <f>IF(AND(ISNUMBER(P94),N94=FixedDim),MAX('Adjustment factors'!$S$16,0.2+0.8*P94),IF(ISTEXT(N94),VLOOKUP(N94,Afactors,2,TRUE),""))</f>
        <v/>
      </c>
      <c r="Y94" s="17" t="str">
        <f>IF(AND(ISNUMBER(S94),Q94=FixedDim),MAX('Adjustment factors'!$S$16,0.2+0.8*S94),IF(ISTEXT(Q94),VLOOKUP(Q94,Afactors,2,TRUE),""))</f>
        <v/>
      </c>
      <c r="Z94" s="297" t="str">
        <f>IF(ISBLANK(T94),"",VLOOKUP(T94,'Adjustment factors'!$R$27:$S$30,2,TRUE))</f>
        <v/>
      </c>
      <c r="AA94" s="297" t="str">
        <f>IF(ISBLANK(U94),"",VLOOKUP(U94,'Adjustment factors'!$R$27:$S$30,2,TRUE))</f>
        <v/>
      </c>
      <c r="AB94" s="480">
        <f t="shared" si="127"/>
        <v>1</v>
      </c>
      <c r="AC94" s="18" t="b">
        <f t="shared" si="81"/>
        <v>0</v>
      </c>
      <c r="AD94" s="18" t="b">
        <f t="shared" si="82"/>
        <v>0</v>
      </c>
      <c r="AE94" s="18" t="b">
        <f t="shared" si="128"/>
        <v>0</v>
      </c>
      <c r="AF94" s="17" t="str">
        <f t="shared" si="83"/>
        <v/>
      </c>
      <c r="AG94" s="18" t="str">
        <f t="shared" si="84"/>
        <v/>
      </c>
      <c r="AH94" s="17" t="str">
        <f t="shared" si="85"/>
        <v/>
      </c>
      <c r="AI94" s="297" t="e">
        <f t="shared" si="129"/>
        <v>#VALUE!</v>
      </c>
      <c r="AJ94" s="79" t="e">
        <f t="shared" si="86"/>
        <v>#VALUE!</v>
      </c>
      <c r="AK94" s="17" t="str">
        <f t="shared" si="150"/>
        <v/>
      </c>
      <c r="AL94" s="80" t="e">
        <f t="shared" si="87"/>
        <v>#VALUE!</v>
      </c>
      <c r="AM94" s="139" t="b">
        <f t="shared" si="88"/>
        <v>1</v>
      </c>
      <c r="AN94" s="139" t="b">
        <f>AND(COUNTA(E94)&gt;0,ISNUMBER(F94),OR(COUNT(G94:H94)=0,COUNT(G94:H94)=2,AND(ISNUMBER(G94),ISNUMBER(VALUE(LEFT(H94,SUM(LEN(H94)-LEN(SUBSTITUTE(H94,{"0","1","2","3","4","5","6","7","8","9","."},"")))))))),ISNUMBER(I94),ISTEXT(J94))</f>
        <v>0</v>
      </c>
      <c r="AO94" s="19" t="b">
        <f t="shared" si="89"/>
        <v>0</v>
      </c>
      <c r="AP94" s="19" t="b">
        <f t="shared" si="90"/>
        <v>1</v>
      </c>
      <c r="AQ94" s="19" t="b">
        <f>IF(AND(COUNTBLANK(E94:J94)=6,OR(AN95:AN$523)),NOT(AN94))</f>
        <v>0</v>
      </c>
      <c r="AR94" s="19" t="str">
        <f t="shared" si="91"/>
        <v/>
      </c>
      <c r="AS94" s="19" t="b">
        <f t="shared" si="92"/>
        <v>1</v>
      </c>
      <c r="AT94" s="19" t="str">
        <f t="shared" si="93"/>
        <v/>
      </c>
      <c r="AU94" s="19" t="b">
        <f t="shared" si="94"/>
        <v>1</v>
      </c>
      <c r="AV94" s="140" t="str">
        <f t="shared" si="130"/>
        <v/>
      </c>
      <c r="AW94" s="19" t="str">
        <f t="shared" si="95"/>
        <v/>
      </c>
      <c r="AX94" s="81">
        <f t="shared" si="96"/>
        <v>0</v>
      </c>
      <c r="AY94" s="81" t="str">
        <f t="shared" si="97"/>
        <v/>
      </c>
      <c r="AZ94" s="307" t="str">
        <f t="shared" si="131"/>
        <v/>
      </c>
      <c r="BA94" s="281" t="str">
        <f t="shared" si="132"/>
        <v/>
      </c>
      <c r="BB94" s="281" t="str">
        <f t="shared" si="133"/>
        <v/>
      </c>
      <c r="BC94" s="953"/>
      <c r="BD94" s="955"/>
      <c r="BE94" s="219" t="str">
        <f t="shared" si="98"/>
        <v>n/a</v>
      </c>
      <c r="BF94" s="215" t="b">
        <f t="shared" si="99"/>
        <v>0</v>
      </c>
      <c r="BG94" s="145" t="b">
        <f t="shared" si="100"/>
        <v>0</v>
      </c>
      <c r="BH94" s="145" t="b">
        <f t="shared" si="101"/>
        <v>0</v>
      </c>
      <c r="BI94" s="216" t="b">
        <f t="shared" si="102"/>
        <v>0</v>
      </c>
      <c r="BJ94" s="215" t="b">
        <f t="shared" si="103"/>
        <v>0</v>
      </c>
      <c r="BK94" s="145" t="b">
        <f t="shared" si="104"/>
        <v>0</v>
      </c>
      <c r="BL94" s="216" t="b">
        <f t="shared" si="105"/>
        <v>0</v>
      </c>
      <c r="BM94" s="217" t="str">
        <f t="shared" si="134"/>
        <v/>
      </c>
      <c r="BN94" s="146" t="str">
        <f t="shared" si="135"/>
        <v/>
      </c>
      <c r="BO94" s="147" t="str">
        <f t="shared" si="136"/>
        <v/>
      </c>
      <c r="BP94" s="148" t="str">
        <f t="shared" si="137"/>
        <v/>
      </c>
      <c r="BT94" s="50">
        <f t="shared" si="78"/>
        <v>71</v>
      </c>
      <c r="BU94" s="50" t="str">
        <f t="shared" si="106"/>
        <v>-</v>
      </c>
      <c r="BW94" s="340"/>
      <c r="BX94" s="333"/>
      <c r="BY94" s="333"/>
      <c r="BZ94" s="333"/>
      <c r="CA94" s="333"/>
      <c r="CB94" s="333"/>
      <c r="CC94" s="333"/>
      <c r="CD94" s="333"/>
      <c r="CE94" s="333"/>
      <c r="CF94" s="333"/>
      <c r="CG94" s="354">
        <f t="shared" si="107"/>
        <v>71</v>
      </c>
      <c r="CH94" s="613">
        <f t="shared" si="108"/>
        <v>0</v>
      </c>
      <c r="CI94" s="613">
        <f t="shared" si="109"/>
        <v>0</v>
      </c>
      <c r="CJ94" s="614" t="str">
        <f t="shared" si="110"/>
        <v/>
      </c>
      <c r="CK94" s="615" t="str">
        <f t="shared" si="111"/>
        <v/>
      </c>
      <c r="CL94" s="610" t="str">
        <f>IF(ISBLANK(H94),"",IF(AND(ISNUMBER(F94),ISNUMBER(G94),ISNUMBER(H94)),ROUND(F94/(H94*G94),2),ROUND(F94/(VALUE(LEFT(H94,SUM(LEN(H94)-LEN(SUBSTITUTE(H94,{"0","1","2","3","4","5","6","7","8","9","."},"")))))*G94),2)))</f>
        <v/>
      </c>
      <c r="CM94" s="616" t="str">
        <f t="shared" si="138"/>
        <v/>
      </c>
      <c r="CN94" s="616" t="str">
        <f>IF(ISNUMBER(P94),MAX('Adjustment factors'!$S$16,(0.2+0.8*P94)),IF(ISTEXT(N94),VLOOKUP(N94,Afactors,2,FALSE),""))</f>
        <v/>
      </c>
      <c r="CO94" s="616" t="str">
        <f>IF(ISNUMBER(S94),MAX('Adjustment factors'!$S$16,0.2+0.8*S94),IF(ISTEXT(Q94),VLOOKUP(Q94,Afactors,2,FALSE),""))</f>
        <v/>
      </c>
      <c r="CP94" s="611" t="str">
        <f t="shared" si="139"/>
        <v/>
      </c>
      <c r="CQ94" s="612" t="str">
        <f t="shared" si="140"/>
        <v/>
      </c>
      <c r="CR94" s="340"/>
      <c r="CS94" s="340"/>
      <c r="CT94" s="340"/>
      <c r="CU94" s="340"/>
      <c r="CV94" s="333"/>
      <c r="CW94" s="333"/>
      <c r="CX94" s="333"/>
      <c r="CY94" s="333"/>
      <c r="DA94" s="313" t="str">
        <f t="shared" si="112"/>
        <v>OK</v>
      </c>
      <c r="DB94" s="313" t="str">
        <f t="shared" si="113"/>
        <v>OK</v>
      </c>
      <c r="DC94" s="313" t="str">
        <f t="shared" si="114"/>
        <v>OK</v>
      </c>
      <c r="DD94" s="313" t="str">
        <f t="shared" si="115"/>
        <v>OK</v>
      </c>
      <c r="DE94" s="153" t="str">
        <f t="shared" si="116"/>
        <v>OK</v>
      </c>
      <c r="DF94" s="314" t="str">
        <f t="shared" si="117"/>
        <v>OK</v>
      </c>
      <c r="DG94" s="482" t="str">
        <f t="shared" si="141"/>
        <v>OK</v>
      </c>
      <c r="DH94" s="482" t="str">
        <f>IF(OR(AND(T94='Adjustment factors'!$R$28,'Class 3, 5-9'!U94='Adjustment factors'!$R$29),AND('Class 3, 5-9'!T94='Adjustment factors'!$R$29,'Class 3, 5-9'!U94='Adjustment factors'!$R$28)),"Invalid combination of adjustment factors",IF(AND(T94=U94,NOT(ISBLANK(T94)),NOT(ISBLANK(U94))),"Same colour factor selected twice","OK"))</f>
        <v>OK</v>
      </c>
      <c r="DI94" s="313" t="str">
        <f t="shared" si="118"/>
        <v>OK</v>
      </c>
      <c r="DJ94" s="153" t="str">
        <f t="shared" si="142"/>
        <v>OK</v>
      </c>
      <c r="DK94" s="153" t="str">
        <f t="shared" si="119"/>
        <v>OK</v>
      </c>
      <c r="DL94" s="313" t="str">
        <f t="shared" si="120"/>
        <v>OK</v>
      </c>
      <c r="DM94" s="153" t="str">
        <f t="shared" si="121"/>
        <v>OK</v>
      </c>
      <c r="DN94" s="153" t="str">
        <f t="shared" si="143"/>
        <v>OK</v>
      </c>
      <c r="DO94" s="154" t="str">
        <f t="shared" si="144"/>
        <v>OK</v>
      </c>
      <c r="DP94" s="153" t="str">
        <f t="shared" si="122"/>
        <v>OK</v>
      </c>
      <c r="DQ94" s="313" t="str">
        <f t="shared" si="123"/>
        <v>OK</v>
      </c>
      <c r="DR94" s="153" t="str">
        <f t="shared" si="145"/>
        <v>OK</v>
      </c>
      <c r="DS94" s="153" t="str">
        <f t="shared" si="124"/>
        <v>OK</v>
      </c>
      <c r="DT94" s="313" t="str">
        <f t="shared" si="79"/>
        <v>OK</v>
      </c>
      <c r="DU94" s="153" t="str">
        <f t="shared" si="125"/>
        <v>OK</v>
      </c>
      <c r="DV94" s="153" t="str">
        <f t="shared" si="146"/>
        <v>OK</v>
      </c>
      <c r="DW94" s="154" t="str">
        <f t="shared" si="147"/>
        <v>OK</v>
      </c>
      <c r="DX94" s="157">
        <f t="shared" si="148"/>
        <v>0</v>
      </c>
      <c r="DY94" s="156" t="str">
        <f t="shared" si="149"/>
        <v>OK</v>
      </c>
    </row>
    <row r="95" spans="1:129" ht="13" hidden="1" x14ac:dyDescent="0.3">
      <c r="A95" s="333"/>
      <c r="B95" s="333"/>
      <c r="C95" s="332" t="str">
        <f t="shared" si="126"/>
        <v>-</v>
      </c>
      <c r="D95" s="584">
        <f t="shared" si="77"/>
        <v>72</v>
      </c>
      <c r="E95" s="585"/>
      <c r="F95" s="586"/>
      <c r="G95" s="600"/>
      <c r="H95" s="587"/>
      <c r="I95" s="601"/>
      <c r="J95" s="585"/>
      <c r="K95" s="617"/>
      <c r="L95" s="602"/>
      <c r="M95" s="603"/>
      <c r="N95" s="588"/>
      <c r="O95" s="604"/>
      <c r="P95" s="605"/>
      <c r="Q95" s="588"/>
      <c r="R95" s="604"/>
      <c r="S95" s="605"/>
      <c r="T95" s="606"/>
      <c r="U95" s="606"/>
      <c r="V95" s="429" t="str">
        <f t="shared" si="80"/>
        <v/>
      </c>
      <c r="W95" s="430" t="str">
        <f t="shared" si="80"/>
        <v/>
      </c>
      <c r="X95" s="66" t="str">
        <f>IF(AND(ISNUMBER(P95),N95=FixedDim),MAX('Adjustment factors'!$S$16,0.2+0.8*P95),IF(ISTEXT(N95),VLOOKUP(N95,Afactors,2,TRUE),""))</f>
        <v/>
      </c>
      <c r="Y95" s="17" t="str">
        <f>IF(AND(ISNUMBER(S95),Q95=FixedDim),MAX('Adjustment factors'!$S$16,0.2+0.8*S95),IF(ISTEXT(Q95),VLOOKUP(Q95,Afactors,2,TRUE),""))</f>
        <v/>
      </c>
      <c r="Z95" s="297" t="str">
        <f>IF(ISBLANK(T95),"",VLOOKUP(T95,'Adjustment factors'!$R$27:$S$30,2,TRUE))</f>
        <v/>
      </c>
      <c r="AA95" s="297" t="str">
        <f>IF(ISBLANK(U95),"",VLOOKUP(U95,'Adjustment factors'!$R$27:$S$30,2,TRUE))</f>
        <v/>
      </c>
      <c r="AB95" s="480">
        <f t="shared" si="127"/>
        <v>1</v>
      </c>
      <c r="AC95" s="18" t="b">
        <f t="shared" si="81"/>
        <v>0</v>
      </c>
      <c r="AD95" s="18" t="b">
        <f t="shared" si="82"/>
        <v>0</v>
      </c>
      <c r="AE95" s="18" t="b">
        <f t="shared" si="128"/>
        <v>0</v>
      </c>
      <c r="AF95" s="17" t="str">
        <f t="shared" si="83"/>
        <v/>
      </c>
      <c r="AG95" s="18" t="str">
        <f t="shared" si="84"/>
        <v/>
      </c>
      <c r="AH95" s="17" t="str">
        <f t="shared" si="85"/>
        <v/>
      </c>
      <c r="AI95" s="297" t="e">
        <f t="shared" si="129"/>
        <v>#VALUE!</v>
      </c>
      <c r="AJ95" s="79" t="e">
        <f t="shared" si="86"/>
        <v>#VALUE!</v>
      </c>
      <c r="AK95" s="17" t="str">
        <f t="shared" si="150"/>
        <v/>
      </c>
      <c r="AL95" s="80" t="e">
        <f t="shared" si="87"/>
        <v>#VALUE!</v>
      </c>
      <c r="AM95" s="139" t="b">
        <f t="shared" si="88"/>
        <v>1</v>
      </c>
      <c r="AN95" s="139" t="b">
        <f>AND(COUNTA(E95)&gt;0,ISNUMBER(F95),OR(COUNT(G95:H95)=0,COUNT(G95:H95)=2,AND(ISNUMBER(G95),ISNUMBER(VALUE(LEFT(H95,SUM(LEN(H95)-LEN(SUBSTITUTE(H95,{"0","1","2","3","4","5","6","7","8","9","."},"")))))))),ISNUMBER(I95),ISTEXT(J95))</f>
        <v>0</v>
      </c>
      <c r="AO95" s="19" t="b">
        <f t="shared" si="89"/>
        <v>0</v>
      </c>
      <c r="AP95" s="19" t="b">
        <f t="shared" si="90"/>
        <v>1</v>
      </c>
      <c r="AQ95" s="19" t="b">
        <f>IF(AND(COUNTBLANK(E95:J95)=6,OR(AN96:AN$523)),NOT(AN95))</f>
        <v>0</v>
      </c>
      <c r="AR95" s="19" t="str">
        <f t="shared" si="91"/>
        <v/>
      </c>
      <c r="AS95" s="19" t="b">
        <f t="shared" si="92"/>
        <v>1</v>
      </c>
      <c r="AT95" s="19" t="str">
        <f t="shared" si="93"/>
        <v/>
      </c>
      <c r="AU95" s="19" t="b">
        <f t="shared" si="94"/>
        <v>1</v>
      </c>
      <c r="AV95" s="140" t="str">
        <f t="shared" si="130"/>
        <v/>
      </c>
      <c r="AW95" s="19" t="str">
        <f t="shared" si="95"/>
        <v/>
      </c>
      <c r="AX95" s="81">
        <f t="shared" si="96"/>
        <v>0</v>
      </c>
      <c r="AY95" s="81" t="str">
        <f t="shared" si="97"/>
        <v/>
      </c>
      <c r="AZ95" s="307" t="str">
        <f t="shared" si="131"/>
        <v/>
      </c>
      <c r="BA95" s="281" t="str">
        <f t="shared" si="132"/>
        <v/>
      </c>
      <c r="BB95" s="281" t="str">
        <f t="shared" si="133"/>
        <v/>
      </c>
      <c r="BC95" s="953"/>
      <c r="BD95" s="955"/>
      <c r="BE95" s="219" t="str">
        <f t="shared" si="98"/>
        <v>n/a</v>
      </c>
      <c r="BF95" s="215" t="b">
        <f t="shared" si="99"/>
        <v>0</v>
      </c>
      <c r="BG95" s="145" t="b">
        <f t="shared" si="100"/>
        <v>0</v>
      </c>
      <c r="BH95" s="145" t="b">
        <f t="shared" si="101"/>
        <v>0</v>
      </c>
      <c r="BI95" s="216" t="b">
        <f t="shared" si="102"/>
        <v>0</v>
      </c>
      <c r="BJ95" s="215" t="b">
        <f t="shared" si="103"/>
        <v>0</v>
      </c>
      <c r="BK95" s="145" t="b">
        <f t="shared" si="104"/>
        <v>0</v>
      </c>
      <c r="BL95" s="216" t="b">
        <f t="shared" si="105"/>
        <v>0</v>
      </c>
      <c r="BM95" s="217" t="str">
        <f t="shared" si="134"/>
        <v/>
      </c>
      <c r="BN95" s="146" t="str">
        <f t="shared" si="135"/>
        <v/>
      </c>
      <c r="BO95" s="147" t="str">
        <f t="shared" si="136"/>
        <v/>
      </c>
      <c r="BP95" s="148" t="str">
        <f t="shared" si="137"/>
        <v/>
      </c>
      <c r="BT95" s="50">
        <f t="shared" si="78"/>
        <v>72</v>
      </c>
      <c r="BU95" s="50" t="str">
        <f t="shared" si="106"/>
        <v>-</v>
      </c>
      <c r="BW95" s="340"/>
      <c r="BX95" s="333"/>
      <c r="BY95" s="333"/>
      <c r="BZ95" s="333"/>
      <c r="CA95" s="333"/>
      <c r="CB95" s="333"/>
      <c r="CC95" s="333"/>
      <c r="CD95" s="333"/>
      <c r="CE95" s="333"/>
      <c r="CF95" s="333"/>
      <c r="CG95" s="354">
        <f t="shared" si="107"/>
        <v>72</v>
      </c>
      <c r="CH95" s="613">
        <f t="shared" si="108"/>
        <v>0</v>
      </c>
      <c r="CI95" s="613">
        <f t="shared" si="109"/>
        <v>0</v>
      </c>
      <c r="CJ95" s="614" t="str">
        <f t="shared" si="110"/>
        <v/>
      </c>
      <c r="CK95" s="615" t="str">
        <f t="shared" si="111"/>
        <v/>
      </c>
      <c r="CL95" s="610" t="str">
        <f>IF(ISBLANK(H95),"",IF(AND(ISNUMBER(F95),ISNUMBER(G95),ISNUMBER(H95)),ROUND(F95/(H95*G95),2),ROUND(F95/(VALUE(LEFT(H95,SUM(LEN(H95)-LEN(SUBSTITUTE(H95,{"0","1","2","3","4","5","6","7","8","9","."},"")))))*G95),2)))</f>
        <v/>
      </c>
      <c r="CM95" s="616" t="str">
        <f t="shared" si="138"/>
        <v/>
      </c>
      <c r="CN95" s="616" t="str">
        <f>IF(ISNUMBER(P95),MAX('Adjustment factors'!$S$16,(0.2+0.8*P95)),IF(ISTEXT(N95),VLOOKUP(N95,Afactors,2,FALSE),""))</f>
        <v/>
      </c>
      <c r="CO95" s="616" t="str">
        <f>IF(ISNUMBER(S95),MAX('Adjustment factors'!$S$16,0.2+0.8*S95),IF(ISTEXT(Q95),VLOOKUP(Q95,Afactors,2,FALSE),""))</f>
        <v/>
      </c>
      <c r="CP95" s="611" t="str">
        <f t="shared" si="139"/>
        <v/>
      </c>
      <c r="CQ95" s="612" t="str">
        <f t="shared" si="140"/>
        <v/>
      </c>
      <c r="CR95" s="340"/>
      <c r="CS95" s="340"/>
      <c r="CT95" s="340"/>
      <c r="CU95" s="340"/>
      <c r="CV95" s="333"/>
      <c r="CW95" s="333"/>
      <c r="CX95" s="333"/>
      <c r="CY95" s="333"/>
      <c r="DA95" s="313" t="str">
        <f t="shared" si="112"/>
        <v>OK</v>
      </c>
      <c r="DB95" s="313" t="str">
        <f t="shared" si="113"/>
        <v>OK</v>
      </c>
      <c r="DC95" s="313" t="str">
        <f t="shared" si="114"/>
        <v>OK</v>
      </c>
      <c r="DD95" s="313" t="str">
        <f t="shared" si="115"/>
        <v>OK</v>
      </c>
      <c r="DE95" s="153" t="str">
        <f t="shared" si="116"/>
        <v>OK</v>
      </c>
      <c r="DF95" s="314" t="str">
        <f t="shared" si="117"/>
        <v>OK</v>
      </c>
      <c r="DG95" s="482" t="str">
        <f t="shared" si="141"/>
        <v>OK</v>
      </c>
      <c r="DH95" s="482" t="str">
        <f>IF(OR(AND(T95='Adjustment factors'!$R$28,'Class 3, 5-9'!U95='Adjustment factors'!$R$29),AND('Class 3, 5-9'!T95='Adjustment factors'!$R$29,'Class 3, 5-9'!U95='Adjustment factors'!$R$28)),"Invalid combination of adjustment factors",IF(AND(T95=U95,NOT(ISBLANK(T95)),NOT(ISBLANK(U95))),"Same colour factor selected twice","OK"))</f>
        <v>OK</v>
      </c>
      <c r="DI95" s="313" t="str">
        <f t="shared" si="118"/>
        <v>OK</v>
      </c>
      <c r="DJ95" s="153" t="str">
        <f t="shared" si="142"/>
        <v>OK</v>
      </c>
      <c r="DK95" s="153" t="str">
        <f t="shared" si="119"/>
        <v>OK</v>
      </c>
      <c r="DL95" s="313" t="str">
        <f t="shared" si="120"/>
        <v>OK</v>
      </c>
      <c r="DM95" s="153" t="str">
        <f t="shared" si="121"/>
        <v>OK</v>
      </c>
      <c r="DN95" s="153" t="str">
        <f t="shared" si="143"/>
        <v>OK</v>
      </c>
      <c r="DO95" s="154" t="str">
        <f t="shared" si="144"/>
        <v>OK</v>
      </c>
      <c r="DP95" s="153" t="str">
        <f t="shared" si="122"/>
        <v>OK</v>
      </c>
      <c r="DQ95" s="313" t="str">
        <f t="shared" si="123"/>
        <v>OK</v>
      </c>
      <c r="DR95" s="153" t="str">
        <f t="shared" si="145"/>
        <v>OK</v>
      </c>
      <c r="DS95" s="153" t="str">
        <f t="shared" si="124"/>
        <v>OK</v>
      </c>
      <c r="DT95" s="313" t="str">
        <f t="shared" si="79"/>
        <v>OK</v>
      </c>
      <c r="DU95" s="153" t="str">
        <f t="shared" si="125"/>
        <v>OK</v>
      </c>
      <c r="DV95" s="153" t="str">
        <f t="shared" si="146"/>
        <v>OK</v>
      </c>
      <c r="DW95" s="154" t="str">
        <f t="shared" si="147"/>
        <v>OK</v>
      </c>
      <c r="DX95" s="157">
        <f t="shared" si="148"/>
        <v>0</v>
      </c>
      <c r="DY95" s="156" t="str">
        <f t="shared" si="149"/>
        <v>OK</v>
      </c>
    </row>
    <row r="96" spans="1:129" ht="13" hidden="1" x14ac:dyDescent="0.3">
      <c r="A96" s="333"/>
      <c r="B96" s="333"/>
      <c r="C96" s="332" t="str">
        <f t="shared" si="126"/>
        <v>-</v>
      </c>
      <c r="D96" s="584">
        <f t="shared" si="77"/>
        <v>73</v>
      </c>
      <c r="E96" s="585"/>
      <c r="F96" s="586"/>
      <c r="G96" s="600"/>
      <c r="H96" s="587"/>
      <c r="I96" s="601"/>
      <c r="J96" s="585"/>
      <c r="K96" s="617"/>
      <c r="L96" s="602"/>
      <c r="M96" s="603"/>
      <c r="N96" s="588"/>
      <c r="O96" s="604"/>
      <c r="P96" s="605"/>
      <c r="Q96" s="588"/>
      <c r="R96" s="604"/>
      <c r="S96" s="605"/>
      <c r="T96" s="606"/>
      <c r="U96" s="606"/>
      <c r="V96" s="429" t="str">
        <f t="shared" si="80"/>
        <v/>
      </c>
      <c r="W96" s="430" t="str">
        <f t="shared" si="80"/>
        <v/>
      </c>
      <c r="X96" s="66" t="str">
        <f>IF(AND(ISNUMBER(P96),N96=FixedDim),MAX('Adjustment factors'!$S$16,0.2+0.8*P96),IF(ISTEXT(N96),VLOOKUP(N96,Afactors,2,TRUE),""))</f>
        <v/>
      </c>
      <c r="Y96" s="17" t="str">
        <f>IF(AND(ISNUMBER(S96),Q96=FixedDim),MAX('Adjustment factors'!$S$16,0.2+0.8*S96),IF(ISTEXT(Q96),VLOOKUP(Q96,Afactors,2,TRUE),""))</f>
        <v/>
      </c>
      <c r="Z96" s="297" t="str">
        <f>IF(ISBLANK(T96),"",VLOOKUP(T96,'Adjustment factors'!$R$27:$S$30,2,TRUE))</f>
        <v/>
      </c>
      <c r="AA96" s="297" t="str">
        <f>IF(ISBLANK(U96),"",VLOOKUP(U96,'Adjustment factors'!$R$27:$S$30,2,TRUE))</f>
        <v/>
      </c>
      <c r="AB96" s="480">
        <f t="shared" si="127"/>
        <v>1</v>
      </c>
      <c r="AC96" s="18" t="b">
        <f t="shared" si="81"/>
        <v>0</v>
      </c>
      <c r="AD96" s="18" t="b">
        <f t="shared" si="82"/>
        <v>0</v>
      </c>
      <c r="AE96" s="18" t="b">
        <f t="shared" si="128"/>
        <v>0</v>
      </c>
      <c r="AF96" s="17" t="str">
        <f t="shared" si="83"/>
        <v/>
      </c>
      <c r="AG96" s="18" t="str">
        <f t="shared" si="84"/>
        <v/>
      </c>
      <c r="AH96" s="17" t="str">
        <f t="shared" si="85"/>
        <v/>
      </c>
      <c r="AI96" s="297" t="e">
        <f t="shared" si="129"/>
        <v>#VALUE!</v>
      </c>
      <c r="AJ96" s="79" t="e">
        <f t="shared" si="86"/>
        <v>#VALUE!</v>
      </c>
      <c r="AK96" s="17" t="str">
        <f t="shared" si="150"/>
        <v/>
      </c>
      <c r="AL96" s="80" t="e">
        <f t="shared" si="87"/>
        <v>#VALUE!</v>
      </c>
      <c r="AM96" s="139" t="b">
        <f t="shared" si="88"/>
        <v>1</v>
      </c>
      <c r="AN96" s="139" t="b">
        <f>AND(COUNTA(E96)&gt;0,ISNUMBER(F96),OR(COUNT(G96:H96)=0,COUNT(G96:H96)=2,AND(ISNUMBER(G96),ISNUMBER(VALUE(LEFT(H96,SUM(LEN(H96)-LEN(SUBSTITUTE(H96,{"0","1","2","3","4","5","6","7","8","9","."},"")))))))),ISNUMBER(I96),ISTEXT(J96))</f>
        <v>0</v>
      </c>
      <c r="AO96" s="19" t="b">
        <f t="shared" si="89"/>
        <v>0</v>
      </c>
      <c r="AP96" s="19" t="b">
        <f t="shared" si="90"/>
        <v>1</v>
      </c>
      <c r="AQ96" s="19" t="b">
        <f>IF(AND(COUNTBLANK(E96:J96)=6,OR(AN97:AN$523)),NOT(AN96))</f>
        <v>0</v>
      </c>
      <c r="AR96" s="19" t="str">
        <f t="shared" si="91"/>
        <v/>
      </c>
      <c r="AS96" s="19" t="b">
        <f t="shared" si="92"/>
        <v>1</v>
      </c>
      <c r="AT96" s="19" t="str">
        <f t="shared" si="93"/>
        <v/>
      </c>
      <c r="AU96" s="19" t="b">
        <f t="shared" si="94"/>
        <v>1</v>
      </c>
      <c r="AV96" s="140" t="str">
        <f t="shared" si="130"/>
        <v/>
      </c>
      <c r="AW96" s="19" t="str">
        <f t="shared" si="95"/>
        <v/>
      </c>
      <c r="AX96" s="81">
        <f t="shared" si="96"/>
        <v>0</v>
      </c>
      <c r="AY96" s="81" t="str">
        <f t="shared" si="97"/>
        <v/>
      </c>
      <c r="AZ96" s="307" t="str">
        <f t="shared" si="131"/>
        <v/>
      </c>
      <c r="BA96" s="281" t="str">
        <f t="shared" si="132"/>
        <v/>
      </c>
      <c r="BB96" s="281" t="str">
        <f t="shared" si="133"/>
        <v/>
      </c>
      <c r="BC96" s="953"/>
      <c r="BD96" s="955"/>
      <c r="BE96" s="219" t="str">
        <f t="shared" si="98"/>
        <v>n/a</v>
      </c>
      <c r="BF96" s="215" t="b">
        <f t="shared" si="99"/>
        <v>0</v>
      </c>
      <c r="BG96" s="145" t="b">
        <f t="shared" si="100"/>
        <v>0</v>
      </c>
      <c r="BH96" s="145" t="b">
        <f t="shared" si="101"/>
        <v>0</v>
      </c>
      <c r="BI96" s="216" t="b">
        <f t="shared" si="102"/>
        <v>0</v>
      </c>
      <c r="BJ96" s="215" t="b">
        <f t="shared" si="103"/>
        <v>0</v>
      </c>
      <c r="BK96" s="145" t="b">
        <f t="shared" si="104"/>
        <v>0</v>
      </c>
      <c r="BL96" s="216" t="b">
        <f t="shared" si="105"/>
        <v>0</v>
      </c>
      <c r="BM96" s="217" t="str">
        <f t="shared" si="134"/>
        <v/>
      </c>
      <c r="BN96" s="146" t="str">
        <f t="shared" si="135"/>
        <v/>
      </c>
      <c r="BO96" s="147" t="str">
        <f t="shared" si="136"/>
        <v/>
      </c>
      <c r="BP96" s="148" t="str">
        <f t="shared" si="137"/>
        <v/>
      </c>
      <c r="BT96" s="50">
        <f t="shared" si="78"/>
        <v>73</v>
      </c>
      <c r="BU96" s="50" t="str">
        <f t="shared" si="106"/>
        <v>-</v>
      </c>
      <c r="BW96" s="340"/>
      <c r="BX96" s="333"/>
      <c r="BY96" s="333"/>
      <c r="BZ96" s="333"/>
      <c r="CA96" s="333"/>
      <c r="CB96" s="333"/>
      <c r="CC96" s="333"/>
      <c r="CD96" s="333"/>
      <c r="CE96" s="333"/>
      <c r="CF96" s="333"/>
      <c r="CG96" s="354">
        <f t="shared" si="107"/>
        <v>73</v>
      </c>
      <c r="CH96" s="613">
        <f t="shared" si="108"/>
        <v>0</v>
      </c>
      <c r="CI96" s="613">
        <f t="shared" si="109"/>
        <v>0</v>
      </c>
      <c r="CJ96" s="614" t="str">
        <f t="shared" si="110"/>
        <v/>
      </c>
      <c r="CK96" s="615" t="str">
        <f t="shared" si="111"/>
        <v/>
      </c>
      <c r="CL96" s="610" t="str">
        <f>IF(ISBLANK(H96),"",IF(AND(ISNUMBER(F96),ISNUMBER(G96),ISNUMBER(H96)),ROUND(F96/(H96*G96),2),ROUND(F96/(VALUE(LEFT(H96,SUM(LEN(H96)-LEN(SUBSTITUTE(H96,{"0","1","2","3","4","5","6","7","8","9","."},"")))))*G96),2)))</f>
        <v/>
      </c>
      <c r="CM96" s="616" t="str">
        <f t="shared" si="138"/>
        <v/>
      </c>
      <c r="CN96" s="616" t="str">
        <f>IF(ISNUMBER(P96),MAX('Adjustment factors'!$S$16,(0.2+0.8*P96)),IF(ISTEXT(N96),VLOOKUP(N96,Afactors,2,FALSE),""))</f>
        <v/>
      </c>
      <c r="CO96" s="616" t="str">
        <f>IF(ISNUMBER(S96),MAX('Adjustment factors'!$S$16,0.2+0.8*S96),IF(ISTEXT(Q96),VLOOKUP(Q96,Afactors,2,FALSE),""))</f>
        <v/>
      </c>
      <c r="CP96" s="611" t="str">
        <f t="shared" si="139"/>
        <v/>
      </c>
      <c r="CQ96" s="612" t="str">
        <f t="shared" si="140"/>
        <v/>
      </c>
      <c r="CR96" s="340"/>
      <c r="CS96" s="340"/>
      <c r="CT96" s="340"/>
      <c r="CU96" s="340"/>
      <c r="CV96" s="333"/>
      <c r="CW96" s="333"/>
      <c r="CX96" s="333"/>
      <c r="CY96" s="333"/>
      <c r="DA96" s="313" t="str">
        <f t="shared" si="112"/>
        <v>OK</v>
      </c>
      <c r="DB96" s="313" t="str">
        <f t="shared" si="113"/>
        <v>OK</v>
      </c>
      <c r="DC96" s="313" t="str">
        <f t="shared" si="114"/>
        <v>OK</v>
      </c>
      <c r="DD96" s="313" t="str">
        <f t="shared" si="115"/>
        <v>OK</v>
      </c>
      <c r="DE96" s="153" t="str">
        <f t="shared" si="116"/>
        <v>OK</v>
      </c>
      <c r="DF96" s="314" t="str">
        <f t="shared" si="117"/>
        <v>OK</v>
      </c>
      <c r="DG96" s="482" t="str">
        <f t="shared" si="141"/>
        <v>OK</v>
      </c>
      <c r="DH96" s="482" t="str">
        <f>IF(OR(AND(T96='Adjustment factors'!$R$28,'Class 3, 5-9'!U96='Adjustment factors'!$R$29),AND('Class 3, 5-9'!T96='Adjustment factors'!$R$29,'Class 3, 5-9'!U96='Adjustment factors'!$R$28)),"Invalid combination of adjustment factors",IF(AND(T96=U96,NOT(ISBLANK(T96)),NOT(ISBLANK(U96))),"Same colour factor selected twice","OK"))</f>
        <v>OK</v>
      </c>
      <c r="DI96" s="313" t="str">
        <f t="shared" si="118"/>
        <v>OK</v>
      </c>
      <c r="DJ96" s="153" t="str">
        <f t="shared" si="142"/>
        <v>OK</v>
      </c>
      <c r="DK96" s="153" t="str">
        <f t="shared" si="119"/>
        <v>OK</v>
      </c>
      <c r="DL96" s="313" t="str">
        <f t="shared" si="120"/>
        <v>OK</v>
      </c>
      <c r="DM96" s="153" t="str">
        <f t="shared" si="121"/>
        <v>OK</v>
      </c>
      <c r="DN96" s="153" t="str">
        <f t="shared" si="143"/>
        <v>OK</v>
      </c>
      <c r="DO96" s="154" t="str">
        <f t="shared" si="144"/>
        <v>OK</v>
      </c>
      <c r="DP96" s="153" t="str">
        <f t="shared" si="122"/>
        <v>OK</v>
      </c>
      <c r="DQ96" s="313" t="str">
        <f t="shared" si="123"/>
        <v>OK</v>
      </c>
      <c r="DR96" s="153" t="str">
        <f t="shared" si="145"/>
        <v>OK</v>
      </c>
      <c r="DS96" s="153" t="str">
        <f t="shared" si="124"/>
        <v>OK</v>
      </c>
      <c r="DT96" s="313" t="str">
        <f t="shared" si="79"/>
        <v>OK</v>
      </c>
      <c r="DU96" s="153" t="str">
        <f t="shared" si="125"/>
        <v>OK</v>
      </c>
      <c r="DV96" s="153" t="str">
        <f t="shared" si="146"/>
        <v>OK</v>
      </c>
      <c r="DW96" s="154" t="str">
        <f t="shared" si="147"/>
        <v>OK</v>
      </c>
      <c r="DX96" s="157">
        <f t="shared" si="148"/>
        <v>0</v>
      </c>
      <c r="DY96" s="156" t="str">
        <f t="shared" si="149"/>
        <v>OK</v>
      </c>
    </row>
    <row r="97" spans="1:129" ht="13" hidden="1" x14ac:dyDescent="0.3">
      <c r="A97" s="333"/>
      <c r="B97" s="333"/>
      <c r="C97" s="332" t="str">
        <f t="shared" si="126"/>
        <v>-</v>
      </c>
      <c r="D97" s="584">
        <f t="shared" si="77"/>
        <v>74</v>
      </c>
      <c r="E97" s="585"/>
      <c r="F97" s="586"/>
      <c r="G97" s="600"/>
      <c r="H97" s="587"/>
      <c r="I97" s="601"/>
      <c r="J97" s="585"/>
      <c r="K97" s="617"/>
      <c r="L97" s="602"/>
      <c r="M97" s="603"/>
      <c r="N97" s="588"/>
      <c r="O97" s="604"/>
      <c r="P97" s="605"/>
      <c r="Q97" s="588"/>
      <c r="R97" s="604"/>
      <c r="S97" s="605"/>
      <c r="T97" s="606"/>
      <c r="U97" s="606"/>
      <c r="V97" s="429" t="str">
        <f t="shared" si="80"/>
        <v/>
      </c>
      <c r="W97" s="430" t="str">
        <f t="shared" si="80"/>
        <v/>
      </c>
      <c r="X97" s="66" t="str">
        <f>IF(AND(ISNUMBER(P97),N97=FixedDim),MAX('Adjustment factors'!$S$16,0.2+0.8*P97),IF(ISTEXT(N97),VLOOKUP(N97,Afactors,2,TRUE),""))</f>
        <v/>
      </c>
      <c r="Y97" s="17" t="str">
        <f>IF(AND(ISNUMBER(S97),Q97=FixedDim),MAX('Adjustment factors'!$S$16,0.2+0.8*S97),IF(ISTEXT(Q97),VLOOKUP(Q97,Afactors,2,TRUE),""))</f>
        <v/>
      </c>
      <c r="Z97" s="297" t="str">
        <f>IF(ISBLANK(T97),"",VLOOKUP(T97,'Adjustment factors'!$R$27:$S$30,2,TRUE))</f>
        <v/>
      </c>
      <c r="AA97" s="297" t="str">
        <f>IF(ISBLANK(U97),"",VLOOKUP(U97,'Adjustment factors'!$R$27:$S$30,2,TRUE))</f>
        <v/>
      </c>
      <c r="AB97" s="480">
        <f t="shared" si="127"/>
        <v>1</v>
      </c>
      <c r="AC97" s="18" t="b">
        <f t="shared" si="81"/>
        <v>0</v>
      </c>
      <c r="AD97" s="18" t="b">
        <f t="shared" si="82"/>
        <v>0</v>
      </c>
      <c r="AE97" s="18" t="b">
        <f t="shared" si="128"/>
        <v>0</v>
      </c>
      <c r="AF97" s="17" t="str">
        <f t="shared" si="83"/>
        <v/>
      </c>
      <c r="AG97" s="18" t="str">
        <f t="shared" si="84"/>
        <v/>
      </c>
      <c r="AH97" s="17" t="str">
        <f t="shared" si="85"/>
        <v/>
      </c>
      <c r="AI97" s="297" t="e">
        <f t="shared" si="129"/>
        <v>#VALUE!</v>
      </c>
      <c r="AJ97" s="79" t="e">
        <f t="shared" si="86"/>
        <v>#VALUE!</v>
      </c>
      <c r="AK97" s="17" t="str">
        <f t="shared" si="150"/>
        <v/>
      </c>
      <c r="AL97" s="80" t="e">
        <f t="shared" si="87"/>
        <v>#VALUE!</v>
      </c>
      <c r="AM97" s="139" t="b">
        <f t="shared" si="88"/>
        <v>1</v>
      </c>
      <c r="AN97" s="139" t="b">
        <f>AND(COUNTA(E97)&gt;0,ISNUMBER(F97),OR(COUNT(G97:H97)=0,COUNT(G97:H97)=2,AND(ISNUMBER(G97),ISNUMBER(VALUE(LEFT(H97,SUM(LEN(H97)-LEN(SUBSTITUTE(H97,{"0","1","2","3","4","5","6","7","8","9","."},"")))))))),ISNUMBER(I97),ISTEXT(J97))</f>
        <v>0</v>
      </c>
      <c r="AO97" s="19" t="b">
        <f t="shared" si="89"/>
        <v>0</v>
      </c>
      <c r="AP97" s="19" t="b">
        <f t="shared" si="90"/>
        <v>1</v>
      </c>
      <c r="AQ97" s="19" t="b">
        <f>IF(AND(COUNTBLANK(E97:J97)=6,OR(AN98:AN$523)),NOT(AN97))</f>
        <v>0</v>
      </c>
      <c r="AR97" s="19" t="str">
        <f t="shared" si="91"/>
        <v/>
      </c>
      <c r="AS97" s="19" t="b">
        <f t="shared" si="92"/>
        <v>1</v>
      </c>
      <c r="AT97" s="19" t="str">
        <f t="shared" si="93"/>
        <v/>
      </c>
      <c r="AU97" s="19" t="b">
        <f t="shared" si="94"/>
        <v>1</v>
      </c>
      <c r="AV97" s="140" t="str">
        <f t="shared" si="130"/>
        <v/>
      </c>
      <c r="AW97" s="19" t="str">
        <f t="shared" si="95"/>
        <v/>
      </c>
      <c r="AX97" s="81">
        <f t="shared" si="96"/>
        <v>0</v>
      </c>
      <c r="AY97" s="81" t="str">
        <f t="shared" si="97"/>
        <v/>
      </c>
      <c r="AZ97" s="307" t="str">
        <f t="shared" si="131"/>
        <v/>
      </c>
      <c r="BA97" s="281" t="str">
        <f t="shared" si="132"/>
        <v/>
      </c>
      <c r="BB97" s="281" t="str">
        <f t="shared" si="133"/>
        <v/>
      </c>
      <c r="BC97" s="953"/>
      <c r="BD97" s="955"/>
      <c r="BE97" s="219" t="str">
        <f t="shared" si="98"/>
        <v>n/a</v>
      </c>
      <c r="BF97" s="215" t="b">
        <f t="shared" si="99"/>
        <v>0</v>
      </c>
      <c r="BG97" s="145" t="b">
        <f t="shared" si="100"/>
        <v>0</v>
      </c>
      <c r="BH97" s="145" t="b">
        <f t="shared" si="101"/>
        <v>0</v>
      </c>
      <c r="BI97" s="216" t="b">
        <f t="shared" si="102"/>
        <v>0</v>
      </c>
      <c r="BJ97" s="215" t="b">
        <f t="shared" si="103"/>
        <v>0</v>
      </c>
      <c r="BK97" s="145" t="b">
        <f t="shared" si="104"/>
        <v>0</v>
      </c>
      <c r="BL97" s="216" t="b">
        <f t="shared" si="105"/>
        <v>0</v>
      </c>
      <c r="BM97" s="217" t="str">
        <f t="shared" si="134"/>
        <v/>
      </c>
      <c r="BN97" s="146" t="str">
        <f t="shared" si="135"/>
        <v/>
      </c>
      <c r="BO97" s="147" t="str">
        <f t="shared" si="136"/>
        <v/>
      </c>
      <c r="BP97" s="148" t="str">
        <f t="shared" si="137"/>
        <v/>
      </c>
      <c r="BT97" s="50">
        <f t="shared" si="78"/>
        <v>74</v>
      </c>
      <c r="BU97" s="50" t="str">
        <f t="shared" si="106"/>
        <v>-</v>
      </c>
      <c r="BW97" s="340"/>
      <c r="BX97" s="333"/>
      <c r="BY97" s="333"/>
      <c r="BZ97" s="333"/>
      <c r="CA97" s="333"/>
      <c r="CB97" s="333"/>
      <c r="CC97" s="333"/>
      <c r="CD97" s="333"/>
      <c r="CE97" s="333"/>
      <c r="CF97" s="333"/>
      <c r="CG97" s="354">
        <f t="shared" si="107"/>
        <v>74</v>
      </c>
      <c r="CH97" s="613">
        <f t="shared" si="108"/>
        <v>0</v>
      </c>
      <c r="CI97" s="613">
        <f t="shared" si="109"/>
        <v>0</v>
      </c>
      <c r="CJ97" s="614" t="str">
        <f t="shared" si="110"/>
        <v/>
      </c>
      <c r="CK97" s="615" t="str">
        <f t="shared" si="111"/>
        <v/>
      </c>
      <c r="CL97" s="610" t="str">
        <f>IF(ISBLANK(H97),"",IF(AND(ISNUMBER(F97),ISNUMBER(G97),ISNUMBER(H97)),ROUND(F97/(H97*G97),2),ROUND(F97/(VALUE(LEFT(H97,SUM(LEN(H97)-LEN(SUBSTITUTE(H97,{"0","1","2","3","4","5","6","7","8","9","."},"")))))*G97),2)))</f>
        <v/>
      </c>
      <c r="CM97" s="616" t="str">
        <f t="shared" si="138"/>
        <v/>
      </c>
      <c r="CN97" s="616" t="str">
        <f>IF(ISNUMBER(P97),MAX('Adjustment factors'!$S$16,(0.2+0.8*P97)),IF(ISTEXT(N97),VLOOKUP(N97,Afactors,2,FALSE),""))</f>
        <v/>
      </c>
      <c r="CO97" s="616" t="str">
        <f>IF(ISNUMBER(S97),MAX('Adjustment factors'!$S$16,0.2+0.8*S97),IF(ISTEXT(Q97),VLOOKUP(Q97,Afactors,2,FALSE),""))</f>
        <v/>
      </c>
      <c r="CP97" s="611" t="str">
        <f t="shared" si="139"/>
        <v/>
      </c>
      <c r="CQ97" s="612" t="str">
        <f t="shared" si="140"/>
        <v/>
      </c>
      <c r="CR97" s="340"/>
      <c r="CS97" s="340"/>
      <c r="CT97" s="340"/>
      <c r="CU97" s="340"/>
      <c r="CV97" s="333"/>
      <c r="CW97" s="333"/>
      <c r="CX97" s="333"/>
      <c r="CY97" s="333"/>
      <c r="DA97" s="313" t="str">
        <f t="shared" si="112"/>
        <v>OK</v>
      </c>
      <c r="DB97" s="313" t="str">
        <f t="shared" si="113"/>
        <v>OK</v>
      </c>
      <c r="DC97" s="313" t="str">
        <f t="shared" si="114"/>
        <v>OK</v>
      </c>
      <c r="DD97" s="313" t="str">
        <f t="shared" si="115"/>
        <v>OK</v>
      </c>
      <c r="DE97" s="153" t="str">
        <f t="shared" si="116"/>
        <v>OK</v>
      </c>
      <c r="DF97" s="314" t="str">
        <f t="shared" si="117"/>
        <v>OK</v>
      </c>
      <c r="DG97" s="482" t="str">
        <f t="shared" si="141"/>
        <v>OK</v>
      </c>
      <c r="DH97" s="482" t="str">
        <f>IF(OR(AND(T97='Adjustment factors'!$R$28,'Class 3, 5-9'!U97='Adjustment factors'!$R$29),AND('Class 3, 5-9'!T97='Adjustment factors'!$R$29,'Class 3, 5-9'!U97='Adjustment factors'!$R$28)),"Invalid combination of adjustment factors",IF(AND(T97=U97,NOT(ISBLANK(T97)),NOT(ISBLANK(U97))),"Same colour factor selected twice","OK"))</f>
        <v>OK</v>
      </c>
      <c r="DI97" s="313" t="str">
        <f t="shared" si="118"/>
        <v>OK</v>
      </c>
      <c r="DJ97" s="153" t="str">
        <f t="shared" si="142"/>
        <v>OK</v>
      </c>
      <c r="DK97" s="153" t="str">
        <f t="shared" si="119"/>
        <v>OK</v>
      </c>
      <c r="DL97" s="313" t="str">
        <f t="shared" si="120"/>
        <v>OK</v>
      </c>
      <c r="DM97" s="153" t="str">
        <f t="shared" si="121"/>
        <v>OK</v>
      </c>
      <c r="DN97" s="153" t="str">
        <f t="shared" si="143"/>
        <v>OK</v>
      </c>
      <c r="DO97" s="154" t="str">
        <f t="shared" si="144"/>
        <v>OK</v>
      </c>
      <c r="DP97" s="153" t="str">
        <f t="shared" si="122"/>
        <v>OK</v>
      </c>
      <c r="DQ97" s="313" t="str">
        <f t="shared" si="123"/>
        <v>OK</v>
      </c>
      <c r="DR97" s="153" t="str">
        <f t="shared" si="145"/>
        <v>OK</v>
      </c>
      <c r="DS97" s="153" t="str">
        <f t="shared" si="124"/>
        <v>OK</v>
      </c>
      <c r="DT97" s="313" t="str">
        <f t="shared" si="79"/>
        <v>OK</v>
      </c>
      <c r="DU97" s="153" t="str">
        <f t="shared" si="125"/>
        <v>OK</v>
      </c>
      <c r="DV97" s="153" t="str">
        <f t="shared" si="146"/>
        <v>OK</v>
      </c>
      <c r="DW97" s="154" t="str">
        <f t="shared" si="147"/>
        <v>OK</v>
      </c>
      <c r="DX97" s="157">
        <f t="shared" si="148"/>
        <v>0</v>
      </c>
      <c r="DY97" s="156" t="str">
        <f t="shared" si="149"/>
        <v>OK</v>
      </c>
    </row>
    <row r="98" spans="1:129" ht="13" hidden="1" x14ac:dyDescent="0.3">
      <c r="A98" s="333"/>
      <c r="B98" s="333"/>
      <c r="C98" s="332" t="str">
        <f t="shared" si="126"/>
        <v>-</v>
      </c>
      <c r="D98" s="584">
        <f t="shared" si="77"/>
        <v>75</v>
      </c>
      <c r="E98" s="585"/>
      <c r="F98" s="586"/>
      <c r="G98" s="600"/>
      <c r="H98" s="587"/>
      <c r="I98" s="601"/>
      <c r="J98" s="585"/>
      <c r="K98" s="617"/>
      <c r="L98" s="602"/>
      <c r="M98" s="603"/>
      <c r="N98" s="588"/>
      <c r="O98" s="604"/>
      <c r="P98" s="605"/>
      <c r="Q98" s="588"/>
      <c r="R98" s="604"/>
      <c r="S98" s="605"/>
      <c r="T98" s="606"/>
      <c r="U98" s="606"/>
      <c r="V98" s="429" t="str">
        <f t="shared" si="80"/>
        <v/>
      </c>
      <c r="W98" s="430" t="str">
        <f t="shared" si="80"/>
        <v/>
      </c>
      <c r="X98" s="66" t="str">
        <f>IF(AND(ISNUMBER(P98),N98=FixedDim),MAX('Adjustment factors'!$S$16,0.2+0.8*P98),IF(ISTEXT(N98),VLOOKUP(N98,Afactors,2,TRUE),""))</f>
        <v/>
      </c>
      <c r="Y98" s="17" t="str">
        <f>IF(AND(ISNUMBER(S98),Q98=FixedDim),MAX('Adjustment factors'!$S$16,0.2+0.8*S98),IF(ISTEXT(Q98),VLOOKUP(Q98,Afactors,2,TRUE),""))</f>
        <v/>
      </c>
      <c r="Z98" s="297" t="str">
        <f>IF(ISBLANK(T98),"",VLOOKUP(T98,'Adjustment factors'!$R$27:$S$30,2,TRUE))</f>
        <v/>
      </c>
      <c r="AA98" s="297" t="str">
        <f>IF(ISBLANK(U98),"",VLOOKUP(U98,'Adjustment factors'!$R$27:$S$30,2,TRUE))</f>
        <v/>
      </c>
      <c r="AB98" s="480">
        <f t="shared" si="127"/>
        <v>1</v>
      </c>
      <c r="AC98" s="18" t="b">
        <f t="shared" si="81"/>
        <v>0</v>
      </c>
      <c r="AD98" s="18" t="b">
        <f t="shared" si="82"/>
        <v>0</v>
      </c>
      <c r="AE98" s="18" t="b">
        <f t="shared" si="128"/>
        <v>0</v>
      </c>
      <c r="AF98" s="17" t="str">
        <f t="shared" si="83"/>
        <v/>
      </c>
      <c r="AG98" s="18" t="str">
        <f t="shared" si="84"/>
        <v/>
      </c>
      <c r="AH98" s="17" t="str">
        <f t="shared" si="85"/>
        <v/>
      </c>
      <c r="AI98" s="297" t="e">
        <f t="shared" si="129"/>
        <v>#VALUE!</v>
      </c>
      <c r="AJ98" s="79" t="e">
        <f t="shared" si="86"/>
        <v>#VALUE!</v>
      </c>
      <c r="AK98" s="17" t="str">
        <f t="shared" si="150"/>
        <v/>
      </c>
      <c r="AL98" s="80" t="e">
        <f t="shared" si="87"/>
        <v>#VALUE!</v>
      </c>
      <c r="AM98" s="139" t="b">
        <f t="shared" si="88"/>
        <v>1</v>
      </c>
      <c r="AN98" s="139" t="b">
        <f>AND(COUNTA(E98)&gt;0,ISNUMBER(F98),OR(COUNT(G98:H98)=0,COUNT(G98:H98)=2,AND(ISNUMBER(G98),ISNUMBER(VALUE(LEFT(H98,SUM(LEN(H98)-LEN(SUBSTITUTE(H98,{"0","1","2","3","4","5","6","7","8","9","."},"")))))))),ISNUMBER(I98),ISTEXT(J98))</f>
        <v>0</v>
      </c>
      <c r="AO98" s="19" t="b">
        <f t="shared" si="89"/>
        <v>0</v>
      </c>
      <c r="AP98" s="19" t="b">
        <f t="shared" si="90"/>
        <v>1</v>
      </c>
      <c r="AQ98" s="19" t="b">
        <f>IF(AND(COUNTBLANK(E98:J98)=6,OR(AN99:AN$523)),NOT(AN98))</f>
        <v>0</v>
      </c>
      <c r="AR98" s="19" t="str">
        <f t="shared" si="91"/>
        <v/>
      </c>
      <c r="AS98" s="19" t="b">
        <f t="shared" si="92"/>
        <v>1</v>
      </c>
      <c r="AT98" s="19" t="str">
        <f t="shared" si="93"/>
        <v/>
      </c>
      <c r="AU98" s="19" t="b">
        <f t="shared" si="94"/>
        <v>1</v>
      </c>
      <c r="AV98" s="140" t="str">
        <f t="shared" si="130"/>
        <v/>
      </c>
      <c r="AW98" s="19" t="str">
        <f t="shared" si="95"/>
        <v/>
      </c>
      <c r="AX98" s="81">
        <f t="shared" si="96"/>
        <v>0</v>
      </c>
      <c r="AY98" s="81" t="str">
        <f t="shared" si="97"/>
        <v/>
      </c>
      <c r="AZ98" s="307" t="str">
        <f t="shared" si="131"/>
        <v/>
      </c>
      <c r="BA98" s="281" t="str">
        <f t="shared" si="132"/>
        <v/>
      </c>
      <c r="BB98" s="281" t="str">
        <f t="shared" si="133"/>
        <v/>
      </c>
      <c r="BC98" s="953"/>
      <c r="BD98" s="955"/>
      <c r="BE98" s="219" t="str">
        <f t="shared" si="98"/>
        <v>n/a</v>
      </c>
      <c r="BF98" s="215" t="b">
        <f t="shared" si="99"/>
        <v>0</v>
      </c>
      <c r="BG98" s="145" t="b">
        <f t="shared" si="100"/>
        <v>0</v>
      </c>
      <c r="BH98" s="145" t="b">
        <f t="shared" si="101"/>
        <v>0</v>
      </c>
      <c r="BI98" s="216" t="b">
        <f t="shared" si="102"/>
        <v>0</v>
      </c>
      <c r="BJ98" s="215" t="b">
        <f t="shared" si="103"/>
        <v>0</v>
      </c>
      <c r="BK98" s="145" t="b">
        <f t="shared" si="104"/>
        <v>0</v>
      </c>
      <c r="BL98" s="216" t="b">
        <f t="shared" si="105"/>
        <v>0</v>
      </c>
      <c r="BM98" s="217" t="str">
        <f t="shared" si="134"/>
        <v/>
      </c>
      <c r="BN98" s="146" t="str">
        <f t="shared" si="135"/>
        <v/>
      </c>
      <c r="BO98" s="147" t="str">
        <f t="shared" si="136"/>
        <v/>
      </c>
      <c r="BP98" s="148" t="str">
        <f t="shared" si="137"/>
        <v/>
      </c>
      <c r="BT98" s="50">
        <f t="shared" si="78"/>
        <v>75</v>
      </c>
      <c r="BU98" s="50" t="str">
        <f t="shared" si="106"/>
        <v>-</v>
      </c>
      <c r="BW98" s="340"/>
      <c r="BX98" s="333"/>
      <c r="BY98" s="333"/>
      <c r="BZ98" s="333"/>
      <c r="CA98" s="333"/>
      <c r="CB98" s="333"/>
      <c r="CC98" s="333"/>
      <c r="CD98" s="333"/>
      <c r="CE98" s="333"/>
      <c r="CF98" s="333"/>
      <c r="CG98" s="354">
        <f t="shared" si="107"/>
        <v>75</v>
      </c>
      <c r="CH98" s="613">
        <f t="shared" si="108"/>
        <v>0</v>
      </c>
      <c r="CI98" s="613">
        <f t="shared" si="109"/>
        <v>0</v>
      </c>
      <c r="CJ98" s="614" t="str">
        <f t="shared" si="110"/>
        <v/>
      </c>
      <c r="CK98" s="615" t="str">
        <f t="shared" si="111"/>
        <v/>
      </c>
      <c r="CL98" s="610" t="str">
        <f>IF(ISBLANK(H98),"",IF(AND(ISNUMBER(F98),ISNUMBER(G98),ISNUMBER(H98)),ROUND(F98/(H98*G98),2),ROUND(F98/(VALUE(LEFT(H98,SUM(LEN(H98)-LEN(SUBSTITUTE(H98,{"0","1","2","3","4","5","6","7","8","9","."},"")))))*G98),2)))</f>
        <v/>
      </c>
      <c r="CM98" s="616" t="str">
        <f t="shared" si="138"/>
        <v/>
      </c>
      <c r="CN98" s="616" t="str">
        <f>IF(ISNUMBER(P98),MAX('Adjustment factors'!$S$16,(0.2+0.8*P98)),IF(ISTEXT(N98),VLOOKUP(N98,Afactors,2,FALSE),""))</f>
        <v/>
      </c>
      <c r="CO98" s="616" t="str">
        <f>IF(ISNUMBER(S98),MAX('Adjustment factors'!$S$16,0.2+0.8*S98),IF(ISTEXT(Q98),VLOOKUP(Q98,Afactors,2,FALSE),""))</f>
        <v/>
      </c>
      <c r="CP98" s="611" t="str">
        <f t="shared" si="139"/>
        <v/>
      </c>
      <c r="CQ98" s="612" t="str">
        <f t="shared" si="140"/>
        <v/>
      </c>
      <c r="CR98" s="340"/>
      <c r="CS98" s="340"/>
      <c r="CT98" s="340"/>
      <c r="CU98" s="340"/>
      <c r="CV98" s="333"/>
      <c r="CW98" s="333"/>
      <c r="CX98" s="333"/>
      <c r="CY98" s="333"/>
      <c r="DA98" s="313" t="str">
        <f t="shared" si="112"/>
        <v>OK</v>
      </c>
      <c r="DB98" s="313" t="str">
        <f t="shared" si="113"/>
        <v>OK</v>
      </c>
      <c r="DC98" s="313" t="str">
        <f t="shared" si="114"/>
        <v>OK</v>
      </c>
      <c r="DD98" s="313" t="str">
        <f t="shared" si="115"/>
        <v>OK</v>
      </c>
      <c r="DE98" s="153" t="str">
        <f t="shared" si="116"/>
        <v>OK</v>
      </c>
      <c r="DF98" s="314" t="str">
        <f t="shared" si="117"/>
        <v>OK</v>
      </c>
      <c r="DG98" s="482" t="str">
        <f t="shared" si="141"/>
        <v>OK</v>
      </c>
      <c r="DH98" s="482" t="str">
        <f>IF(OR(AND(T98='Adjustment factors'!$R$28,'Class 3, 5-9'!U98='Adjustment factors'!$R$29),AND('Class 3, 5-9'!T98='Adjustment factors'!$R$29,'Class 3, 5-9'!U98='Adjustment factors'!$R$28)),"Invalid combination of adjustment factors",IF(AND(T98=U98,NOT(ISBLANK(T98)),NOT(ISBLANK(U98))),"Same colour factor selected twice","OK"))</f>
        <v>OK</v>
      </c>
      <c r="DI98" s="313" t="str">
        <f t="shared" si="118"/>
        <v>OK</v>
      </c>
      <c r="DJ98" s="153" t="str">
        <f t="shared" si="142"/>
        <v>OK</v>
      </c>
      <c r="DK98" s="153" t="str">
        <f t="shared" si="119"/>
        <v>OK</v>
      </c>
      <c r="DL98" s="313" t="str">
        <f t="shared" si="120"/>
        <v>OK</v>
      </c>
      <c r="DM98" s="153" t="str">
        <f t="shared" si="121"/>
        <v>OK</v>
      </c>
      <c r="DN98" s="153" t="str">
        <f t="shared" si="143"/>
        <v>OK</v>
      </c>
      <c r="DO98" s="154" t="str">
        <f t="shared" si="144"/>
        <v>OK</v>
      </c>
      <c r="DP98" s="153" t="str">
        <f t="shared" si="122"/>
        <v>OK</v>
      </c>
      <c r="DQ98" s="313" t="str">
        <f t="shared" si="123"/>
        <v>OK</v>
      </c>
      <c r="DR98" s="153" t="str">
        <f t="shared" si="145"/>
        <v>OK</v>
      </c>
      <c r="DS98" s="153" t="str">
        <f t="shared" si="124"/>
        <v>OK</v>
      </c>
      <c r="DT98" s="313" t="str">
        <f t="shared" si="79"/>
        <v>OK</v>
      </c>
      <c r="DU98" s="153" t="str">
        <f t="shared" si="125"/>
        <v>OK</v>
      </c>
      <c r="DV98" s="153" t="str">
        <f t="shared" si="146"/>
        <v>OK</v>
      </c>
      <c r="DW98" s="154" t="str">
        <f t="shared" si="147"/>
        <v>OK</v>
      </c>
      <c r="DX98" s="157">
        <f t="shared" si="148"/>
        <v>0</v>
      </c>
      <c r="DY98" s="156" t="str">
        <f t="shared" si="149"/>
        <v>OK</v>
      </c>
    </row>
    <row r="99" spans="1:129" ht="13" hidden="1" x14ac:dyDescent="0.3">
      <c r="A99" s="333"/>
      <c r="B99" s="333"/>
      <c r="C99" s="332" t="str">
        <f t="shared" si="126"/>
        <v>-</v>
      </c>
      <c r="D99" s="584">
        <f t="shared" si="77"/>
        <v>76</v>
      </c>
      <c r="E99" s="585"/>
      <c r="F99" s="586"/>
      <c r="G99" s="600"/>
      <c r="H99" s="587"/>
      <c r="I99" s="601"/>
      <c r="J99" s="585"/>
      <c r="K99" s="617"/>
      <c r="L99" s="602"/>
      <c r="M99" s="603"/>
      <c r="N99" s="588"/>
      <c r="O99" s="604"/>
      <c r="P99" s="605"/>
      <c r="Q99" s="588"/>
      <c r="R99" s="604"/>
      <c r="S99" s="605"/>
      <c r="T99" s="606"/>
      <c r="U99" s="606"/>
      <c r="V99" s="429" t="str">
        <f t="shared" si="80"/>
        <v/>
      </c>
      <c r="W99" s="430" t="str">
        <f t="shared" si="80"/>
        <v/>
      </c>
      <c r="X99" s="66" t="str">
        <f>IF(AND(ISNUMBER(P99),N99=FixedDim),MAX('Adjustment factors'!$S$16,0.2+0.8*P99),IF(ISTEXT(N99),VLOOKUP(N99,Afactors,2,TRUE),""))</f>
        <v/>
      </c>
      <c r="Y99" s="17" t="str">
        <f>IF(AND(ISNUMBER(S99),Q99=FixedDim),MAX('Adjustment factors'!$S$16,0.2+0.8*S99),IF(ISTEXT(Q99),VLOOKUP(Q99,Afactors,2,TRUE),""))</f>
        <v/>
      </c>
      <c r="Z99" s="297" t="str">
        <f>IF(ISBLANK(T99),"",VLOOKUP(T99,'Adjustment factors'!$R$27:$S$30,2,TRUE))</f>
        <v/>
      </c>
      <c r="AA99" s="297" t="str">
        <f>IF(ISBLANK(U99),"",VLOOKUP(U99,'Adjustment factors'!$R$27:$S$30,2,TRUE))</f>
        <v/>
      </c>
      <c r="AB99" s="480">
        <f t="shared" si="127"/>
        <v>1</v>
      </c>
      <c r="AC99" s="18" t="b">
        <f t="shared" si="81"/>
        <v>0</v>
      </c>
      <c r="AD99" s="18" t="b">
        <f t="shared" si="82"/>
        <v>0</v>
      </c>
      <c r="AE99" s="18" t="b">
        <f t="shared" si="128"/>
        <v>0</v>
      </c>
      <c r="AF99" s="17" t="str">
        <f t="shared" si="83"/>
        <v/>
      </c>
      <c r="AG99" s="18" t="str">
        <f t="shared" si="84"/>
        <v/>
      </c>
      <c r="AH99" s="17" t="str">
        <f t="shared" si="85"/>
        <v/>
      </c>
      <c r="AI99" s="297" t="e">
        <f t="shared" si="129"/>
        <v>#VALUE!</v>
      </c>
      <c r="AJ99" s="79" t="e">
        <f t="shared" si="86"/>
        <v>#VALUE!</v>
      </c>
      <c r="AK99" s="17" t="str">
        <f t="shared" si="150"/>
        <v/>
      </c>
      <c r="AL99" s="80" t="e">
        <f t="shared" si="87"/>
        <v>#VALUE!</v>
      </c>
      <c r="AM99" s="139" t="b">
        <f t="shared" si="88"/>
        <v>1</v>
      </c>
      <c r="AN99" s="139" t="b">
        <f>AND(COUNTA(E99)&gt;0,ISNUMBER(F99),OR(COUNT(G99:H99)=0,COUNT(G99:H99)=2,AND(ISNUMBER(G99),ISNUMBER(VALUE(LEFT(H99,SUM(LEN(H99)-LEN(SUBSTITUTE(H99,{"0","1","2","3","4","5","6","7","8","9","."},"")))))))),ISNUMBER(I99),ISTEXT(J99))</f>
        <v>0</v>
      </c>
      <c r="AO99" s="19" t="b">
        <f t="shared" si="89"/>
        <v>0</v>
      </c>
      <c r="AP99" s="19" t="b">
        <f t="shared" si="90"/>
        <v>1</v>
      </c>
      <c r="AQ99" s="19" t="b">
        <f>IF(AND(COUNTBLANK(E99:J99)=6,OR(AN100:AN$523)),NOT(AN99))</f>
        <v>0</v>
      </c>
      <c r="AR99" s="19" t="str">
        <f t="shared" si="91"/>
        <v/>
      </c>
      <c r="AS99" s="19" t="b">
        <f t="shared" si="92"/>
        <v>1</v>
      </c>
      <c r="AT99" s="19" t="str">
        <f t="shared" si="93"/>
        <v/>
      </c>
      <c r="AU99" s="19" t="b">
        <f t="shared" si="94"/>
        <v>1</v>
      </c>
      <c r="AV99" s="140" t="str">
        <f t="shared" si="130"/>
        <v/>
      </c>
      <c r="AW99" s="19" t="str">
        <f t="shared" si="95"/>
        <v/>
      </c>
      <c r="AX99" s="81">
        <f t="shared" si="96"/>
        <v>0</v>
      </c>
      <c r="AY99" s="81" t="str">
        <f t="shared" si="97"/>
        <v/>
      </c>
      <c r="AZ99" s="307" t="str">
        <f t="shared" si="131"/>
        <v/>
      </c>
      <c r="BA99" s="281" t="str">
        <f t="shared" si="132"/>
        <v/>
      </c>
      <c r="BB99" s="281" t="str">
        <f t="shared" si="133"/>
        <v/>
      </c>
      <c r="BC99" s="953"/>
      <c r="BD99" s="955"/>
      <c r="BE99" s="219" t="str">
        <f t="shared" si="98"/>
        <v>n/a</v>
      </c>
      <c r="BF99" s="215" t="b">
        <f t="shared" si="99"/>
        <v>0</v>
      </c>
      <c r="BG99" s="145" t="b">
        <f t="shared" si="100"/>
        <v>0</v>
      </c>
      <c r="BH99" s="145" t="b">
        <f t="shared" si="101"/>
        <v>0</v>
      </c>
      <c r="BI99" s="216" t="b">
        <f t="shared" si="102"/>
        <v>0</v>
      </c>
      <c r="BJ99" s="215" t="b">
        <f t="shared" si="103"/>
        <v>0</v>
      </c>
      <c r="BK99" s="145" t="b">
        <f t="shared" si="104"/>
        <v>0</v>
      </c>
      <c r="BL99" s="216" t="b">
        <f t="shared" si="105"/>
        <v>0</v>
      </c>
      <c r="BM99" s="217" t="str">
        <f t="shared" si="134"/>
        <v/>
      </c>
      <c r="BN99" s="146" t="str">
        <f t="shared" si="135"/>
        <v/>
      </c>
      <c r="BO99" s="147" t="str">
        <f t="shared" si="136"/>
        <v/>
      </c>
      <c r="BP99" s="148" t="str">
        <f t="shared" si="137"/>
        <v/>
      </c>
      <c r="BT99" s="50">
        <f t="shared" si="78"/>
        <v>76</v>
      </c>
      <c r="BU99" s="50" t="str">
        <f t="shared" si="106"/>
        <v>-</v>
      </c>
      <c r="BW99" s="340"/>
      <c r="BX99" s="333"/>
      <c r="BY99" s="333"/>
      <c r="BZ99" s="333"/>
      <c r="CA99" s="333"/>
      <c r="CB99" s="333"/>
      <c r="CC99" s="333"/>
      <c r="CD99" s="333"/>
      <c r="CE99" s="333"/>
      <c r="CF99" s="333"/>
      <c r="CG99" s="354">
        <f t="shared" si="107"/>
        <v>76</v>
      </c>
      <c r="CH99" s="613">
        <f t="shared" si="108"/>
        <v>0</v>
      </c>
      <c r="CI99" s="613">
        <f t="shared" si="109"/>
        <v>0</v>
      </c>
      <c r="CJ99" s="614" t="str">
        <f t="shared" si="110"/>
        <v/>
      </c>
      <c r="CK99" s="615" t="str">
        <f t="shared" si="111"/>
        <v/>
      </c>
      <c r="CL99" s="610" t="str">
        <f>IF(ISBLANK(H99),"",IF(AND(ISNUMBER(F99),ISNUMBER(G99),ISNUMBER(H99)),ROUND(F99/(H99*G99),2),ROUND(F99/(VALUE(LEFT(H99,SUM(LEN(H99)-LEN(SUBSTITUTE(H99,{"0","1","2","3","4","5","6","7","8","9","."},"")))))*G99),2)))</f>
        <v/>
      </c>
      <c r="CM99" s="616" t="str">
        <f t="shared" si="138"/>
        <v/>
      </c>
      <c r="CN99" s="616" t="str">
        <f>IF(ISNUMBER(P99),MAX('Adjustment factors'!$S$16,(0.2+0.8*P99)),IF(ISTEXT(N99),VLOOKUP(N99,Afactors,2,FALSE),""))</f>
        <v/>
      </c>
      <c r="CO99" s="616" t="str">
        <f>IF(ISNUMBER(S99),MAX('Adjustment factors'!$S$16,0.2+0.8*S99),IF(ISTEXT(Q99),VLOOKUP(Q99,Afactors,2,FALSE),""))</f>
        <v/>
      </c>
      <c r="CP99" s="611" t="str">
        <f t="shared" si="139"/>
        <v/>
      </c>
      <c r="CQ99" s="612" t="str">
        <f t="shared" si="140"/>
        <v/>
      </c>
      <c r="CR99" s="340"/>
      <c r="CS99" s="340"/>
      <c r="CT99" s="340"/>
      <c r="CU99" s="340"/>
      <c r="CV99" s="333"/>
      <c r="CW99" s="333"/>
      <c r="CX99" s="333"/>
      <c r="CY99" s="333"/>
      <c r="DA99" s="313" t="str">
        <f t="shared" si="112"/>
        <v>OK</v>
      </c>
      <c r="DB99" s="313" t="str">
        <f t="shared" si="113"/>
        <v>OK</v>
      </c>
      <c r="DC99" s="313" t="str">
        <f t="shared" si="114"/>
        <v>OK</v>
      </c>
      <c r="DD99" s="313" t="str">
        <f t="shared" si="115"/>
        <v>OK</v>
      </c>
      <c r="DE99" s="153" t="str">
        <f t="shared" si="116"/>
        <v>OK</v>
      </c>
      <c r="DF99" s="314" t="str">
        <f t="shared" si="117"/>
        <v>OK</v>
      </c>
      <c r="DG99" s="482" t="str">
        <f t="shared" si="141"/>
        <v>OK</v>
      </c>
      <c r="DH99" s="482" t="str">
        <f>IF(OR(AND(T99='Adjustment factors'!$R$28,'Class 3, 5-9'!U99='Adjustment factors'!$R$29),AND('Class 3, 5-9'!T99='Adjustment factors'!$R$29,'Class 3, 5-9'!U99='Adjustment factors'!$R$28)),"Invalid combination of adjustment factors",IF(AND(T99=U99,NOT(ISBLANK(T99)),NOT(ISBLANK(U99))),"Same colour factor selected twice","OK"))</f>
        <v>OK</v>
      </c>
      <c r="DI99" s="313" t="str">
        <f t="shared" si="118"/>
        <v>OK</v>
      </c>
      <c r="DJ99" s="153" t="str">
        <f t="shared" si="142"/>
        <v>OK</v>
      </c>
      <c r="DK99" s="153" t="str">
        <f t="shared" si="119"/>
        <v>OK</v>
      </c>
      <c r="DL99" s="313" t="str">
        <f t="shared" si="120"/>
        <v>OK</v>
      </c>
      <c r="DM99" s="153" t="str">
        <f t="shared" si="121"/>
        <v>OK</v>
      </c>
      <c r="DN99" s="153" t="str">
        <f t="shared" si="143"/>
        <v>OK</v>
      </c>
      <c r="DO99" s="154" t="str">
        <f t="shared" si="144"/>
        <v>OK</v>
      </c>
      <c r="DP99" s="153" t="str">
        <f t="shared" si="122"/>
        <v>OK</v>
      </c>
      <c r="DQ99" s="313" t="str">
        <f t="shared" si="123"/>
        <v>OK</v>
      </c>
      <c r="DR99" s="153" t="str">
        <f t="shared" si="145"/>
        <v>OK</v>
      </c>
      <c r="DS99" s="153" t="str">
        <f t="shared" si="124"/>
        <v>OK</v>
      </c>
      <c r="DT99" s="313" t="str">
        <f t="shared" si="79"/>
        <v>OK</v>
      </c>
      <c r="DU99" s="153" t="str">
        <f t="shared" si="125"/>
        <v>OK</v>
      </c>
      <c r="DV99" s="153" t="str">
        <f t="shared" si="146"/>
        <v>OK</v>
      </c>
      <c r="DW99" s="154" t="str">
        <f t="shared" si="147"/>
        <v>OK</v>
      </c>
      <c r="DX99" s="157">
        <f t="shared" si="148"/>
        <v>0</v>
      </c>
      <c r="DY99" s="156" t="str">
        <f t="shared" si="149"/>
        <v>OK</v>
      </c>
    </row>
    <row r="100" spans="1:129" ht="13" hidden="1" x14ac:dyDescent="0.3">
      <c r="A100" s="333"/>
      <c r="B100" s="333"/>
      <c r="C100" s="332" t="str">
        <f t="shared" si="126"/>
        <v>-</v>
      </c>
      <c r="D100" s="584">
        <f t="shared" si="77"/>
        <v>77</v>
      </c>
      <c r="E100" s="585"/>
      <c r="F100" s="586"/>
      <c r="G100" s="600"/>
      <c r="H100" s="587"/>
      <c r="I100" s="601"/>
      <c r="J100" s="585"/>
      <c r="K100" s="617"/>
      <c r="L100" s="602"/>
      <c r="M100" s="603"/>
      <c r="N100" s="588"/>
      <c r="O100" s="604"/>
      <c r="P100" s="605"/>
      <c r="Q100" s="588"/>
      <c r="R100" s="604"/>
      <c r="S100" s="605"/>
      <c r="T100" s="606"/>
      <c r="U100" s="606"/>
      <c r="V100" s="429" t="str">
        <f t="shared" si="80"/>
        <v/>
      </c>
      <c r="W100" s="430" t="str">
        <f t="shared" si="80"/>
        <v/>
      </c>
      <c r="X100" s="66" t="str">
        <f>IF(AND(ISNUMBER(P100),N100=FixedDim),MAX('Adjustment factors'!$S$16,0.2+0.8*P100),IF(ISTEXT(N100),VLOOKUP(N100,Afactors,2,TRUE),""))</f>
        <v/>
      </c>
      <c r="Y100" s="17" t="str">
        <f>IF(AND(ISNUMBER(S100),Q100=FixedDim),MAX('Adjustment factors'!$S$16,0.2+0.8*S100),IF(ISTEXT(Q100),VLOOKUP(Q100,Afactors,2,TRUE),""))</f>
        <v/>
      </c>
      <c r="Z100" s="297" t="str">
        <f>IF(ISBLANK(T100),"",VLOOKUP(T100,'Adjustment factors'!$R$27:$S$30,2,TRUE))</f>
        <v/>
      </c>
      <c r="AA100" s="297" t="str">
        <f>IF(ISBLANK(U100),"",VLOOKUP(U100,'Adjustment factors'!$R$27:$S$30,2,TRUE))</f>
        <v/>
      </c>
      <c r="AB100" s="480">
        <f t="shared" si="127"/>
        <v>1</v>
      </c>
      <c r="AC100" s="18" t="b">
        <f t="shared" si="81"/>
        <v>0</v>
      </c>
      <c r="AD100" s="18" t="b">
        <f t="shared" si="82"/>
        <v>0</v>
      </c>
      <c r="AE100" s="18" t="b">
        <f t="shared" si="128"/>
        <v>0</v>
      </c>
      <c r="AF100" s="17" t="str">
        <f t="shared" si="83"/>
        <v/>
      </c>
      <c r="AG100" s="18" t="str">
        <f t="shared" si="84"/>
        <v/>
      </c>
      <c r="AH100" s="17" t="str">
        <f t="shared" si="85"/>
        <v/>
      </c>
      <c r="AI100" s="297" t="e">
        <f t="shared" si="129"/>
        <v>#VALUE!</v>
      </c>
      <c r="AJ100" s="79" t="e">
        <f t="shared" si="86"/>
        <v>#VALUE!</v>
      </c>
      <c r="AK100" s="17" t="str">
        <f t="shared" si="150"/>
        <v/>
      </c>
      <c r="AL100" s="80" t="e">
        <f t="shared" si="87"/>
        <v>#VALUE!</v>
      </c>
      <c r="AM100" s="139" t="b">
        <f t="shared" si="88"/>
        <v>1</v>
      </c>
      <c r="AN100" s="139" t="b">
        <f>AND(COUNTA(E100)&gt;0,ISNUMBER(F100),OR(COUNT(G100:H100)=0,COUNT(G100:H100)=2,AND(ISNUMBER(G100),ISNUMBER(VALUE(LEFT(H100,SUM(LEN(H100)-LEN(SUBSTITUTE(H100,{"0","1","2","3","4","5","6","7","8","9","."},"")))))))),ISNUMBER(I100),ISTEXT(J100))</f>
        <v>0</v>
      </c>
      <c r="AO100" s="19" t="b">
        <f t="shared" si="89"/>
        <v>0</v>
      </c>
      <c r="AP100" s="19" t="b">
        <f t="shared" si="90"/>
        <v>1</v>
      </c>
      <c r="AQ100" s="19" t="b">
        <f>IF(AND(COUNTBLANK(E100:J100)=6,OR(AN101:AN$523)),NOT(AN100))</f>
        <v>0</v>
      </c>
      <c r="AR100" s="19" t="str">
        <f t="shared" si="91"/>
        <v/>
      </c>
      <c r="AS100" s="19" t="b">
        <f t="shared" si="92"/>
        <v>1</v>
      </c>
      <c r="AT100" s="19" t="str">
        <f t="shared" si="93"/>
        <v/>
      </c>
      <c r="AU100" s="19" t="b">
        <f t="shared" si="94"/>
        <v>1</v>
      </c>
      <c r="AV100" s="140" t="str">
        <f t="shared" si="130"/>
        <v/>
      </c>
      <c r="AW100" s="19" t="str">
        <f t="shared" si="95"/>
        <v/>
      </c>
      <c r="AX100" s="81">
        <f t="shared" si="96"/>
        <v>0</v>
      </c>
      <c r="AY100" s="81" t="str">
        <f t="shared" si="97"/>
        <v/>
      </c>
      <c r="AZ100" s="307" t="str">
        <f t="shared" si="131"/>
        <v/>
      </c>
      <c r="BA100" s="281" t="str">
        <f t="shared" si="132"/>
        <v/>
      </c>
      <c r="BB100" s="281" t="str">
        <f t="shared" si="133"/>
        <v/>
      </c>
      <c r="BC100" s="953"/>
      <c r="BD100" s="955"/>
      <c r="BE100" s="219" t="str">
        <f t="shared" si="98"/>
        <v>n/a</v>
      </c>
      <c r="BF100" s="215" t="b">
        <f t="shared" si="99"/>
        <v>0</v>
      </c>
      <c r="BG100" s="145" t="b">
        <f t="shared" si="100"/>
        <v>0</v>
      </c>
      <c r="BH100" s="145" t="b">
        <f t="shared" si="101"/>
        <v>0</v>
      </c>
      <c r="BI100" s="216" t="b">
        <f t="shared" si="102"/>
        <v>0</v>
      </c>
      <c r="BJ100" s="215" t="b">
        <f t="shared" si="103"/>
        <v>0</v>
      </c>
      <c r="BK100" s="145" t="b">
        <f t="shared" si="104"/>
        <v>0</v>
      </c>
      <c r="BL100" s="216" t="b">
        <f t="shared" si="105"/>
        <v>0</v>
      </c>
      <c r="BM100" s="217" t="str">
        <f t="shared" si="134"/>
        <v/>
      </c>
      <c r="BN100" s="146" t="str">
        <f t="shared" si="135"/>
        <v/>
      </c>
      <c r="BO100" s="147" t="str">
        <f t="shared" si="136"/>
        <v/>
      </c>
      <c r="BP100" s="148" t="str">
        <f t="shared" si="137"/>
        <v/>
      </c>
      <c r="BT100" s="50">
        <f t="shared" si="78"/>
        <v>77</v>
      </c>
      <c r="BU100" s="50" t="str">
        <f t="shared" si="106"/>
        <v>-</v>
      </c>
      <c r="BW100" s="340"/>
      <c r="BX100" s="333"/>
      <c r="BY100" s="333"/>
      <c r="BZ100" s="333"/>
      <c r="CA100" s="333"/>
      <c r="CB100" s="333"/>
      <c r="CC100" s="333"/>
      <c r="CD100" s="333"/>
      <c r="CE100" s="333"/>
      <c r="CF100" s="333"/>
      <c r="CG100" s="354">
        <f t="shared" si="107"/>
        <v>77</v>
      </c>
      <c r="CH100" s="613">
        <f t="shared" si="108"/>
        <v>0</v>
      </c>
      <c r="CI100" s="613">
        <f t="shared" si="109"/>
        <v>0</v>
      </c>
      <c r="CJ100" s="614" t="str">
        <f t="shared" si="110"/>
        <v/>
      </c>
      <c r="CK100" s="615" t="str">
        <f t="shared" si="111"/>
        <v/>
      </c>
      <c r="CL100" s="610" t="str">
        <f>IF(ISBLANK(H100),"",IF(AND(ISNUMBER(F100),ISNUMBER(G100),ISNUMBER(H100)),ROUND(F100/(H100*G100),2),ROUND(F100/(VALUE(LEFT(H100,SUM(LEN(H100)-LEN(SUBSTITUTE(H100,{"0","1","2","3","4","5","6","7","8","9","."},"")))))*G100),2)))</f>
        <v/>
      </c>
      <c r="CM100" s="616" t="str">
        <f t="shared" si="138"/>
        <v/>
      </c>
      <c r="CN100" s="616" t="str">
        <f>IF(ISNUMBER(P100),MAX('Adjustment factors'!$S$16,(0.2+0.8*P100)),IF(ISTEXT(N100),VLOOKUP(N100,Afactors,2,FALSE),""))</f>
        <v/>
      </c>
      <c r="CO100" s="616" t="str">
        <f>IF(ISNUMBER(S100),MAX('Adjustment factors'!$S$16,0.2+0.8*S100),IF(ISTEXT(Q100),VLOOKUP(Q100,Afactors,2,FALSE),""))</f>
        <v/>
      </c>
      <c r="CP100" s="611" t="str">
        <f t="shared" si="139"/>
        <v/>
      </c>
      <c r="CQ100" s="612" t="str">
        <f t="shared" si="140"/>
        <v/>
      </c>
      <c r="CR100" s="340"/>
      <c r="CS100" s="340"/>
      <c r="CT100" s="340"/>
      <c r="CU100" s="340"/>
      <c r="CV100" s="333"/>
      <c r="CW100" s="333"/>
      <c r="CX100" s="333"/>
      <c r="CY100" s="333"/>
      <c r="DA100" s="313" t="str">
        <f t="shared" si="112"/>
        <v>OK</v>
      </c>
      <c r="DB100" s="313" t="str">
        <f t="shared" si="113"/>
        <v>OK</v>
      </c>
      <c r="DC100" s="313" t="str">
        <f t="shared" si="114"/>
        <v>OK</v>
      </c>
      <c r="DD100" s="313" t="str">
        <f t="shared" si="115"/>
        <v>OK</v>
      </c>
      <c r="DE100" s="153" t="str">
        <f t="shared" si="116"/>
        <v>OK</v>
      </c>
      <c r="DF100" s="314" t="str">
        <f t="shared" si="117"/>
        <v>OK</v>
      </c>
      <c r="DG100" s="482" t="str">
        <f t="shared" si="141"/>
        <v>OK</v>
      </c>
      <c r="DH100" s="482" t="str">
        <f>IF(OR(AND(T100='Adjustment factors'!$R$28,'Class 3, 5-9'!U100='Adjustment factors'!$R$29),AND('Class 3, 5-9'!T100='Adjustment factors'!$R$29,'Class 3, 5-9'!U100='Adjustment factors'!$R$28)),"Invalid combination of adjustment factors",IF(AND(T100=U100,NOT(ISBLANK(T100)),NOT(ISBLANK(U100))),"Same colour factor selected twice","OK"))</f>
        <v>OK</v>
      </c>
      <c r="DI100" s="313" t="str">
        <f t="shared" si="118"/>
        <v>OK</v>
      </c>
      <c r="DJ100" s="153" t="str">
        <f t="shared" si="142"/>
        <v>OK</v>
      </c>
      <c r="DK100" s="153" t="str">
        <f t="shared" si="119"/>
        <v>OK</v>
      </c>
      <c r="DL100" s="313" t="str">
        <f t="shared" si="120"/>
        <v>OK</v>
      </c>
      <c r="DM100" s="153" t="str">
        <f t="shared" si="121"/>
        <v>OK</v>
      </c>
      <c r="DN100" s="153" t="str">
        <f t="shared" si="143"/>
        <v>OK</v>
      </c>
      <c r="DO100" s="154" t="str">
        <f t="shared" si="144"/>
        <v>OK</v>
      </c>
      <c r="DP100" s="153" t="str">
        <f t="shared" si="122"/>
        <v>OK</v>
      </c>
      <c r="DQ100" s="313" t="str">
        <f t="shared" si="123"/>
        <v>OK</v>
      </c>
      <c r="DR100" s="153" t="str">
        <f t="shared" si="145"/>
        <v>OK</v>
      </c>
      <c r="DS100" s="153" t="str">
        <f t="shared" si="124"/>
        <v>OK</v>
      </c>
      <c r="DT100" s="313" t="str">
        <f t="shared" si="79"/>
        <v>OK</v>
      </c>
      <c r="DU100" s="153" t="str">
        <f t="shared" si="125"/>
        <v>OK</v>
      </c>
      <c r="DV100" s="153" t="str">
        <f t="shared" si="146"/>
        <v>OK</v>
      </c>
      <c r="DW100" s="154" t="str">
        <f t="shared" si="147"/>
        <v>OK</v>
      </c>
      <c r="DX100" s="157">
        <f t="shared" si="148"/>
        <v>0</v>
      </c>
      <c r="DY100" s="156" t="str">
        <f t="shared" si="149"/>
        <v>OK</v>
      </c>
    </row>
    <row r="101" spans="1:129" ht="13" hidden="1" x14ac:dyDescent="0.3">
      <c r="A101" s="333"/>
      <c r="B101" s="333"/>
      <c r="C101" s="332" t="str">
        <f t="shared" si="126"/>
        <v>-</v>
      </c>
      <c r="D101" s="584">
        <f t="shared" si="77"/>
        <v>78</v>
      </c>
      <c r="E101" s="585"/>
      <c r="F101" s="586"/>
      <c r="G101" s="600"/>
      <c r="H101" s="587"/>
      <c r="I101" s="601"/>
      <c r="J101" s="585"/>
      <c r="K101" s="617"/>
      <c r="L101" s="602"/>
      <c r="M101" s="603"/>
      <c r="N101" s="588"/>
      <c r="O101" s="604"/>
      <c r="P101" s="605"/>
      <c r="Q101" s="588"/>
      <c r="R101" s="604"/>
      <c r="S101" s="605"/>
      <c r="T101" s="606"/>
      <c r="U101" s="606"/>
      <c r="V101" s="429" t="str">
        <f t="shared" si="80"/>
        <v/>
      </c>
      <c r="W101" s="430" t="str">
        <f t="shared" si="80"/>
        <v/>
      </c>
      <c r="X101" s="66" t="str">
        <f>IF(AND(ISNUMBER(P101),N101=FixedDim),MAX('Adjustment factors'!$S$16,0.2+0.8*P101),IF(ISTEXT(N101),VLOOKUP(N101,Afactors,2,TRUE),""))</f>
        <v/>
      </c>
      <c r="Y101" s="17" t="str">
        <f>IF(AND(ISNUMBER(S101),Q101=FixedDim),MAX('Adjustment factors'!$S$16,0.2+0.8*S101),IF(ISTEXT(Q101),VLOOKUP(Q101,Afactors,2,TRUE),""))</f>
        <v/>
      </c>
      <c r="Z101" s="297" t="str">
        <f>IF(ISBLANK(T101),"",VLOOKUP(T101,'Adjustment factors'!$R$27:$S$30,2,TRUE))</f>
        <v/>
      </c>
      <c r="AA101" s="297" t="str">
        <f>IF(ISBLANK(U101),"",VLOOKUP(U101,'Adjustment factors'!$R$27:$S$30,2,TRUE))</f>
        <v/>
      </c>
      <c r="AB101" s="480">
        <f t="shared" si="127"/>
        <v>1</v>
      </c>
      <c r="AC101" s="18" t="b">
        <f t="shared" si="81"/>
        <v>0</v>
      </c>
      <c r="AD101" s="18" t="b">
        <f t="shared" si="82"/>
        <v>0</v>
      </c>
      <c r="AE101" s="18" t="b">
        <f t="shared" si="128"/>
        <v>0</v>
      </c>
      <c r="AF101" s="17" t="str">
        <f t="shared" si="83"/>
        <v/>
      </c>
      <c r="AG101" s="18" t="str">
        <f t="shared" si="84"/>
        <v/>
      </c>
      <c r="AH101" s="17" t="str">
        <f t="shared" si="85"/>
        <v/>
      </c>
      <c r="AI101" s="297" t="e">
        <f t="shared" si="129"/>
        <v>#VALUE!</v>
      </c>
      <c r="AJ101" s="79" t="e">
        <f t="shared" si="86"/>
        <v>#VALUE!</v>
      </c>
      <c r="AK101" s="17" t="str">
        <f t="shared" si="150"/>
        <v/>
      </c>
      <c r="AL101" s="80" t="e">
        <f t="shared" si="87"/>
        <v>#VALUE!</v>
      </c>
      <c r="AM101" s="139" t="b">
        <f t="shared" si="88"/>
        <v>1</v>
      </c>
      <c r="AN101" s="139" t="b">
        <f>AND(COUNTA(E101)&gt;0,ISNUMBER(F101),OR(COUNT(G101:H101)=0,COUNT(G101:H101)=2,AND(ISNUMBER(G101),ISNUMBER(VALUE(LEFT(H101,SUM(LEN(H101)-LEN(SUBSTITUTE(H101,{"0","1","2","3","4","5","6","7","8","9","."},"")))))))),ISNUMBER(I101),ISTEXT(J101))</f>
        <v>0</v>
      </c>
      <c r="AO101" s="19" t="b">
        <f t="shared" si="89"/>
        <v>0</v>
      </c>
      <c r="AP101" s="19" t="b">
        <f t="shared" si="90"/>
        <v>1</v>
      </c>
      <c r="AQ101" s="19" t="b">
        <f>IF(AND(COUNTBLANK(E101:J101)=6,OR(AN102:AN$523)),NOT(AN101))</f>
        <v>0</v>
      </c>
      <c r="AR101" s="19" t="str">
        <f t="shared" si="91"/>
        <v/>
      </c>
      <c r="AS101" s="19" t="b">
        <f t="shared" si="92"/>
        <v>1</v>
      </c>
      <c r="AT101" s="19" t="str">
        <f t="shared" si="93"/>
        <v/>
      </c>
      <c r="AU101" s="19" t="b">
        <f t="shared" si="94"/>
        <v>1</v>
      </c>
      <c r="AV101" s="140" t="str">
        <f t="shared" si="130"/>
        <v/>
      </c>
      <c r="AW101" s="19" t="str">
        <f t="shared" si="95"/>
        <v/>
      </c>
      <c r="AX101" s="81">
        <f t="shared" si="96"/>
        <v>0</v>
      </c>
      <c r="AY101" s="81" t="str">
        <f t="shared" si="97"/>
        <v/>
      </c>
      <c r="AZ101" s="307" t="str">
        <f t="shared" si="131"/>
        <v/>
      </c>
      <c r="BA101" s="281" t="str">
        <f t="shared" si="132"/>
        <v/>
      </c>
      <c r="BB101" s="281" t="str">
        <f t="shared" si="133"/>
        <v/>
      </c>
      <c r="BC101" s="953"/>
      <c r="BD101" s="955"/>
      <c r="BE101" s="219" t="str">
        <f t="shared" si="98"/>
        <v>n/a</v>
      </c>
      <c r="BF101" s="215" t="b">
        <f t="shared" si="99"/>
        <v>0</v>
      </c>
      <c r="BG101" s="145" t="b">
        <f t="shared" si="100"/>
        <v>0</v>
      </c>
      <c r="BH101" s="145" t="b">
        <f t="shared" si="101"/>
        <v>0</v>
      </c>
      <c r="BI101" s="216" t="b">
        <f t="shared" si="102"/>
        <v>0</v>
      </c>
      <c r="BJ101" s="215" t="b">
        <f t="shared" si="103"/>
        <v>0</v>
      </c>
      <c r="BK101" s="145" t="b">
        <f t="shared" si="104"/>
        <v>0</v>
      </c>
      <c r="BL101" s="216" t="b">
        <f t="shared" si="105"/>
        <v>0</v>
      </c>
      <c r="BM101" s="217" t="str">
        <f t="shared" si="134"/>
        <v/>
      </c>
      <c r="BN101" s="146" t="str">
        <f t="shared" si="135"/>
        <v/>
      </c>
      <c r="BO101" s="147" t="str">
        <f t="shared" si="136"/>
        <v/>
      </c>
      <c r="BP101" s="148" t="str">
        <f t="shared" si="137"/>
        <v/>
      </c>
      <c r="BT101" s="50">
        <f t="shared" si="78"/>
        <v>78</v>
      </c>
      <c r="BU101" s="50" t="str">
        <f t="shared" si="106"/>
        <v>-</v>
      </c>
      <c r="BW101" s="340"/>
      <c r="BX101" s="333"/>
      <c r="BY101" s="333"/>
      <c r="BZ101" s="333"/>
      <c r="CA101" s="333"/>
      <c r="CB101" s="333"/>
      <c r="CC101" s="333"/>
      <c r="CD101" s="333"/>
      <c r="CE101" s="333"/>
      <c r="CF101" s="333"/>
      <c r="CG101" s="354">
        <f t="shared" si="107"/>
        <v>78</v>
      </c>
      <c r="CH101" s="613">
        <f t="shared" si="108"/>
        <v>0</v>
      </c>
      <c r="CI101" s="613">
        <f t="shared" si="109"/>
        <v>0</v>
      </c>
      <c r="CJ101" s="614" t="str">
        <f t="shared" si="110"/>
        <v/>
      </c>
      <c r="CK101" s="615" t="str">
        <f t="shared" si="111"/>
        <v/>
      </c>
      <c r="CL101" s="610" t="str">
        <f>IF(ISBLANK(H101),"",IF(AND(ISNUMBER(F101),ISNUMBER(G101),ISNUMBER(H101)),ROUND(F101/(H101*G101),2),ROUND(F101/(VALUE(LEFT(H101,SUM(LEN(H101)-LEN(SUBSTITUTE(H101,{"0","1","2","3","4","5","6","7","8","9","."},"")))))*G101),2)))</f>
        <v/>
      </c>
      <c r="CM101" s="616" t="str">
        <f t="shared" si="138"/>
        <v/>
      </c>
      <c r="CN101" s="616" t="str">
        <f>IF(ISNUMBER(P101),MAX('Adjustment factors'!$S$16,(0.2+0.8*P101)),IF(ISTEXT(N101),VLOOKUP(N101,Afactors,2,FALSE),""))</f>
        <v/>
      </c>
      <c r="CO101" s="616" t="str">
        <f>IF(ISNUMBER(S101),MAX('Adjustment factors'!$S$16,0.2+0.8*S101),IF(ISTEXT(Q101),VLOOKUP(Q101,Afactors,2,FALSE),""))</f>
        <v/>
      </c>
      <c r="CP101" s="611" t="str">
        <f t="shared" si="139"/>
        <v/>
      </c>
      <c r="CQ101" s="612" t="str">
        <f t="shared" si="140"/>
        <v/>
      </c>
      <c r="CR101" s="340"/>
      <c r="CS101" s="340"/>
      <c r="CT101" s="340"/>
      <c r="CU101" s="340"/>
      <c r="CV101" s="333"/>
      <c r="CW101" s="333"/>
      <c r="CX101" s="333"/>
      <c r="CY101" s="333"/>
      <c r="DA101" s="313" t="str">
        <f t="shared" si="112"/>
        <v>OK</v>
      </c>
      <c r="DB101" s="313" t="str">
        <f t="shared" si="113"/>
        <v>OK</v>
      </c>
      <c r="DC101" s="313" t="str">
        <f t="shared" si="114"/>
        <v>OK</v>
      </c>
      <c r="DD101" s="313" t="str">
        <f t="shared" si="115"/>
        <v>OK</v>
      </c>
      <c r="DE101" s="153" t="str">
        <f t="shared" si="116"/>
        <v>OK</v>
      </c>
      <c r="DF101" s="314" t="str">
        <f t="shared" si="117"/>
        <v>OK</v>
      </c>
      <c r="DG101" s="482" t="str">
        <f t="shared" si="141"/>
        <v>OK</v>
      </c>
      <c r="DH101" s="482" t="str">
        <f>IF(OR(AND(T101='Adjustment factors'!$R$28,'Class 3, 5-9'!U101='Adjustment factors'!$R$29),AND('Class 3, 5-9'!T101='Adjustment factors'!$R$29,'Class 3, 5-9'!U101='Adjustment factors'!$R$28)),"Invalid combination of adjustment factors",IF(AND(T101=U101,NOT(ISBLANK(T101)),NOT(ISBLANK(U101))),"Same colour factor selected twice","OK"))</f>
        <v>OK</v>
      </c>
      <c r="DI101" s="313" t="str">
        <f t="shared" si="118"/>
        <v>OK</v>
      </c>
      <c r="DJ101" s="153" t="str">
        <f t="shared" si="142"/>
        <v>OK</v>
      </c>
      <c r="DK101" s="153" t="str">
        <f t="shared" si="119"/>
        <v>OK</v>
      </c>
      <c r="DL101" s="313" t="str">
        <f t="shared" si="120"/>
        <v>OK</v>
      </c>
      <c r="DM101" s="153" t="str">
        <f t="shared" si="121"/>
        <v>OK</v>
      </c>
      <c r="DN101" s="153" t="str">
        <f t="shared" si="143"/>
        <v>OK</v>
      </c>
      <c r="DO101" s="154" t="str">
        <f t="shared" si="144"/>
        <v>OK</v>
      </c>
      <c r="DP101" s="153" t="str">
        <f t="shared" si="122"/>
        <v>OK</v>
      </c>
      <c r="DQ101" s="313" t="str">
        <f t="shared" si="123"/>
        <v>OK</v>
      </c>
      <c r="DR101" s="153" t="str">
        <f t="shared" si="145"/>
        <v>OK</v>
      </c>
      <c r="DS101" s="153" t="str">
        <f t="shared" si="124"/>
        <v>OK</v>
      </c>
      <c r="DT101" s="313" t="str">
        <f t="shared" si="79"/>
        <v>OK</v>
      </c>
      <c r="DU101" s="153" t="str">
        <f t="shared" si="125"/>
        <v>OK</v>
      </c>
      <c r="DV101" s="153" t="str">
        <f t="shared" si="146"/>
        <v>OK</v>
      </c>
      <c r="DW101" s="154" t="str">
        <f t="shared" si="147"/>
        <v>OK</v>
      </c>
      <c r="DX101" s="157">
        <f t="shared" si="148"/>
        <v>0</v>
      </c>
      <c r="DY101" s="156" t="str">
        <f t="shared" si="149"/>
        <v>OK</v>
      </c>
    </row>
    <row r="102" spans="1:129" ht="13" hidden="1" x14ac:dyDescent="0.3">
      <c r="A102" s="333"/>
      <c r="B102" s="333"/>
      <c r="C102" s="332" t="str">
        <f t="shared" si="126"/>
        <v>-</v>
      </c>
      <c r="D102" s="584">
        <f t="shared" si="77"/>
        <v>79</v>
      </c>
      <c r="E102" s="585"/>
      <c r="F102" s="586"/>
      <c r="G102" s="600"/>
      <c r="H102" s="587"/>
      <c r="I102" s="601"/>
      <c r="J102" s="585"/>
      <c r="K102" s="617"/>
      <c r="L102" s="602"/>
      <c r="M102" s="603"/>
      <c r="N102" s="588"/>
      <c r="O102" s="604"/>
      <c r="P102" s="605"/>
      <c r="Q102" s="588"/>
      <c r="R102" s="604"/>
      <c r="S102" s="605"/>
      <c r="T102" s="606"/>
      <c r="U102" s="606"/>
      <c r="V102" s="429" t="str">
        <f t="shared" si="80"/>
        <v/>
      </c>
      <c r="W102" s="430" t="str">
        <f t="shared" si="80"/>
        <v/>
      </c>
      <c r="X102" s="66" t="str">
        <f>IF(AND(ISNUMBER(P102),N102=FixedDim),MAX('Adjustment factors'!$S$16,0.2+0.8*P102),IF(ISTEXT(N102),VLOOKUP(N102,Afactors,2,TRUE),""))</f>
        <v/>
      </c>
      <c r="Y102" s="17" t="str">
        <f>IF(AND(ISNUMBER(S102),Q102=FixedDim),MAX('Adjustment factors'!$S$16,0.2+0.8*S102),IF(ISTEXT(Q102),VLOOKUP(Q102,Afactors,2,TRUE),""))</f>
        <v/>
      </c>
      <c r="Z102" s="297" t="str">
        <f>IF(ISBLANK(T102),"",VLOOKUP(T102,'Adjustment factors'!$R$27:$S$30,2,TRUE))</f>
        <v/>
      </c>
      <c r="AA102" s="297" t="str">
        <f>IF(ISBLANK(U102),"",VLOOKUP(U102,'Adjustment factors'!$R$27:$S$30,2,TRUE))</f>
        <v/>
      </c>
      <c r="AB102" s="480">
        <f t="shared" si="127"/>
        <v>1</v>
      </c>
      <c r="AC102" s="18" t="b">
        <f t="shared" si="81"/>
        <v>0</v>
      </c>
      <c r="AD102" s="18" t="b">
        <f t="shared" si="82"/>
        <v>0</v>
      </c>
      <c r="AE102" s="18" t="b">
        <f t="shared" si="128"/>
        <v>0</v>
      </c>
      <c r="AF102" s="17" t="str">
        <f t="shared" si="83"/>
        <v/>
      </c>
      <c r="AG102" s="18" t="str">
        <f t="shared" si="84"/>
        <v/>
      </c>
      <c r="AH102" s="17" t="str">
        <f t="shared" si="85"/>
        <v/>
      </c>
      <c r="AI102" s="297" t="e">
        <f t="shared" si="129"/>
        <v>#VALUE!</v>
      </c>
      <c r="AJ102" s="79" t="e">
        <f t="shared" si="86"/>
        <v>#VALUE!</v>
      </c>
      <c r="AK102" s="17" t="str">
        <f t="shared" si="150"/>
        <v/>
      </c>
      <c r="AL102" s="80" t="e">
        <f t="shared" si="87"/>
        <v>#VALUE!</v>
      </c>
      <c r="AM102" s="139" t="b">
        <f t="shared" si="88"/>
        <v>1</v>
      </c>
      <c r="AN102" s="139" t="b">
        <f>AND(COUNTA(E102)&gt;0,ISNUMBER(F102),OR(COUNT(G102:H102)=0,COUNT(G102:H102)=2,AND(ISNUMBER(G102),ISNUMBER(VALUE(LEFT(H102,SUM(LEN(H102)-LEN(SUBSTITUTE(H102,{"0","1","2","3","4","5","6","7","8","9","."},"")))))))),ISNUMBER(I102),ISTEXT(J102))</f>
        <v>0</v>
      </c>
      <c r="AO102" s="19" t="b">
        <f t="shared" si="89"/>
        <v>0</v>
      </c>
      <c r="AP102" s="19" t="b">
        <f t="shared" si="90"/>
        <v>1</v>
      </c>
      <c r="AQ102" s="19" t="b">
        <f>IF(AND(COUNTBLANK(E102:J102)=6,OR(AN103:AN$523)),NOT(AN102))</f>
        <v>0</v>
      </c>
      <c r="AR102" s="19" t="str">
        <f t="shared" si="91"/>
        <v/>
      </c>
      <c r="AS102" s="19" t="b">
        <f t="shared" si="92"/>
        <v>1</v>
      </c>
      <c r="AT102" s="19" t="str">
        <f t="shared" si="93"/>
        <v/>
      </c>
      <c r="AU102" s="19" t="b">
        <f t="shared" si="94"/>
        <v>1</v>
      </c>
      <c r="AV102" s="140" t="str">
        <f t="shared" si="130"/>
        <v/>
      </c>
      <c r="AW102" s="19" t="str">
        <f t="shared" si="95"/>
        <v/>
      </c>
      <c r="AX102" s="81">
        <f t="shared" si="96"/>
        <v>0</v>
      </c>
      <c r="AY102" s="81" t="str">
        <f t="shared" si="97"/>
        <v/>
      </c>
      <c r="AZ102" s="307" t="str">
        <f t="shared" si="131"/>
        <v/>
      </c>
      <c r="BA102" s="281" t="str">
        <f t="shared" si="132"/>
        <v/>
      </c>
      <c r="BB102" s="281" t="str">
        <f t="shared" si="133"/>
        <v/>
      </c>
      <c r="BC102" s="953"/>
      <c r="BD102" s="955"/>
      <c r="BE102" s="219" t="str">
        <f t="shared" si="98"/>
        <v>n/a</v>
      </c>
      <c r="BF102" s="215" t="b">
        <f t="shared" si="99"/>
        <v>0</v>
      </c>
      <c r="BG102" s="145" t="b">
        <f t="shared" si="100"/>
        <v>0</v>
      </c>
      <c r="BH102" s="145" t="b">
        <f t="shared" si="101"/>
        <v>0</v>
      </c>
      <c r="BI102" s="216" t="b">
        <f t="shared" si="102"/>
        <v>0</v>
      </c>
      <c r="BJ102" s="215" t="b">
        <f t="shared" si="103"/>
        <v>0</v>
      </c>
      <c r="BK102" s="145" t="b">
        <f t="shared" si="104"/>
        <v>0</v>
      </c>
      <c r="BL102" s="216" t="b">
        <f t="shared" si="105"/>
        <v>0</v>
      </c>
      <c r="BM102" s="217" t="str">
        <f t="shared" si="134"/>
        <v/>
      </c>
      <c r="BN102" s="146" t="str">
        <f t="shared" si="135"/>
        <v/>
      </c>
      <c r="BO102" s="147" t="str">
        <f t="shared" si="136"/>
        <v/>
      </c>
      <c r="BP102" s="148" t="str">
        <f t="shared" si="137"/>
        <v/>
      </c>
      <c r="BT102" s="50">
        <f t="shared" si="78"/>
        <v>79</v>
      </c>
      <c r="BU102" s="50" t="str">
        <f t="shared" si="106"/>
        <v>-</v>
      </c>
      <c r="BW102" s="340"/>
      <c r="BX102" s="333"/>
      <c r="BY102" s="333"/>
      <c r="BZ102" s="333"/>
      <c r="CA102" s="333"/>
      <c r="CB102" s="333"/>
      <c r="CC102" s="333"/>
      <c r="CD102" s="333"/>
      <c r="CE102" s="333"/>
      <c r="CF102" s="333"/>
      <c r="CG102" s="354">
        <f t="shared" si="107"/>
        <v>79</v>
      </c>
      <c r="CH102" s="613">
        <f t="shared" si="108"/>
        <v>0</v>
      </c>
      <c r="CI102" s="613">
        <f t="shared" si="109"/>
        <v>0</v>
      </c>
      <c r="CJ102" s="614" t="str">
        <f t="shared" si="110"/>
        <v/>
      </c>
      <c r="CK102" s="615" t="str">
        <f t="shared" si="111"/>
        <v/>
      </c>
      <c r="CL102" s="610" t="str">
        <f>IF(ISBLANK(H102),"",IF(AND(ISNUMBER(F102),ISNUMBER(G102),ISNUMBER(H102)),ROUND(F102/(H102*G102),2),ROUND(F102/(VALUE(LEFT(H102,SUM(LEN(H102)-LEN(SUBSTITUTE(H102,{"0","1","2","3","4","5","6","7","8","9","."},"")))))*G102),2)))</f>
        <v/>
      </c>
      <c r="CM102" s="616" t="str">
        <f t="shared" si="138"/>
        <v/>
      </c>
      <c r="CN102" s="616" t="str">
        <f>IF(ISNUMBER(P102),MAX('Adjustment factors'!$S$16,(0.2+0.8*P102)),IF(ISTEXT(N102),VLOOKUP(N102,Afactors,2,FALSE),""))</f>
        <v/>
      </c>
      <c r="CO102" s="616" t="str">
        <f>IF(ISNUMBER(S102),MAX('Adjustment factors'!$S$16,0.2+0.8*S102),IF(ISTEXT(Q102),VLOOKUP(Q102,Afactors,2,FALSE),""))</f>
        <v/>
      </c>
      <c r="CP102" s="611" t="str">
        <f t="shared" si="139"/>
        <v/>
      </c>
      <c r="CQ102" s="612" t="str">
        <f t="shared" si="140"/>
        <v/>
      </c>
      <c r="CR102" s="340"/>
      <c r="CS102" s="340"/>
      <c r="CT102" s="340"/>
      <c r="CU102" s="340"/>
      <c r="CV102" s="333"/>
      <c r="CW102" s="333"/>
      <c r="CX102" s="333"/>
      <c r="CY102" s="333"/>
      <c r="DA102" s="313" t="str">
        <f t="shared" si="112"/>
        <v>OK</v>
      </c>
      <c r="DB102" s="313" t="str">
        <f t="shared" si="113"/>
        <v>OK</v>
      </c>
      <c r="DC102" s="313" t="str">
        <f t="shared" si="114"/>
        <v>OK</v>
      </c>
      <c r="DD102" s="313" t="str">
        <f t="shared" si="115"/>
        <v>OK</v>
      </c>
      <c r="DE102" s="153" t="str">
        <f t="shared" si="116"/>
        <v>OK</v>
      </c>
      <c r="DF102" s="314" t="str">
        <f t="shared" si="117"/>
        <v>OK</v>
      </c>
      <c r="DG102" s="482" t="str">
        <f t="shared" si="141"/>
        <v>OK</v>
      </c>
      <c r="DH102" s="482" t="str">
        <f>IF(OR(AND(T102='Adjustment factors'!$R$28,'Class 3, 5-9'!U102='Adjustment factors'!$R$29),AND('Class 3, 5-9'!T102='Adjustment factors'!$R$29,'Class 3, 5-9'!U102='Adjustment factors'!$R$28)),"Invalid combination of adjustment factors",IF(AND(T102=U102,NOT(ISBLANK(T102)),NOT(ISBLANK(U102))),"Same colour factor selected twice","OK"))</f>
        <v>OK</v>
      </c>
      <c r="DI102" s="313" t="str">
        <f t="shared" si="118"/>
        <v>OK</v>
      </c>
      <c r="DJ102" s="153" t="str">
        <f t="shared" si="142"/>
        <v>OK</v>
      </c>
      <c r="DK102" s="153" t="str">
        <f t="shared" si="119"/>
        <v>OK</v>
      </c>
      <c r="DL102" s="313" t="str">
        <f t="shared" si="120"/>
        <v>OK</v>
      </c>
      <c r="DM102" s="153" t="str">
        <f t="shared" si="121"/>
        <v>OK</v>
      </c>
      <c r="DN102" s="153" t="str">
        <f t="shared" si="143"/>
        <v>OK</v>
      </c>
      <c r="DO102" s="154" t="str">
        <f t="shared" si="144"/>
        <v>OK</v>
      </c>
      <c r="DP102" s="153" t="str">
        <f t="shared" si="122"/>
        <v>OK</v>
      </c>
      <c r="DQ102" s="313" t="str">
        <f t="shared" si="123"/>
        <v>OK</v>
      </c>
      <c r="DR102" s="153" t="str">
        <f t="shared" si="145"/>
        <v>OK</v>
      </c>
      <c r="DS102" s="153" t="str">
        <f t="shared" si="124"/>
        <v>OK</v>
      </c>
      <c r="DT102" s="313" t="str">
        <f t="shared" si="79"/>
        <v>OK</v>
      </c>
      <c r="DU102" s="153" t="str">
        <f t="shared" si="125"/>
        <v>OK</v>
      </c>
      <c r="DV102" s="153" t="str">
        <f t="shared" si="146"/>
        <v>OK</v>
      </c>
      <c r="DW102" s="154" t="str">
        <f t="shared" si="147"/>
        <v>OK</v>
      </c>
      <c r="DX102" s="157">
        <f t="shared" si="148"/>
        <v>0</v>
      </c>
      <c r="DY102" s="156" t="str">
        <f t="shared" si="149"/>
        <v>OK</v>
      </c>
    </row>
    <row r="103" spans="1:129" ht="13" hidden="1" x14ac:dyDescent="0.3">
      <c r="A103" s="333"/>
      <c r="B103" s="333"/>
      <c r="C103" s="332" t="str">
        <f t="shared" si="126"/>
        <v>-</v>
      </c>
      <c r="D103" s="584">
        <f t="shared" si="77"/>
        <v>80</v>
      </c>
      <c r="E103" s="585"/>
      <c r="F103" s="586"/>
      <c r="G103" s="600"/>
      <c r="H103" s="587"/>
      <c r="I103" s="601"/>
      <c r="J103" s="585"/>
      <c r="K103" s="617"/>
      <c r="L103" s="602"/>
      <c r="M103" s="603"/>
      <c r="N103" s="588"/>
      <c r="O103" s="604"/>
      <c r="P103" s="605"/>
      <c r="Q103" s="588"/>
      <c r="R103" s="604"/>
      <c r="S103" s="605"/>
      <c r="T103" s="606"/>
      <c r="U103" s="606"/>
      <c r="V103" s="429" t="str">
        <f t="shared" si="80"/>
        <v/>
      </c>
      <c r="W103" s="430" t="str">
        <f t="shared" si="80"/>
        <v/>
      </c>
      <c r="X103" s="66" t="str">
        <f>IF(AND(ISNUMBER(P103),N103=FixedDim),MAX('Adjustment factors'!$S$16,0.2+0.8*P103),IF(ISTEXT(N103),VLOOKUP(N103,Afactors,2,TRUE),""))</f>
        <v/>
      </c>
      <c r="Y103" s="17" t="str">
        <f>IF(AND(ISNUMBER(S103),Q103=FixedDim),MAX('Adjustment factors'!$S$16,0.2+0.8*S103),IF(ISTEXT(Q103),VLOOKUP(Q103,Afactors,2,TRUE),""))</f>
        <v/>
      </c>
      <c r="Z103" s="297" t="str">
        <f>IF(ISBLANK(T103),"",VLOOKUP(T103,'Adjustment factors'!$R$27:$S$30,2,TRUE))</f>
        <v/>
      </c>
      <c r="AA103" s="297" t="str">
        <f>IF(ISBLANK(U103),"",VLOOKUP(U103,'Adjustment factors'!$R$27:$S$30,2,TRUE))</f>
        <v/>
      </c>
      <c r="AB103" s="480">
        <f t="shared" si="127"/>
        <v>1</v>
      </c>
      <c r="AC103" s="18" t="b">
        <f t="shared" si="81"/>
        <v>0</v>
      </c>
      <c r="AD103" s="18" t="b">
        <f t="shared" si="82"/>
        <v>0</v>
      </c>
      <c r="AE103" s="18" t="b">
        <f t="shared" si="128"/>
        <v>0</v>
      </c>
      <c r="AF103" s="17" t="str">
        <f t="shared" si="83"/>
        <v/>
      </c>
      <c r="AG103" s="18" t="str">
        <f t="shared" si="84"/>
        <v/>
      </c>
      <c r="AH103" s="17" t="str">
        <f t="shared" si="85"/>
        <v/>
      </c>
      <c r="AI103" s="297" t="e">
        <f t="shared" si="129"/>
        <v>#VALUE!</v>
      </c>
      <c r="AJ103" s="79" t="e">
        <f t="shared" si="86"/>
        <v>#VALUE!</v>
      </c>
      <c r="AK103" s="17" t="str">
        <f t="shared" si="150"/>
        <v/>
      </c>
      <c r="AL103" s="80" t="e">
        <f t="shared" si="87"/>
        <v>#VALUE!</v>
      </c>
      <c r="AM103" s="139" t="b">
        <f t="shared" si="88"/>
        <v>1</v>
      </c>
      <c r="AN103" s="139" t="b">
        <f>AND(COUNTA(E103)&gt;0,ISNUMBER(F103),OR(COUNT(G103:H103)=0,COUNT(G103:H103)=2,AND(ISNUMBER(G103),ISNUMBER(VALUE(LEFT(H103,SUM(LEN(H103)-LEN(SUBSTITUTE(H103,{"0","1","2","3","4","5","6","7","8","9","."},"")))))))),ISNUMBER(I103),ISTEXT(J103))</f>
        <v>0</v>
      </c>
      <c r="AO103" s="19" t="b">
        <f t="shared" si="89"/>
        <v>0</v>
      </c>
      <c r="AP103" s="19" t="b">
        <f t="shared" si="90"/>
        <v>1</v>
      </c>
      <c r="AQ103" s="19" t="b">
        <f>IF(AND(COUNTBLANK(E103:J103)=6,OR(AN104:AN$523)),NOT(AN103))</f>
        <v>0</v>
      </c>
      <c r="AR103" s="19" t="str">
        <f t="shared" si="91"/>
        <v/>
      </c>
      <c r="AS103" s="19" t="b">
        <f t="shared" si="92"/>
        <v>1</v>
      </c>
      <c r="AT103" s="19" t="str">
        <f t="shared" si="93"/>
        <v/>
      </c>
      <c r="AU103" s="19" t="b">
        <f t="shared" si="94"/>
        <v>1</v>
      </c>
      <c r="AV103" s="140" t="str">
        <f t="shared" si="130"/>
        <v/>
      </c>
      <c r="AW103" s="19" t="str">
        <f t="shared" si="95"/>
        <v/>
      </c>
      <c r="AX103" s="81">
        <f t="shared" si="96"/>
        <v>0</v>
      </c>
      <c r="AY103" s="81" t="str">
        <f t="shared" si="97"/>
        <v/>
      </c>
      <c r="AZ103" s="307" t="str">
        <f t="shared" si="131"/>
        <v/>
      </c>
      <c r="BA103" s="281" t="str">
        <f t="shared" si="132"/>
        <v/>
      </c>
      <c r="BB103" s="281" t="str">
        <f t="shared" si="133"/>
        <v/>
      </c>
      <c r="BC103" s="953"/>
      <c r="BD103" s="955"/>
      <c r="BE103" s="219" t="str">
        <f t="shared" si="98"/>
        <v>n/a</v>
      </c>
      <c r="BF103" s="215" t="b">
        <f t="shared" si="99"/>
        <v>0</v>
      </c>
      <c r="BG103" s="145" t="b">
        <f t="shared" si="100"/>
        <v>0</v>
      </c>
      <c r="BH103" s="145" t="b">
        <f t="shared" si="101"/>
        <v>0</v>
      </c>
      <c r="BI103" s="216" t="b">
        <f t="shared" si="102"/>
        <v>0</v>
      </c>
      <c r="BJ103" s="215" t="b">
        <f t="shared" si="103"/>
        <v>0</v>
      </c>
      <c r="BK103" s="145" t="b">
        <f t="shared" si="104"/>
        <v>0</v>
      </c>
      <c r="BL103" s="216" t="b">
        <f t="shared" si="105"/>
        <v>0</v>
      </c>
      <c r="BM103" s="217" t="str">
        <f t="shared" si="134"/>
        <v/>
      </c>
      <c r="BN103" s="146" t="str">
        <f t="shared" si="135"/>
        <v/>
      </c>
      <c r="BO103" s="147" t="str">
        <f t="shared" si="136"/>
        <v/>
      </c>
      <c r="BP103" s="148" t="str">
        <f t="shared" si="137"/>
        <v/>
      </c>
      <c r="BT103" s="50">
        <f t="shared" si="78"/>
        <v>80</v>
      </c>
      <c r="BU103" s="50" t="str">
        <f t="shared" si="106"/>
        <v>-</v>
      </c>
      <c r="BW103" s="340"/>
      <c r="BX103" s="333"/>
      <c r="BY103" s="333"/>
      <c r="BZ103" s="333"/>
      <c r="CA103" s="333"/>
      <c r="CB103" s="333"/>
      <c r="CC103" s="333"/>
      <c r="CD103" s="333"/>
      <c r="CE103" s="333"/>
      <c r="CF103" s="333"/>
      <c r="CG103" s="354">
        <f t="shared" si="107"/>
        <v>80</v>
      </c>
      <c r="CH103" s="613">
        <f t="shared" si="108"/>
        <v>0</v>
      </c>
      <c r="CI103" s="613">
        <f t="shared" si="109"/>
        <v>0</v>
      </c>
      <c r="CJ103" s="614" t="str">
        <f t="shared" si="110"/>
        <v/>
      </c>
      <c r="CK103" s="615" t="str">
        <f t="shared" si="111"/>
        <v/>
      </c>
      <c r="CL103" s="610" t="str">
        <f>IF(ISBLANK(H103),"",IF(AND(ISNUMBER(F103),ISNUMBER(G103),ISNUMBER(H103)),ROUND(F103/(H103*G103),2),ROUND(F103/(VALUE(LEFT(H103,SUM(LEN(H103)-LEN(SUBSTITUTE(H103,{"0","1","2","3","4","5","6","7","8","9","."},"")))))*G103),2)))</f>
        <v/>
      </c>
      <c r="CM103" s="616" t="str">
        <f t="shared" si="138"/>
        <v/>
      </c>
      <c r="CN103" s="616" t="str">
        <f>IF(ISNUMBER(P103),MAX('Adjustment factors'!$S$16,(0.2+0.8*P103)),IF(ISTEXT(N103),VLOOKUP(N103,Afactors,2,FALSE),""))</f>
        <v/>
      </c>
      <c r="CO103" s="616" t="str">
        <f>IF(ISNUMBER(S103),MAX('Adjustment factors'!$S$16,0.2+0.8*S103),IF(ISTEXT(Q103),VLOOKUP(Q103,Afactors,2,FALSE),""))</f>
        <v/>
      </c>
      <c r="CP103" s="611" t="str">
        <f t="shared" si="139"/>
        <v/>
      </c>
      <c r="CQ103" s="612" t="str">
        <f t="shared" si="140"/>
        <v/>
      </c>
      <c r="CR103" s="340"/>
      <c r="CS103" s="340"/>
      <c r="CT103" s="340"/>
      <c r="CU103" s="340"/>
      <c r="CV103" s="333"/>
      <c r="CW103" s="333"/>
      <c r="CX103" s="333"/>
      <c r="CY103" s="333"/>
      <c r="DA103" s="313" t="str">
        <f t="shared" si="112"/>
        <v>OK</v>
      </c>
      <c r="DB103" s="313" t="str">
        <f t="shared" si="113"/>
        <v>OK</v>
      </c>
      <c r="DC103" s="313" t="str">
        <f t="shared" si="114"/>
        <v>OK</v>
      </c>
      <c r="DD103" s="313" t="str">
        <f t="shared" si="115"/>
        <v>OK</v>
      </c>
      <c r="DE103" s="153" t="str">
        <f t="shared" si="116"/>
        <v>OK</v>
      </c>
      <c r="DF103" s="314" t="str">
        <f t="shared" si="117"/>
        <v>OK</v>
      </c>
      <c r="DG103" s="482" t="str">
        <f t="shared" si="141"/>
        <v>OK</v>
      </c>
      <c r="DH103" s="482" t="str">
        <f>IF(OR(AND(T103='Adjustment factors'!$R$28,'Class 3, 5-9'!U103='Adjustment factors'!$R$29),AND('Class 3, 5-9'!T103='Adjustment factors'!$R$29,'Class 3, 5-9'!U103='Adjustment factors'!$R$28)),"Invalid combination of adjustment factors",IF(AND(T103=U103,NOT(ISBLANK(T103)),NOT(ISBLANK(U103))),"Same colour factor selected twice","OK"))</f>
        <v>OK</v>
      </c>
      <c r="DI103" s="313" t="str">
        <f t="shared" si="118"/>
        <v>OK</v>
      </c>
      <c r="DJ103" s="153" t="str">
        <f t="shared" si="142"/>
        <v>OK</v>
      </c>
      <c r="DK103" s="153" t="str">
        <f t="shared" si="119"/>
        <v>OK</v>
      </c>
      <c r="DL103" s="313" t="str">
        <f t="shared" si="120"/>
        <v>OK</v>
      </c>
      <c r="DM103" s="153" t="str">
        <f t="shared" si="121"/>
        <v>OK</v>
      </c>
      <c r="DN103" s="153" t="str">
        <f t="shared" si="143"/>
        <v>OK</v>
      </c>
      <c r="DO103" s="154" t="str">
        <f t="shared" si="144"/>
        <v>OK</v>
      </c>
      <c r="DP103" s="153" t="str">
        <f t="shared" si="122"/>
        <v>OK</v>
      </c>
      <c r="DQ103" s="313" t="str">
        <f t="shared" si="123"/>
        <v>OK</v>
      </c>
      <c r="DR103" s="153" t="str">
        <f t="shared" si="145"/>
        <v>OK</v>
      </c>
      <c r="DS103" s="153" t="str">
        <f t="shared" si="124"/>
        <v>OK</v>
      </c>
      <c r="DT103" s="313" t="str">
        <f t="shared" ref="DT103:DT123" si="151">IF(AND(ISNUMBER(S103),Q103&lt;&gt;FixedDim),"Select fixed dimming with an illuminance factor","OK")</f>
        <v>OK</v>
      </c>
      <c r="DU103" s="153" t="str">
        <f t="shared" si="125"/>
        <v>OK</v>
      </c>
      <c r="DV103" s="153" t="str">
        <f t="shared" si="146"/>
        <v>OK</v>
      </c>
      <c r="DW103" s="154" t="str">
        <f t="shared" si="147"/>
        <v>OK</v>
      </c>
      <c r="DX103" s="157">
        <f t="shared" si="148"/>
        <v>0</v>
      </c>
      <c r="DY103" s="156" t="str">
        <f t="shared" si="149"/>
        <v>OK</v>
      </c>
    </row>
    <row r="104" spans="1:129" ht="13" hidden="1" x14ac:dyDescent="0.3">
      <c r="A104" s="333"/>
      <c r="B104" s="333"/>
      <c r="C104" s="332" t="str">
        <f t="shared" si="126"/>
        <v>-</v>
      </c>
      <c r="D104" s="584">
        <f t="shared" si="77"/>
        <v>81</v>
      </c>
      <c r="E104" s="585"/>
      <c r="F104" s="586"/>
      <c r="G104" s="600"/>
      <c r="H104" s="587"/>
      <c r="I104" s="601"/>
      <c r="J104" s="585"/>
      <c r="K104" s="617"/>
      <c r="L104" s="602"/>
      <c r="M104" s="603"/>
      <c r="N104" s="588"/>
      <c r="O104" s="604"/>
      <c r="P104" s="605"/>
      <c r="Q104" s="588"/>
      <c r="R104" s="604"/>
      <c r="S104" s="605"/>
      <c r="T104" s="606"/>
      <c r="U104" s="606"/>
      <c r="V104" s="429" t="str">
        <f t="shared" si="80"/>
        <v/>
      </c>
      <c r="W104" s="430" t="str">
        <f t="shared" si="80"/>
        <v/>
      </c>
      <c r="X104" s="66" t="str">
        <f>IF(AND(ISNUMBER(P104),N104=FixedDim),MAX('Adjustment factors'!$S$16,0.2+0.8*P104),IF(ISTEXT(N104),VLOOKUP(N104,Afactors,2,TRUE),""))</f>
        <v/>
      </c>
      <c r="Y104" s="17" t="str">
        <f>IF(AND(ISNUMBER(S104),Q104=FixedDim),MAX('Adjustment factors'!$S$16,0.2+0.8*S104),IF(ISTEXT(Q104),VLOOKUP(Q104,Afactors,2,TRUE),""))</f>
        <v/>
      </c>
      <c r="Z104" s="297" t="str">
        <f>IF(ISBLANK(T104),"",VLOOKUP(T104,'Adjustment factors'!$R$27:$S$30,2,TRUE))</f>
        <v/>
      </c>
      <c r="AA104" s="297" t="str">
        <f>IF(ISBLANK(U104),"",VLOOKUP(U104,'Adjustment factors'!$R$27:$S$30,2,TRUE))</f>
        <v/>
      </c>
      <c r="AB104" s="480">
        <f t="shared" si="127"/>
        <v>1</v>
      </c>
      <c r="AC104" s="18" t="b">
        <f t="shared" si="81"/>
        <v>0</v>
      </c>
      <c r="AD104" s="18" t="b">
        <f t="shared" si="82"/>
        <v>0</v>
      </c>
      <c r="AE104" s="18" t="b">
        <f t="shared" si="128"/>
        <v>0</v>
      </c>
      <c r="AF104" s="17" t="str">
        <f t="shared" si="83"/>
        <v/>
      </c>
      <c r="AG104" s="18" t="str">
        <f t="shared" si="84"/>
        <v/>
      </c>
      <c r="AH104" s="17" t="str">
        <f t="shared" si="85"/>
        <v/>
      </c>
      <c r="AI104" s="297" t="e">
        <f t="shared" si="129"/>
        <v>#VALUE!</v>
      </c>
      <c r="AJ104" s="79" t="e">
        <f t="shared" si="86"/>
        <v>#VALUE!</v>
      </c>
      <c r="AK104" s="17" t="str">
        <f t="shared" si="150"/>
        <v/>
      </c>
      <c r="AL104" s="80" t="e">
        <f t="shared" si="87"/>
        <v>#VALUE!</v>
      </c>
      <c r="AM104" s="139" t="b">
        <f t="shared" si="88"/>
        <v>1</v>
      </c>
      <c r="AN104" s="139" t="b">
        <f>AND(COUNTA(E104)&gt;0,ISNUMBER(F104),OR(COUNT(G104:H104)=0,COUNT(G104:H104)=2,AND(ISNUMBER(G104),ISNUMBER(VALUE(LEFT(H104,SUM(LEN(H104)-LEN(SUBSTITUTE(H104,{"0","1","2","3","4","5","6","7","8","9","."},"")))))))),ISNUMBER(I104),ISTEXT(J104))</f>
        <v>0</v>
      </c>
      <c r="AO104" s="19" t="b">
        <f t="shared" si="89"/>
        <v>0</v>
      </c>
      <c r="AP104" s="19" t="b">
        <f t="shared" si="90"/>
        <v>1</v>
      </c>
      <c r="AQ104" s="19" t="b">
        <f>IF(AND(COUNTBLANK(E104:J104)=6,OR(AN105:AN$523)),NOT(AN104))</f>
        <v>0</v>
      </c>
      <c r="AR104" s="19" t="str">
        <f t="shared" si="91"/>
        <v/>
      </c>
      <c r="AS104" s="19" t="b">
        <f t="shared" si="92"/>
        <v>1</v>
      </c>
      <c r="AT104" s="19" t="str">
        <f t="shared" si="93"/>
        <v/>
      </c>
      <c r="AU104" s="19" t="b">
        <f t="shared" si="94"/>
        <v>1</v>
      </c>
      <c r="AV104" s="140" t="str">
        <f t="shared" si="130"/>
        <v/>
      </c>
      <c r="AW104" s="19" t="str">
        <f t="shared" si="95"/>
        <v/>
      </c>
      <c r="AX104" s="81">
        <f t="shared" si="96"/>
        <v>0</v>
      </c>
      <c r="AY104" s="81" t="str">
        <f t="shared" si="97"/>
        <v/>
      </c>
      <c r="AZ104" s="307" t="str">
        <f t="shared" si="131"/>
        <v/>
      </c>
      <c r="BA104" s="281" t="str">
        <f t="shared" si="132"/>
        <v/>
      </c>
      <c r="BB104" s="281" t="str">
        <f t="shared" si="133"/>
        <v/>
      </c>
      <c r="BC104" s="953"/>
      <c r="BD104" s="955"/>
      <c r="BE104" s="219" t="str">
        <f t="shared" si="98"/>
        <v>n/a</v>
      </c>
      <c r="BF104" s="215" t="b">
        <f t="shared" si="99"/>
        <v>0</v>
      </c>
      <c r="BG104" s="145" t="b">
        <f t="shared" si="100"/>
        <v>0</v>
      </c>
      <c r="BH104" s="145" t="b">
        <f t="shared" si="101"/>
        <v>0</v>
      </c>
      <c r="BI104" s="216" t="b">
        <f t="shared" si="102"/>
        <v>0</v>
      </c>
      <c r="BJ104" s="215" t="b">
        <f t="shared" si="103"/>
        <v>0</v>
      </c>
      <c r="BK104" s="145" t="b">
        <f t="shared" si="104"/>
        <v>0</v>
      </c>
      <c r="BL104" s="216" t="b">
        <f t="shared" si="105"/>
        <v>0</v>
      </c>
      <c r="BM104" s="217" t="str">
        <f t="shared" si="134"/>
        <v/>
      </c>
      <c r="BN104" s="146" t="str">
        <f t="shared" si="135"/>
        <v/>
      </c>
      <c r="BO104" s="147" t="str">
        <f t="shared" si="136"/>
        <v/>
      </c>
      <c r="BP104" s="148" t="str">
        <f t="shared" si="137"/>
        <v/>
      </c>
      <c r="BT104" s="50">
        <f t="shared" si="78"/>
        <v>81</v>
      </c>
      <c r="BU104" s="50" t="str">
        <f t="shared" si="106"/>
        <v>-</v>
      </c>
      <c r="BW104" s="340"/>
      <c r="BX104" s="333"/>
      <c r="BY104" s="333"/>
      <c r="BZ104" s="333"/>
      <c r="CA104" s="333"/>
      <c r="CB104" s="333"/>
      <c r="CC104" s="333"/>
      <c r="CD104" s="333"/>
      <c r="CE104" s="333"/>
      <c r="CF104" s="333"/>
      <c r="CG104" s="354">
        <f t="shared" si="107"/>
        <v>81</v>
      </c>
      <c r="CH104" s="613">
        <f t="shared" si="108"/>
        <v>0</v>
      </c>
      <c r="CI104" s="613">
        <f t="shared" si="109"/>
        <v>0</v>
      </c>
      <c r="CJ104" s="614" t="str">
        <f t="shared" si="110"/>
        <v/>
      </c>
      <c r="CK104" s="615" t="str">
        <f t="shared" si="111"/>
        <v/>
      </c>
      <c r="CL104" s="610" t="str">
        <f>IF(ISBLANK(H104),"",IF(AND(ISNUMBER(F104),ISNUMBER(G104),ISNUMBER(H104)),ROUND(F104/(H104*G104),2),ROUND(F104/(VALUE(LEFT(H104,SUM(LEN(H104)-LEN(SUBSTITUTE(H104,{"0","1","2","3","4","5","6","7","8","9","."},"")))))*G104),2)))</f>
        <v/>
      </c>
      <c r="CM104" s="616" t="str">
        <f t="shared" si="138"/>
        <v/>
      </c>
      <c r="CN104" s="616" t="str">
        <f>IF(ISNUMBER(P104),MAX('Adjustment factors'!$S$16,(0.2+0.8*P104)),IF(ISTEXT(N104),VLOOKUP(N104,Afactors,2,FALSE),""))</f>
        <v/>
      </c>
      <c r="CO104" s="616" t="str">
        <f>IF(ISNUMBER(S104),MAX('Adjustment factors'!$S$16,0.2+0.8*S104),IF(ISTEXT(Q104),VLOOKUP(Q104,Afactors,2,FALSE),""))</f>
        <v/>
      </c>
      <c r="CP104" s="611" t="str">
        <f t="shared" si="139"/>
        <v/>
      </c>
      <c r="CQ104" s="612" t="str">
        <f t="shared" si="140"/>
        <v/>
      </c>
      <c r="CR104" s="340"/>
      <c r="CS104" s="340"/>
      <c r="CT104" s="340"/>
      <c r="CU104" s="340"/>
      <c r="CV104" s="333"/>
      <c r="CW104" s="333"/>
      <c r="CX104" s="333"/>
      <c r="CY104" s="333"/>
      <c r="DA104" s="313" t="str">
        <f t="shared" si="112"/>
        <v>OK</v>
      </c>
      <c r="DB104" s="313" t="str">
        <f t="shared" si="113"/>
        <v>OK</v>
      </c>
      <c r="DC104" s="313" t="str">
        <f t="shared" si="114"/>
        <v>OK</v>
      </c>
      <c r="DD104" s="313" t="str">
        <f t="shared" si="115"/>
        <v>OK</v>
      </c>
      <c r="DE104" s="153" t="str">
        <f t="shared" si="116"/>
        <v>OK</v>
      </c>
      <c r="DF104" s="314" t="str">
        <f t="shared" si="117"/>
        <v>OK</v>
      </c>
      <c r="DG104" s="482" t="str">
        <f t="shared" si="141"/>
        <v>OK</v>
      </c>
      <c r="DH104" s="482" t="str">
        <f>IF(OR(AND(T104='Adjustment factors'!$R$28,'Class 3, 5-9'!U104='Adjustment factors'!$R$29),AND('Class 3, 5-9'!T104='Adjustment factors'!$R$29,'Class 3, 5-9'!U104='Adjustment factors'!$R$28)),"Invalid combination of adjustment factors",IF(AND(T104=U104,NOT(ISBLANK(T104)),NOT(ISBLANK(U104))),"Same colour factor selected twice","OK"))</f>
        <v>OK</v>
      </c>
      <c r="DI104" s="313" t="str">
        <f t="shared" si="118"/>
        <v>OK</v>
      </c>
      <c r="DJ104" s="153" t="str">
        <f t="shared" si="142"/>
        <v>OK</v>
      </c>
      <c r="DK104" s="153" t="str">
        <f t="shared" si="119"/>
        <v>OK</v>
      </c>
      <c r="DL104" s="313" t="str">
        <f t="shared" si="120"/>
        <v>OK</v>
      </c>
      <c r="DM104" s="153" t="str">
        <f t="shared" si="121"/>
        <v>OK</v>
      </c>
      <c r="DN104" s="153" t="str">
        <f t="shared" si="143"/>
        <v>OK</v>
      </c>
      <c r="DO104" s="154" t="str">
        <f t="shared" si="144"/>
        <v>OK</v>
      </c>
      <c r="DP104" s="153" t="str">
        <f t="shared" si="122"/>
        <v>OK</v>
      </c>
      <c r="DQ104" s="313" t="str">
        <f t="shared" si="123"/>
        <v>OK</v>
      </c>
      <c r="DR104" s="153" t="str">
        <f t="shared" si="145"/>
        <v>OK</v>
      </c>
      <c r="DS104" s="153" t="str">
        <f t="shared" si="124"/>
        <v>OK</v>
      </c>
      <c r="DT104" s="313" t="str">
        <f t="shared" si="151"/>
        <v>OK</v>
      </c>
      <c r="DU104" s="153" t="str">
        <f t="shared" si="125"/>
        <v>OK</v>
      </c>
      <c r="DV104" s="153" t="str">
        <f t="shared" si="146"/>
        <v>OK</v>
      </c>
      <c r="DW104" s="154" t="str">
        <f t="shared" si="147"/>
        <v>OK</v>
      </c>
      <c r="DX104" s="157">
        <f t="shared" si="148"/>
        <v>0</v>
      </c>
      <c r="DY104" s="156" t="str">
        <f t="shared" si="149"/>
        <v>OK</v>
      </c>
    </row>
    <row r="105" spans="1:129" ht="13" hidden="1" x14ac:dyDescent="0.3">
      <c r="A105" s="333"/>
      <c r="B105" s="333"/>
      <c r="C105" s="332" t="str">
        <f t="shared" si="126"/>
        <v>-</v>
      </c>
      <c r="D105" s="584">
        <f t="shared" si="77"/>
        <v>82</v>
      </c>
      <c r="E105" s="585"/>
      <c r="F105" s="586"/>
      <c r="G105" s="600"/>
      <c r="H105" s="587"/>
      <c r="I105" s="601"/>
      <c r="J105" s="585"/>
      <c r="K105" s="617"/>
      <c r="L105" s="602"/>
      <c r="M105" s="603"/>
      <c r="N105" s="588"/>
      <c r="O105" s="604"/>
      <c r="P105" s="605"/>
      <c r="Q105" s="588"/>
      <c r="R105" s="604"/>
      <c r="S105" s="605"/>
      <c r="T105" s="606"/>
      <c r="U105" s="606"/>
      <c r="V105" s="429" t="str">
        <f t="shared" si="80"/>
        <v/>
      </c>
      <c r="W105" s="430" t="str">
        <f t="shared" si="80"/>
        <v/>
      </c>
      <c r="X105" s="66" t="str">
        <f>IF(AND(ISNUMBER(P105),N105=FixedDim),MAX('Adjustment factors'!$S$16,0.2+0.8*P105),IF(ISTEXT(N105),VLOOKUP(N105,Afactors,2,TRUE),""))</f>
        <v/>
      </c>
      <c r="Y105" s="17" t="str">
        <f>IF(AND(ISNUMBER(S105),Q105=FixedDim),MAX('Adjustment factors'!$S$16,0.2+0.8*S105),IF(ISTEXT(Q105),VLOOKUP(Q105,Afactors,2,TRUE),""))</f>
        <v/>
      </c>
      <c r="Z105" s="297" t="str">
        <f>IF(ISBLANK(T105),"",VLOOKUP(T105,'Adjustment factors'!$R$27:$S$30,2,TRUE))</f>
        <v/>
      </c>
      <c r="AA105" s="297" t="str">
        <f>IF(ISBLANK(U105),"",VLOOKUP(U105,'Adjustment factors'!$R$27:$S$30,2,TRUE))</f>
        <v/>
      </c>
      <c r="AB105" s="480">
        <f t="shared" si="127"/>
        <v>1</v>
      </c>
      <c r="AC105" s="18" t="b">
        <f t="shared" si="81"/>
        <v>0</v>
      </c>
      <c r="AD105" s="18" t="b">
        <f t="shared" si="82"/>
        <v>0</v>
      </c>
      <c r="AE105" s="18" t="b">
        <f t="shared" si="128"/>
        <v>0</v>
      </c>
      <c r="AF105" s="17" t="str">
        <f t="shared" si="83"/>
        <v/>
      </c>
      <c r="AG105" s="18" t="str">
        <f t="shared" si="84"/>
        <v/>
      </c>
      <c r="AH105" s="17" t="str">
        <f t="shared" si="85"/>
        <v/>
      </c>
      <c r="AI105" s="297" t="e">
        <f t="shared" si="129"/>
        <v>#VALUE!</v>
      </c>
      <c r="AJ105" s="79" t="e">
        <f t="shared" si="86"/>
        <v>#VALUE!</v>
      </c>
      <c r="AK105" s="17" t="str">
        <f t="shared" si="150"/>
        <v/>
      </c>
      <c r="AL105" s="80" t="e">
        <f t="shared" si="87"/>
        <v>#VALUE!</v>
      </c>
      <c r="AM105" s="139" t="b">
        <f t="shared" si="88"/>
        <v>1</v>
      </c>
      <c r="AN105" s="139" t="b">
        <f>AND(COUNTA(E105)&gt;0,ISNUMBER(F105),OR(COUNT(G105:H105)=0,COUNT(G105:H105)=2,AND(ISNUMBER(G105),ISNUMBER(VALUE(LEFT(H105,SUM(LEN(H105)-LEN(SUBSTITUTE(H105,{"0","1","2","3","4","5","6","7","8","9","."},"")))))))),ISNUMBER(I105),ISTEXT(J105))</f>
        <v>0</v>
      </c>
      <c r="AO105" s="19" t="b">
        <f t="shared" si="89"/>
        <v>0</v>
      </c>
      <c r="AP105" s="19" t="b">
        <f t="shared" si="90"/>
        <v>1</v>
      </c>
      <c r="AQ105" s="19" t="b">
        <f>IF(AND(COUNTBLANK(E105:J105)=6,OR(AN106:AN$523)),NOT(AN105))</f>
        <v>0</v>
      </c>
      <c r="AR105" s="19" t="str">
        <f t="shared" si="91"/>
        <v/>
      </c>
      <c r="AS105" s="19" t="b">
        <f t="shared" si="92"/>
        <v>1</v>
      </c>
      <c r="AT105" s="19" t="str">
        <f t="shared" si="93"/>
        <v/>
      </c>
      <c r="AU105" s="19" t="b">
        <f t="shared" si="94"/>
        <v>1</v>
      </c>
      <c r="AV105" s="140" t="str">
        <f t="shared" si="130"/>
        <v/>
      </c>
      <c r="AW105" s="19" t="str">
        <f t="shared" si="95"/>
        <v/>
      </c>
      <c r="AX105" s="81">
        <f t="shared" si="96"/>
        <v>0</v>
      </c>
      <c r="AY105" s="81" t="str">
        <f t="shared" si="97"/>
        <v/>
      </c>
      <c r="AZ105" s="307" t="str">
        <f t="shared" si="131"/>
        <v/>
      </c>
      <c r="BA105" s="281" t="str">
        <f t="shared" si="132"/>
        <v/>
      </c>
      <c r="BB105" s="281" t="str">
        <f t="shared" si="133"/>
        <v/>
      </c>
      <c r="BC105" s="953"/>
      <c r="BD105" s="955"/>
      <c r="BE105" s="219" t="str">
        <f t="shared" si="98"/>
        <v>n/a</v>
      </c>
      <c r="BF105" s="215" t="b">
        <f t="shared" si="99"/>
        <v>0</v>
      </c>
      <c r="BG105" s="145" t="b">
        <f t="shared" si="100"/>
        <v>0</v>
      </c>
      <c r="BH105" s="145" t="b">
        <f t="shared" si="101"/>
        <v>0</v>
      </c>
      <c r="BI105" s="216" t="b">
        <f t="shared" si="102"/>
        <v>0</v>
      </c>
      <c r="BJ105" s="215" t="b">
        <f t="shared" si="103"/>
        <v>0</v>
      </c>
      <c r="BK105" s="145" t="b">
        <f t="shared" si="104"/>
        <v>0</v>
      </c>
      <c r="BL105" s="216" t="b">
        <f t="shared" si="105"/>
        <v>0</v>
      </c>
      <c r="BM105" s="217" t="str">
        <f t="shared" si="134"/>
        <v/>
      </c>
      <c r="BN105" s="146" t="str">
        <f t="shared" si="135"/>
        <v/>
      </c>
      <c r="BO105" s="147" t="str">
        <f t="shared" si="136"/>
        <v/>
      </c>
      <c r="BP105" s="148" t="str">
        <f t="shared" si="137"/>
        <v/>
      </c>
      <c r="BT105" s="50">
        <f t="shared" si="78"/>
        <v>82</v>
      </c>
      <c r="BU105" s="50" t="str">
        <f t="shared" si="106"/>
        <v>-</v>
      </c>
      <c r="BW105" s="340"/>
      <c r="BX105" s="333"/>
      <c r="BY105" s="333"/>
      <c r="BZ105" s="333"/>
      <c r="CA105" s="333"/>
      <c r="CB105" s="333"/>
      <c r="CC105" s="333"/>
      <c r="CD105" s="333"/>
      <c r="CE105" s="333"/>
      <c r="CF105" s="333"/>
      <c r="CG105" s="354">
        <f t="shared" si="107"/>
        <v>82</v>
      </c>
      <c r="CH105" s="613">
        <f t="shared" si="108"/>
        <v>0</v>
      </c>
      <c r="CI105" s="613">
        <f t="shared" si="109"/>
        <v>0</v>
      </c>
      <c r="CJ105" s="614" t="str">
        <f t="shared" si="110"/>
        <v/>
      </c>
      <c r="CK105" s="615" t="str">
        <f t="shared" si="111"/>
        <v/>
      </c>
      <c r="CL105" s="610" t="str">
        <f>IF(ISBLANK(H105),"",IF(AND(ISNUMBER(F105),ISNUMBER(G105),ISNUMBER(H105)),ROUND(F105/(H105*G105),2),ROUND(F105/(VALUE(LEFT(H105,SUM(LEN(H105)-LEN(SUBSTITUTE(H105,{"0","1","2","3","4","5","6","7","8","9","."},"")))))*G105),2)))</f>
        <v/>
      </c>
      <c r="CM105" s="616" t="str">
        <f t="shared" si="138"/>
        <v/>
      </c>
      <c r="CN105" s="616" t="str">
        <f>IF(ISNUMBER(P105),MAX('Adjustment factors'!$S$16,(0.2+0.8*P105)),IF(ISTEXT(N105),VLOOKUP(N105,Afactors,2,FALSE),""))</f>
        <v/>
      </c>
      <c r="CO105" s="616" t="str">
        <f>IF(ISNUMBER(S105),MAX('Adjustment factors'!$S$16,0.2+0.8*S105),IF(ISTEXT(Q105),VLOOKUP(Q105,Afactors,2,FALSE),""))</f>
        <v/>
      </c>
      <c r="CP105" s="611" t="str">
        <f t="shared" si="139"/>
        <v/>
      </c>
      <c r="CQ105" s="612" t="str">
        <f t="shared" si="140"/>
        <v/>
      </c>
      <c r="CR105" s="340"/>
      <c r="CS105" s="340"/>
      <c r="CT105" s="340"/>
      <c r="CU105" s="340"/>
      <c r="CV105" s="333"/>
      <c r="CW105" s="333"/>
      <c r="CX105" s="333"/>
      <c r="CY105" s="333"/>
      <c r="DA105" s="313" t="str">
        <f t="shared" si="112"/>
        <v>OK</v>
      </c>
      <c r="DB105" s="313" t="str">
        <f t="shared" si="113"/>
        <v>OK</v>
      </c>
      <c r="DC105" s="313" t="str">
        <f t="shared" si="114"/>
        <v>OK</v>
      </c>
      <c r="DD105" s="313" t="str">
        <f t="shared" si="115"/>
        <v>OK</v>
      </c>
      <c r="DE105" s="153" t="str">
        <f t="shared" si="116"/>
        <v>OK</v>
      </c>
      <c r="DF105" s="314" t="str">
        <f t="shared" si="117"/>
        <v>OK</v>
      </c>
      <c r="DG105" s="482" t="str">
        <f t="shared" si="141"/>
        <v>OK</v>
      </c>
      <c r="DH105" s="482" t="str">
        <f>IF(OR(AND(T105='Adjustment factors'!$R$28,'Class 3, 5-9'!U105='Adjustment factors'!$R$29),AND('Class 3, 5-9'!T105='Adjustment factors'!$R$29,'Class 3, 5-9'!U105='Adjustment factors'!$R$28)),"Invalid combination of adjustment factors",IF(AND(T105=U105,NOT(ISBLANK(T105)),NOT(ISBLANK(U105))),"Same colour factor selected twice","OK"))</f>
        <v>OK</v>
      </c>
      <c r="DI105" s="313" t="str">
        <f t="shared" si="118"/>
        <v>OK</v>
      </c>
      <c r="DJ105" s="153" t="str">
        <f t="shared" si="142"/>
        <v>OK</v>
      </c>
      <c r="DK105" s="153" t="str">
        <f t="shared" si="119"/>
        <v>OK</v>
      </c>
      <c r="DL105" s="313" t="str">
        <f t="shared" si="120"/>
        <v>OK</v>
      </c>
      <c r="DM105" s="153" t="str">
        <f t="shared" si="121"/>
        <v>OK</v>
      </c>
      <c r="DN105" s="153" t="str">
        <f t="shared" si="143"/>
        <v>OK</v>
      </c>
      <c r="DO105" s="154" t="str">
        <f t="shared" si="144"/>
        <v>OK</v>
      </c>
      <c r="DP105" s="153" t="str">
        <f t="shared" si="122"/>
        <v>OK</v>
      </c>
      <c r="DQ105" s="313" t="str">
        <f t="shared" si="123"/>
        <v>OK</v>
      </c>
      <c r="DR105" s="153" t="str">
        <f t="shared" si="145"/>
        <v>OK</v>
      </c>
      <c r="DS105" s="153" t="str">
        <f t="shared" si="124"/>
        <v>OK</v>
      </c>
      <c r="DT105" s="313" t="str">
        <f t="shared" si="151"/>
        <v>OK</v>
      </c>
      <c r="DU105" s="153" t="str">
        <f t="shared" si="125"/>
        <v>OK</v>
      </c>
      <c r="DV105" s="153" t="str">
        <f t="shared" si="146"/>
        <v>OK</v>
      </c>
      <c r="DW105" s="154" t="str">
        <f t="shared" si="147"/>
        <v>OK</v>
      </c>
      <c r="DX105" s="157">
        <f t="shared" si="148"/>
        <v>0</v>
      </c>
      <c r="DY105" s="156" t="str">
        <f t="shared" si="149"/>
        <v>OK</v>
      </c>
    </row>
    <row r="106" spans="1:129" ht="13" hidden="1" x14ac:dyDescent="0.3">
      <c r="A106" s="333"/>
      <c r="B106" s="333"/>
      <c r="C106" s="332" t="str">
        <f t="shared" si="126"/>
        <v>-</v>
      </c>
      <c r="D106" s="584">
        <f t="shared" si="77"/>
        <v>83</v>
      </c>
      <c r="E106" s="585"/>
      <c r="F106" s="586"/>
      <c r="G106" s="600"/>
      <c r="H106" s="587"/>
      <c r="I106" s="601"/>
      <c r="J106" s="585"/>
      <c r="K106" s="617"/>
      <c r="L106" s="602"/>
      <c r="M106" s="603"/>
      <c r="N106" s="588"/>
      <c r="O106" s="604"/>
      <c r="P106" s="605"/>
      <c r="Q106" s="588"/>
      <c r="R106" s="604"/>
      <c r="S106" s="605"/>
      <c r="T106" s="606"/>
      <c r="U106" s="606"/>
      <c r="V106" s="429" t="str">
        <f t="shared" si="80"/>
        <v/>
      </c>
      <c r="W106" s="430" t="str">
        <f t="shared" si="80"/>
        <v/>
      </c>
      <c r="X106" s="66" t="str">
        <f>IF(AND(ISNUMBER(P106),N106=FixedDim),MAX('Adjustment factors'!$S$16,0.2+0.8*P106),IF(ISTEXT(N106),VLOOKUP(N106,Afactors,2,TRUE),""))</f>
        <v/>
      </c>
      <c r="Y106" s="17" t="str">
        <f>IF(AND(ISNUMBER(S106),Q106=FixedDim),MAX('Adjustment factors'!$S$16,0.2+0.8*S106),IF(ISTEXT(Q106),VLOOKUP(Q106,Afactors,2,TRUE),""))</f>
        <v/>
      </c>
      <c r="Z106" s="297" t="str">
        <f>IF(ISBLANK(T106),"",VLOOKUP(T106,'Adjustment factors'!$R$27:$S$30,2,TRUE))</f>
        <v/>
      </c>
      <c r="AA106" s="297" t="str">
        <f>IF(ISBLANK(U106),"",VLOOKUP(U106,'Adjustment factors'!$R$27:$S$30,2,TRUE))</f>
        <v/>
      </c>
      <c r="AB106" s="480">
        <f t="shared" si="127"/>
        <v>1</v>
      </c>
      <c r="AC106" s="18" t="b">
        <f t="shared" si="81"/>
        <v>0</v>
      </c>
      <c r="AD106" s="18" t="b">
        <f t="shared" si="82"/>
        <v>0</v>
      </c>
      <c r="AE106" s="18" t="b">
        <f t="shared" si="128"/>
        <v>0</v>
      </c>
      <c r="AF106" s="17" t="str">
        <f t="shared" si="83"/>
        <v/>
      </c>
      <c r="AG106" s="18" t="str">
        <f t="shared" si="84"/>
        <v/>
      </c>
      <c r="AH106" s="17" t="str">
        <f t="shared" si="85"/>
        <v/>
      </c>
      <c r="AI106" s="297" t="e">
        <f t="shared" si="129"/>
        <v>#VALUE!</v>
      </c>
      <c r="AJ106" s="79" t="e">
        <f t="shared" si="86"/>
        <v>#VALUE!</v>
      </c>
      <c r="AK106" s="17" t="str">
        <f t="shared" si="150"/>
        <v/>
      </c>
      <c r="AL106" s="80" t="e">
        <f t="shared" si="87"/>
        <v>#VALUE!</v>
      </c>
      <c r="AM106" s="139" t="b">
        <f t="shared" si="88"/>
        <v>1</v>
      </c>
      <c r="AN106" s="139" t="b">
        <f>AND(COUNTA(E106)&gt;0,ISNUMBER(F106),OR(COUNT(G106:H106)=0,COUNT(G106:H106)=2,AND(ISNUMBER(G106),ISNUMBER(VALUE(LEFT(H106,SUM(LEN(H106)-LEN(SUBSTITUTE(H106,{"0","1","2","3","4","5","6","7","8","9","."},"")))))))),ISNUMBER(I106),ISTEXT(J106))</f>
        <v>0</v>
      </c>
      <c r="AO106" s="19" t="b">
        <f t="shared" si="89"/>
        <v>0</v>
      </c>
      <c r="AP106" s="19" t="b">
        <f t="shared" si="90"/>
        <v>1</v>
      </c>
      <c r="AQ106" s="19" t="b">
        <f>IF(AND(COUNTBLANK(E106:J106)=6,OR(AN107:AN$523)),NOT(AN106))</f>
        <v>0</v>
      </c>
      <c r="AR106" s="19" t="str">
        <f t="shared" si="91"/>
        <v/>
      </c>
      <c r="AS106" s="19" t="b">
        <f t="shared" si="92"/>
        <v>1</v>
      </c>
      <c r="AT106" s="19" t="str">
        <f t="shared" si="93"/>
        <v/>
      </c>
      <c r="AU106" s="19" t="b">
        <f t="shared" si="94"/>
        <v>1</v>
      </c>
      <c r="AV106" s="140" t="str">
        <f t="shared" si="130"/>
        <v/>
      </c>
      <c r="AW106" s="19" t="str">
        <f t="shared" si="95"/>
        <v/>
      </c>
      <c r="AX106" s="81">
        <f t="shared" si="96"/>
        <v>0</v>
      </c>
      <c r="AY106" s="81" t="str">
        <f t="shared" si="97"/>
        <v/>
      </c>
      <c r="AZ106" s="307" t="str">
        <f t="shared" si="131"/>
        <v/>
      </c>
      <c r="BA106" s="281" t="str">
        <f t="shared" si="132"/>
        <v/>
      </c>
      <c r="BB106" s="281" t="str">
        <f t="shared" si="133"/>
        <v/>
      </c>
      <c r="BC106" s="953"/>
      <c r="BD106" s="955"/>
      <c r="BE106" s="219" t="str">
        <f t="shared" si="98"/>
        <v>n/a</v>
      </c>
      <c r="BF106" s="215" t="b">
        <f t="shared" si="99"/>
        <v>0</v>
      </c>
      <c r="BG106" s="145" t="b">
        <f t="shared" si="100"/>
        <v>0</v>
      </c>
      <c r="BH106" s="145" t="b">
        <f t="shared" si="101"/>
        <v>0</v>
      </c>
      <c r="BI106" s="216" t="b">
        <f t="shared" si="102"/>
        <v>0</v>
      </c>
      <c r="BJ106" s="215" t="b">
        <f t="shared" si="103"/>
        <v>0</v>
      </c>
      <c r="BK106" s="145" t="b">
        <f t="shared" si="104"/>
        <v>0</v>
      </c>
      <c r="BL106" s="216" t="b">
        <f t="shared" si="105"/>
        <v>0</v>
      </c>
      <c r="BM106" s="217" t="str">
        <f t="shared" si="134"/>
        <v/>
      </c>
      <c r="BN106" s="146" t="str">
        <f t="shared" si="135"/>
        <v/>
      </c>
      <c r="BO106" s="147" t="str">
        <f t="shared" si="136"/>
        <v/>
      </c>
      <c r="BP106" s="148" t="str">
        <f t="shared" si="137"/>
        <v/>
      </c>
      <c r="BT106" s="50">
        <f t="shared" si="78"/>
        <v>83</v>
      </c>
      <c r="BU106" s="50" t="str">
        <f t="shared" si="106"/>
        <v>-</v>
      </c>
      <c r="BW106" s="340"/>
      <c r="BX106" s="333"/>
      <c r="BY106" s="333"/>
      <c r="BZ106" s="333"/>
      <c r="CA106" s="333"/>
      <c r="CB106" s="333"/>
      <c r="CC106" s="333"/>
      <c r="CD106" s="333"/>
      <c r="CE106" s="333"/>
      <c r="CF106" s="333"/>
      <c r="CG106" s="354">
        <f t="shared" si="107"/>
        <v>83</v>
      </c>
      <c r="CH106" s="613">
        <f t="shared" si="108"/>
        <v>0</v>
      </c>
      <c r="CI106" s="613">
        <f t="shared" si="109"/>
        <v>0</v>
      </c>
      <c r="CJ106" s="614" t="str">
        <f t="shared" si="110"/>
        <v/>
      </c>
      <c r="CK106" s="615" t="str">
        <f t="shared" si="111"/>
        <v/>
      </c>
      <c r="CL106" s="610" t="str">
        <f>IF(ISBLANK(H106),"",IF(AND(ISNUMBER(F106),ISNUMBER(G106),ISNUMBER(H106)),ROUND(F106/(H106*G106),2),ROUND(F106/(VALUE(LEFT(H106,SUM(LEN(H106)-LEN(SUBSTITUTE(H106,{"0","1","2","3","4","5","6","7","8","9","."},"")))))*G106),2)))</f>
        <v/>
      </c>
      <c r="CM106" s="616" t="str">
        <f t="shared" si="138"/>
        <v/>
      </c>
      <c r="CN106" s="616" t="str">
        <f>IF(ISNUMBER(P106),MAX('Adjustment factors'!$S$16,(0.2+0.8*P106)),IF(ISTEXT(N106),VLOOKUP(N106,Afactors,2,FALSE),""))</f>
        <v/>
      </c>
      <c r="CO106" s="616" t="str">
        <f>IF(ISNUMBER(S106),MAX('Adjustment factors'!$S$16,0.2+0.8*S106),IF(ISTEXT(Q106),VLOOKUP(Q106,Afactors,2,FALSE),""))</f>
        <v/>
      </c>
      <c r="CP106" s="611" t="str">
        <f t="shared" si="139"/>
        <v/>
      </c>
      <c r="CQ106" s="612" t="str">
        <f t="shared" si="140"/>
        <v/>
      </c>
      <c r="CR106" s="340"/>
      <c r="CS106" s="340"/>
      <c r="CT106" s="340"/>
      <c r="CU106" s="340"/>
      <c r="CV106" s="333"/>
      <c r="CW106" s="333"/>
      <c r="CX106" s="333"/>
      <c r="CY106" s="333"/>
      <c r="DA106" s="313" t="str">
        <f t="shared" si="112"/>
        <v>OK</v>
      </c>
      <c r="DB106" s="313" t="str">
        <f t="shared" si="113"/>
        <v>OK</v>
      </c>
      <c r="DC106" s="313" t="str">
        <f t="shared" si="114"/>
        <v>OK</v>
      </c>
      <c r="DD106" s="313" t="str">
        <f t="shared" si="115"/>
        <v>OK</v>
      </c>
      <c r="DE106" s="153" t="str">
        <f t="shared" si="116"/>
        <v>OK</v>
      </c>
      <c r="DF106" s="314" t="str">
        <f t="shared" si="117"/>
        <v>OK</v>
      </c>
      <c r="DG106" s="482" t="str">
        <f t="shared" si="141"/>
        <v>OK</v>
      </c>
      <c r="DH106" s="482" t="str">
        <f>IF(OR(AND(T106='Adjustment factors'!$R$28,'Class 3, 5-9'!U106='Adjustment factors'!$R$29),AND('Class 3, 5-9'!T106='Adjustment factors'!$R$29,'Class 3, 5-9'!U106='Adjustment factors'!$R$28)),"Invalid combination of adjustment factors",IF(AND(T106=U106,NOT(ISBLANK(T106)),NOT(ISBLANK(U106))),"Same colour factor selected twice","OK"))</f>
        <v>OK</v>
      </c>
      <c r="DI106" s="313" t="str">
        <f t="shared" si="118"/>
        <v>OK</v>
      </c>
      <c r="DJ106" s="153" t="str">
        <f t="shared" si="142"/>
        <v>OK</v>
      </c>
      <c r="DK106" s="153" t="str">
        <f t="shared" si="119"/>
        <v>OK</v>
      </c>
      <c r="DL106" s="313" t="str">
        <f t="shared" si="120"/>
        <v>OK</v>
      </c>
      <c r="DM106" s="153" t="str">
        <f t="shared" si="121"/>
        <v>OK</v>
      </c>
      <c r="DN106" s="153" t="str">
        <f t="shared" si="143"/>
        <v>OK</v>
      </c>
      <c r="DO106" s="154" t="str">
        <f t="shared" si="144"/>
        <v>OK</v>
      </c>
      <c r="DP106" s="153" t="str">
        <f t="shared" si="122"/>
        <v>OK</v>
      </c>
      <c r="DQ106" s="313" t="str">
        <f t="shared" si="123"/>
        <v>OK</v>
      </c>
      <c r="DR106" s="153" t="str">
        <f t="shared" si="145"/>
        <v>OK</v>
      </c>
      <c r="DS106" s="153" t="str">
        <f t="shared" si="124"/>
        <v>OK</v>
      </c>
      <c r="DT106" s="313" t="str">
        <f t="shared" si="151"/>
        <v>OK</v>
      </c>
      <c r="DU106" s="153" t="str">
        <f t="shared" si="125"/>
        <v>OK</v>
      </c>
      <c r="DV106" s="153" t="str">
        <f t="shared" si="146"/>
        <v>OK</v>
      </c>
      <c r="DW106" s="154" t="str">
        <f t="shared" si="147"/>
        <v>OK</v>
      </c>
      <c r="DX106" s="157">
        <f t="shared" si="148"/>
        <v>0</v>
      </c>
      <c r="DY106" s="156" t="str">
        <f t="shared" si="149"/>
        <v>OK</v>
      </c>
    </row>
    <row r="107" spans="1:129" ht="13" hidden="1" x14ac:dyDescent="0.3">
      <c r="A107" s="333"/>
      <c r="B107" s="333"/>
      <c r="C107" s="332" t="str">
        <f t="shared" si="126"/>
        <v>-</v>
      </c>
      <c r="D107" s="584">
        <f t="shared" si="77"/>
        <v>84</v>
      </c>
      <c r="E107" s="585"/>
      <c r="F107" s="586"/>
      <c r="G107" s="600"/>
      <c r="H107" s="587"/>
      <c r="I107" s="601"/>
      <c r="J107" s="585"/>
      <c r="K107" s="617"/>
      <c r="L107" s="602"/>
      <c r="M107" s="603"/>
      <c r="N107" s="588"/>
      <c r="O107" s="604"/>
      <c r="P107" s="605"/>
      <c r="Q107" s="588"/>
      <c r="R107" s="604"/>
      <c r="S107" s="605"/>
      <c r="T107" s="606"/>
      <c r="U107" s="606"/>
      <c r="V107" s="429" t="str">
        <f t="shared" si="80"/>
        <v/>
      </c>
      <c r="W107" s="430" t="str">
        <f t="shared" si="80"/>
        <v/>
      </c>
      <c r="X107" s="66" t="str">
        <f>IF(AND(ISNUMBER(P107),N107=FixedDim),MAX('Adjustment factors'!$S$16,0.2+0.8*P107),IF(ISTEXT(N107),VLOOKUP(N107,Afactors,2,TRUE),""))</f>
        <v/>
      </c>
      <c r="Y107" s="17" t="str">
        <f>IF(AND(ISNUMBER(S107),Q107=FixedDim),MAX('Adjustment factors'!$S$16,0.2+0.8*S107),IF(ISTEXT(Q107),VLOOKUP(Q107,Afactors,2,TRUE),""))</f>
        <v/>
      </c>
      <c r="Z107" s="297" t="str">
        <f>IF(ISBLANK(T107),"",VLOOKUP(T107,'Adjustment factors'!$R$27:$S$30,2,TRUE))</f>
        <v/>
      </c>
      <c r="AA107" s="297" t="str">
        <f>IF(ISBLANK(U107),"",VLOOKUP(U107,'Adjustment factors'!$R$27:$S$30,2,TRUE))</f>
        <v/>
      </c>
      <c r="AB107" s="480">
        <f t="shared" si="127"/>
        <v>1</v>
      </c>
      <c r="AC107" s="18" t="b">
        <f t="shared" si="81"/>
        <v>0</v>
      </c>
      <c r="AD107" s="18" t="b">
        <f t="shared" si="82"/>
        <v>0</v>
      </c>
      <c r="AE107" s="18" t="b">
        <f t="shared" si="128"/>
        <v>0</v>
      </c>
      <c r="AF107" s="17" t="str">
        <f t="shared" si="83"/>
        <v/>
      </c>
      <c r="AG107" s="18" t="str">
        <f t="shared" si="84"/>
        <v/>
      </c>
      <c r="AH107" s="17" t="str">
        <f t="shared" si="85"/>
        <v/>
      </c>
      <c r="AI107" s="297" t="e">
        <f t="shared" si="129"/>
        <v>#VALUE!</v>
      </c>
      <c r="AJ107" s="79" t="e">
        <f t="shared" si="86"/>
        <v>#VALUE!</v>
      </c>
      <c r="AK107" s="17" t="str">
        <f t="shared" si="150"/>
        <v/>
      </c>
      <c r="AL107" s="80" t="e">
        <f t="shared" si="87"/>
        <v>#VALUE!</v>
      </c>
      <c r="AM107" s="139" t="b">
        <f t="shared" si="88"/>
        <v>1</v>
      </c>
      <c r="AN107" s="139" t="b">
        <f>AND(COUNTA(E107)&gt;0,ISNUMBER(F107),OR(COUNT(G107:H107)=0,COUNT(G107:H107)=2,AND(ISNUMBER(G107),ISNUMBER(VALUE(LEFT(H107,SUM(LEN(H107)-LEN(SUBSTITUTE(H107,{"0","1","2","3","4","5","6","7","8","9","."},"")))))))),ISNUMBER(I107),ISTEXT(J107))</f>
        <v>0</v>
      </c>
      <c r="AO107" s="19" t="b">
        <f t="shared" si="89"/>
        <v>0</v>
      </c>
      <c r="AP107" s="19" t="b">
        <f t="shared" si="90"/>
        <v>1</v>
      </c>
      <c r="AQ107" s="19" t="b">
        <f>IF(AND(COUNTBLANK(E107:J107)=6,OR(AN108:AN$523)),NOT(AN107))</f>
        <v>0</v>
      </c>
      <c r="AR107" s="19" t="str">
        <f t="shared" si="91"/>
        <v/>
      </c>
      <c r="AS107" s="19" t="b">
        <f t="shared" si="92"/>
        <v>1</v>
      </c>
      <c r="AT107" s="19" t="str">
        <f t="shared" si="93"/>
        <v/>
      </c>
      <c r="AU107" s="19" t="b">
        <f t="shared" si="94"/>
        <v>1</v>
      </c>
      <c r="AV107" s="140" t="str">
        <f t="shared" si="130"/>
        <v/>
      </c>
      <c r="AW107" s="19" t="str">
        <f t="shared" si="95"/>
        <v/>
      </c>
      <c r="AX107" s="81">
        <f t="shared" si="96"/>
        <v>0</v>
      </c>
      <c r="AY107" s="81" t="str">
        <f t="shared" si="97"/>
        <v/>
      </c>
      <c r="AZ107" s="307" t="str">
        <f t="shared" si="131"/>
        <v/>
      </c>
      <c r="BA107" s="281" t="str">
        <f t="shared" si="132"/>
        <v/>
      </c>
      <c r="BB107" s="281" t="str">
        <f t="shared" si="133"/>
        <v/>
      </c>
      <c r="BC107" s="953"/>
      <c r="BD107" s="955"/>
      <c r="BE107" s="219" t="str">
        <f t="shared" si="98"/>
        <v>n/a</v>
      </c>
      <c r="BF107" s="215" t="b">
        <f t="shared" si="99"/>
        <v>0</v>
      </c>
      <c r="BG107" s="145" t="b">
        <f t="shared" si="100"/>
        <v>0</v>
      </c>
      <c r="BH107" s="145" t="b">
        <f t="shared" si="101"/>
        <v>0</v>
      </c>
      <c r="BI107" s="216" t="b">
        <f t="shared" si="102"/>
        <v>0</v>
      </c>
      <c r="BJ107" s="215" t="b">
        <f t="shared" si="103"/>
        <v>0</v>
      </c>
      <c r="BK107" s="145" t="b">
        <f t="shared" si="104"/>
        <v>0</v>
      </c>
      <c r="BL107" s="216" t="b">
        <f t="shared" si="105"/>
        <v>0</v>
      </c>
      <c r="BM107" s="217" t="str">
        <f t="shared" si="134"/>
        <v/>
      </c>
      <c r="BN107" s="146" t="str">
        <f t="shared" si="135"/>
        <v/>
      </c>
      <c r="BO107" s="147" t="str">
        <f t="shared" si="136"/>
        <v/>
      </c>
      <c r="BP107" s="148" t="str">
        <f t="shared" si="137"/>
        <v/>
      </c>
      <c r="BT107" s="50">
        <f t="shared" si="78"/>
        <v>84</v>
      </c>
      <c r="BU107" s="50" t="str">
        <f t="shared" si="106"/>
        <v>-</v>
      </c>
      <c r="BW107" s="340"/>
      <c r="BX107" s="333"/>
      <c r="BY107" s="333"/>
      <c r="BZ107" s="333"/>
      <c r="CA107" s="333"/>
      <c r="CB107" s="333"/>
      <c r="CC107" s="333"/>
      <c r="CD107" s="333"/>
      <c r="CE107" s="333"/>
      <c r="CF107" s="333"/>
      <c r="CG107" s="354">
        <f t="shared" si="107"/>
        <v>84</v>
      </c>
      <c r="CH107" s="613">
        <f t="shared" si="108"/>
        <v>0</v>
      </c>
      <c r="CI107" s="613">
        <f t="shared" si="109"/>
        <v>0</v>
      </c>
      <c r="CJ107" s="614" t="str">
        <f t="shared" si="110"/>
        <v/>
      </c>
      <c r="CK107" s="615" t="str">
        <f t="shared" si="111"/>
        <v/>
      </c>
      <c r="CL107" s="610" t="str">
        <f>IF(ISBLANK(H107),"",IF(AND(ISNUMBER(F107),ISNUMBER(G107),ISNUMBER(H107)),ROUND(F107/(H107*G107),2),ROUND(F107/(VALUE(LEFT(H107,SUM(LEN(H107)-LEN(SUBSTITUTE(H107,{"0","1","2","3","4","5","6","7","8","9","."},"")))))*G107),2)))</f>
        <v/>
      </c>
      <c r="CM107" s="616" t="str">
        <f t="shared" si="138"/>
        <v/>
      </c>
      <c r="CN107" s="616" t="str">
        <f>IF(ISNUMBER(P107),MAX('Adjustment factors'!$S$16,(0.2+0.8*P107)),IF(ISTEXT(N107),VLOOKUP(N107,Afactors,2,FALSE),""))</f>
        <v/>
      </c>
      <c r="CO107" s="616" t="str">
        <f>IF(ISNUMBER(S107),MAX('Adjustment factors'!$S$16,0.2+0.8*S107),IF(ISTEXT(Q107),VLOOKUP(Q107,Afactors,2,FALSE),""))</f>
        <v/>
      </c>
      <c r="CP107" s="611" t="str">
        <f t="shared" si="139"/>
        <v/>
      </c>
      <c r="CQ107" s="612" t="str">
        <f t="shared" si="140"/>
        <v/>
      </c>
      <c r="CR107" s="340"/>
      <c r="CS107" s="340"/>
      <c r="CT107" s="340"/>
      <c r="CU107" s="340"/>
      <c r="CV107" s="333"/>
      <c r="CW107" s="333"/>
      <c r="CX107" s="333"/>
      <c r="CY107" s="333"/>
      <c r="DA107" s="313" t="str">
        <f t="shared" si="112"/>
        <v>OK</v>
      </c>
      <c r="DB107" s="313" t="str">
        <f t="shared" si="113"/>
        <v>OK</v>
      </c>
      <c r="DC107" s="313" t="str">
        <f t="shared" si="114"/>
        <v>OK</v>
      </c>
      <c r="DD107" s="313" t="str">
        <f t="shared" si="115"/>
        <v>OK</v>
      </c>
      <c r="DE107" s="153" t="str">
        <f t="shared" si="116"/>
        <v>OK</v>
      </c>
      <c r="DF107" s="314" t="str">
        <f t="shared" si="117"/>
        <v>OK</v>
      </c>
      <c r="DG107" s="482" t="str">
        <f t="shared" si="141"/>
        <v>OK</v>
      </c>
      <c r="DH107" s="482" t="str">
        <f>IF(OR(AND(T107='Adjustment factors'!$R$28,'Class 3, 5-9'!U107='Adjustment factors'!$R$29),AND('Class 3, 5-9'!T107='Adjustment factors'!$R$29,'Class 3, 5-9'!U107='Adjustment factors'!$R$28)),"Invalid combination of adjustment factors",IF(AND(T107=U107,NOT(ISBLANK(T107)),NOT(ISBLANK(U107))),"Same colour factor selected twice","OK"))</f>
        <v>OK</v>
      </c>
      <c r="DI107" s="313" t="str">
        <f t="shared" si="118"/>
        <v>OK</v>
      </c>
      <c r="DJ107" s="153" t="str">
        <f t="shared" si="142"/>
        <v>OK</v>
      </c>
      <c r="DK107" s="153" t="str">
        <f t="shared" si="119"/>
        <v>OK</v>
      </c>
      <c r="DL107" s="313" t="str">
        <f t="shared" si="120"/>
        <v>OK</v>
      </c>
      <c r="DM107" s="153" t="str">
        <f t="shared" si="121"/>
        <v>OK</v>
      </c>
      <c r="DN107" s="153" t="str">
        <f t="shared" si="143"/>
        <v>OK</v>
      </c>
      <c r="DO107" s="154" t="str">
        <f t="shared" si="144"/>
        <v>OK</v>
      </c>
      <c r="DP107" s="153" t="str">
        <f t="shared" si="122"/>
        <v>OK</v>
      </c>
      <c r="DQ107" s="313" t="str">
        <f t="shared" si="123"/>
        <v>OK</v>
      </c>
      <c r="DR107" s="153" t="str">
        <f t="shared" si="145"/>
        <v>OK</v>
      </c>
      <c r="DS107" s="153" t="str">
        <f t="shared" si="124"/>
        <v>OK</v>
      </c>
      <c r="DT107" s="313" t="str">
        <f t="shared" si="151"/>
        <v>OK</v>
      </c>
      <c r="DU107" s="153" t="str">
        <f t="shared" si="125"/>
        <v>OK</v>
      </c>
      <c r="DV107" s="153" t="str">
        <f t="shared" si="146"/>
        <v>OK</v>
      </c>
      <c r="DW107" s="154" t="str">
        <f t="shared" si="147"/>
        <v>OK</v>
      </c>
      <c r="DX107" s="157">
        <f t="shared" si="148"/>
        <v>0</v>
      </c>
      <c r="DY107" s="156" t="str">
        <f t="shared" si="149"/>
        <v>OK</v>
      </c>
    </row>
    <row r="108" spans="1:129" ht="13" hidden="1" x14ac:dyDescent="0.3">
      <c r="A108" s="333"/>
      <c r="B108" s="333"/>
      <c r="C108" s="332" t="str">
        <f t="shared" si="126"/>
        <v>-</v>
      </c>
      <c r="D108" s="584">
        <f t="shared" si="77"/>
        <v>85</v>
      </c>
      <c r="E108" s="585"/>
      <c r="F108" s="586"/>
      <c r="G108" s="600"/>
      <c r="H108" s="587"/>
      <c r="I108" s="601"/>
      <c r="J108" s="585"/>
      <c r="K108" s="617"/>
      <c r="L108" s="602"/>
      <c r="M108" s="603"/>
      <c r="N108" s="588"/>
      <c r="O108" s="604"/>
      <c r="P108" s="605"/>
      <c r="Q108" s="588"/>
      <c r="R108" s="604"/>
      <c r="S108" s="605"/>
      <c r="T108" s="606"/>
      <c r="U108" s="606"/>
      <c r="V108" s="429" t="str">
        <f t="shared" si="80"/>
        <v/>
      </c>
      <c r="W108" s="430" t="str">
        <f t="shared" si="80"/>
        <v/>
      </c>
      <c r="X108" s="66" t="str">
        <f>IF(AND(ISNUMBER(P108),N108=FixedDim),MAX('Adjustment factors'!$S$16,0.2+0.8*P108),IF(ISTEXT(N108),VLOOKUP(N108,Afactors,2,TRUE),""))</f>
        <v/>
      </c>
      <c r="Y108" s="17" t="str">
        <f>IF(AND(ISNUMBER(S108),Q108=FixedDim),MAX('Adjustment factors'!$S$16,0.2+0.8*S108),IF(ISTEXT(Q108),VLOOKUP(Q108,Afactors,2,TRUE),""))</f>
        <v/>
      </c>
      <c r="Z108" s="297" t="str">
        <f>IF(ISBLANK(T108),"",VLOOKUP(T108,'Adjustment factors'!$R$27:$S$30,2,TRUE))</f>
        <v/>
      </c>
      <c r="AA108" s="297" t="str">
        <f>IF(ISBLANK(U108),"",VLOOKUP(U108,'Adjustment factors'!$R$27:$S$30,2,TRUE))</f>
        <v/>
      </c>
      <c r="AB108" s="480">
        <f t="shared" si="127"/>
        <v>1</v>
      </c>
      <c r="AC108" s="18" t="b">
        <f t="shared" si="81"/>
        <v>0</v>
      </c>
      <c r="AD108" s="18" t="b">
        <f t="shared" si="82"/>
        <v>0</v>
      </c>
      <c r="AE108" s="18" t="b">
        <f t="shared" si="128"/>
        <v>0</v>
      </c>
      <c r="AF108" s="17" t="str">
        <f t="shared" si="83"/>
        <v/>
      </c>
      <c r="AG108" s="18" t="str">
        <f t="shared" si="84"/>
        <v/>
      </c>
      <c r="AH108" s="17" t="str">
        <f t="shared" si="85"/>
        <v/>
      </c>
      <c r="AI108" s="297" t="e">
        <f t="shared" si="129"/>
        <v>#VALUE!</v>
      </c>
      <c r="AJ108" s="79" t="e">
        <f t="shared" si="86"/>
        <v>#VALUE!</v>
      </c>
      <c r="AK108" s="17" t="str">
        <f t="shared" si="150"/>
        <v/>
      </c>
      <c r="AL108" s="80" t="e">
        <f t="shared" si="87"/>
        <v>#VALUE!</v>
      </c>
      <c r="AM108" s="139" t="b">
        <f t="shared" si="88"/>
        <v>1</v>
      </c>
      <c r="AN108" s="139" t="b">
        <f>AND(COUNTA(E108)&gt;0,ISNUMBER(F108),OR(COUNT(G108:H108)=0,COUNT(G108:H108)=2,AND(ISNUMBER(G108),ISNUMBER(VALUE(LEFT(H108,SUM(LEN(H108)-LEN(SUBSTITUTE(H108,{"0","1","2","3","4","5","6","7","8","9","."},"")))))))),ISNUMBER(I108),ISTEXT(J108))</f>
        <v>0</v>
      </c>
      <c r="AO108" s="19" t="b">
        <f t="shared" si="89"/>
        <v>0</v>
      </c>
      <c r="AP108" s="19" t="b">
        <f t="shared" si="90"/>
        <v>1</v>
      </c>
      <c r="AQ108" s="19" t="b">
        <f>IF(AND(COUNTBLANK(E108:J108)=6,OR(AN109:AN$523)),NOT(AN108))</f>
        <v>0</v>
      </c>
      <c r="AR108" s="19" t="str">
        <f t="shared" si="91"/>
        <v/>
      </c>
      <c r="AS108" s="19" t="b">
        <f t="shared" si="92"/>
        <v>1</v>
      </c>
      <c r="AT108" s="19" t="str">
        <f t="shared" si="93"/>
        <v/>
      </c>
      <c r="AU108" s="19" t="b">
        <f t="shared" si="94"/>
        <v>1</v>
      </c>
      <c r="AV108" s="140" t="str">
        <f t="shared" si="130"/>
        <v/>
      </c>
      <c r="AW108" s="19" t="str">
        <f t="shared" si="95"/>
        <v/>
      </c>
      <c r="AX108" s="81">
        <f t="shared" si="96"/>
        <v>0</v>
      </c>
      <c r="AY108" s="81" t="str">
        <f t="shared" si="97"/>
        <v/>
      </c>
      <c r="AZ108" s="307" t="str">
        <f t="shared" si="131"/>
        <v/>
      </c>
      <c r="BA108" s="281" t="str">
        <f t="shared" si="132"/>
        <v/>
      </c>
      <c r="BB108" s="281" t="str">
        <f t="shared" si="133"/>
        <v/>
      </c>
      <c r="BC108" s="953"/>
      <c r="BD108" s="955"/>
      <c r="BE108" s="219" t="str">
        <f t="shared" si="98"/>
        <v>n/a</v>
      </c>
      <c r="BF108" s="215" t="b">
        <f t="shared" si="99"/>
        <v>0</v>
      </c>
      <c r="BG108" s="145" t="b">
        <f t="shared" si="100"/>
        <v>0</v>
      </c>
      <c r="BH108" s="145" t="b">
        <f t="shared" si="101"/>
        <v>0</v>
      </c>
      <c r="BI108" s="216" t="b">
        <f t="shared" si="102"/>
        <v>0</v>
      </c>
      <c r="BJ108" s="215" t="b">
        <f t="shared" si="103"/>
        <v>0</v>
      </c>
      <c r="BK108" s="145" t="b">
        <f t="shared" si="104"/>
        <v>0</v>
      </c>
      <c r="BL108" s="216" t="b">
        <f t="shared" si="105"/>
        <v>0</v>
      </c>
      <c r="BM108" s="217" t="str">
        <f t="shared" si="134"/>
        <v/>
      </c>
      <c r="BN108" s="146" t="str">
        <f t="shared" si="135"/>
        <v/>
      </c>
      <c r="BO108" s="147" t="str">
        <f t="shared" si="136"/>
        <v/>
      </c>
      <c r="BP108" s="148" t="str">
        <f t="shared" si="137"/>
        <v/>
      </c>
      <c r="BT108" s="50">
        <f t="shared" si="78"/>
        <v>85</v>
      </c>
      <c r="BU108" s="50" t="str">
        <f t="shared" si="106"/>
        <v>-</v>
      </c>
      <c r="BW108" s="340"/>
      <c r="BX108" s="333"/>
      <c r="BY108" s="333"/>
      <c r="BZ108" s="333"/>
      <c r="CA108" s="333"/>
      <c r="CB108" s="333"/>
      <c r="CC108" s="333"/>
      <c r="CD108" s="333"/>
      <c r="CE108" s="333"/>
      <c r="CF108" s="333"/>
      <c r="CG108" s="354">
        <f t="shared" si="107"/>
        <v>85</v>
      </c>
      <c r="CH108" s="613">
        <f t="shared" si="108"/>
        <v>0</v>
      </c>
      <c r="CI108" s="613">
        <f t="shared" si="109"/>
        <v>0</v>
      </c>
      <c r="CJ108" s="614" t="str">
        <f t="shared" si="110"/>
        <v/>
      </c>
      <c r="CK108" s="615" t="str">
        <f t="shared" si="111"/>
        <v/>
      </c>
      <c r="CL108" s="610" t="str">
        <f>IF(ISBLANK(H108),"",IF(AND(ISNUMBER(F108),ISNUMBER(G108),ISNUMBER(H108)),ROUND(F108/(H108*G108),2),ROUND(F108/(VALUE(LEFT(H108,SUM(LEN(H108)-LEN(SUBSTITUTE(H108,{"0","1","2","3","4","5","6","7","8","9","."},"")))))*G108),2)))</f>
        <v/>
      </c>
      <c r="CM108" s="616" t="str">
        <f t="shared" si="138"/>
        <v/>
      </c>
      <c r="CN108" s="616" t="str">
        <f>IF(ISNUMBER(P108),MAX('Adjustment factors'!$S$16,(0.2+0.8*P108)),IF(ISTEXT(N108),VLOOKUP(N108,Afactors,2,FALSE),""))</f>
        <v/>
      </c>
      <c r="CO108" s="616" t="str">
        <f>IF(ISNUMBER(S108),MAX('Adjustment factors'!$S$16,0.2+0.8*S108),IF(ISTEXT(Q108),VLOOKUP(Q108,Afactors,2,FALSE),""))</f>
        <v/>
      </c>
      <c r="CP108" s="611" t="str">
        <f t="shared" si="139"/>
        <v/>
      </c>
      <c r="CQ108" s="612" t="str">
        <f t="shared" si="140"/>
        <v/>
      </c>
      <c r="CR108" s="340"/>
      <c r="CS108" s="340"/>
      <c r="CT108" s="340"/>
      <c r="CU108" s="340"/>
      <c r="CV108" s="333"/>
      <c r="CW108" s="333"/>
      <c r="CX108" s="333"/>
      <c r="CY108" s="333"/>
      <c r="DA108" s="313" t="str">
        <f t="shared" si="112"/>
        <v>OK</v>
      </c>
      <c r="DB108" s="313" t="str">
        <f t="shared" si="113"/>
        <v>OK</v>
      </c>
      <c r="DC108" s="313" t="str">
        <f t="shared" si="114"/>
        <v>OK</v>
      </c>
      <c r="DD108" s="313" t="str">
        <f t="shared" si="115"/>
        <v>OK</v>
      </c>
      <c r="DE108" s="153" t="str">
        <f t="shared" si="116"/>
        <v>OK</v>
      </c>
      <c r="DF108" s="314" t="str">
        <f t="shared" si="117"/>
        <v>OK</v>
      </c>
      <c r="DG108" s="482" t="str">
        <f t="shared" si="141"/>
        <v>OK</v>
      </c>
      <c r="DH108" s="482" t="str">
        <f>IF(OR(AND(T108='Adjustment factors'!$R$28,'Class 3, 5-9'!U108='Adjustment factors'!$R$29),AND('Class 3, 5-9'!T108='Adjustment factors'!$R$29,'Class 3, 5-9'!U108='Adjustment factors'!$R$28)),"Invalid combination of adjustment factors",IF(AND(T108=U108,NOT(ISBLANK(T108)),NOT(ISBLANK(U108))),"Same colour factor selected twice","OK"))</f>
        <v>OK</v>
      </c>
      <c r="DI108" s="313" t="str">
        <f t="shared" si="118"/>
        <v>OK</v>
      </c>
      <c r="DJ108" s="153" t="str">
        <f t="shared" si="142"/>
        <v>OK</v>
      </c>
      <c r="DK108" s="153" t="str">
        <f t="shared" si="119"/>
        <v>OK</v>
      </c>
      <c r="DL108" s="313" t="str">
        <f t="shared" si="120"/>
        <v>OK</v>
      </c>
      <c r="DM108" s="153" t="str">
        <f t="shared" si="121"/>
        <v>OK</v>
      </c>
      <c r="DN108" s="153" t="str">
        <f t="shared" si="143"/>
        <v>OK</v>
      </c>
      <c r="DO108" s="154" t="str">
        <f t="shared" si="144"/>
        <v>OK</v>
      </c>
      <c r="DP108" s="153" t="str">
        <f t="shared" si="122"/>
        <v>OK</v>
      </c>
      <c r="DQ108" s="313" t="str">
        <f t="shared" si="123"/>
        <v>OK</v>
      </c>
      <c r="DR108" s="153" t="str">
        <f t="shared" si="145"/>
        <v>OK</v>
      </c>
      <c r="DS108" s="153" t="str">
        <f t="shared" si="124"/>
        <v>OK</v>
      </c>
      <c r="DT108" s="313" t="str">
        <f t="shared" si="151"/>
        <v>OK</v>
      </c>
      <c r="DU108" s="153" t="str">
        <f t="shared" si="125"/>
        <v>OK</v>
      </c>
      <c r="DV108" s="153" t="str">
        <f t="shared" si="146"/>
        <v>OK</v>
      </c>
      <c r="DW108" s="154" t="str">
        <f t="shared" si="147"/>
        <v>OK</v>
      </c>
      <c r="DX108" s="157">
        <f t="shared" si="148"/>
        <v>0</v>
      </c>
      <c r="DY108" s="156" t="str">
        <f t="shared" si="149"/>
        <v>OK</v>
      </c>
    </row>
    <row r="109" spans="1:129" ht="13" hidden="1" x14ac:dyDescent="0.3">
      <c r="A109" s="333"/>
      <c r="B109" s="333"/>
      <c r="C109" s="332" t="str">
        <f t="shared" si="126"/>
        <v>-</v>
      </c>
      <c r="D109" s="584">
        <f t="shared" si="77"/>
        <v>86</v>
      </c>
      <c r="E109" s="585"/>
      <c r="F109" s="586"/>
      <c r="G109" s="600"/>
      <c r="H109" s="587"/>
      <c r="I109" s="601"/>
      <c r="J109" s="585"/>
      <c r="K109" s="617"/>
      <c r="L109" s="602"/>
      <c r="M109" s="603"/>
      <c r="N109" s="588"/>
      <c r="O109" s="604"/>
      <c r="P109" s="605"/>
      <c r="Q109" s="588"/>
      <c r="R109" s="604"/>
      <c r="S109" s="605"/>
      <c r="T109" s="606"/>
      <c r="U109" s="606"/>
      <c r="V109" s="429" t="str">
        <f t="shared" si="80"/>
        <v/>
      </c>
      <c r="W109" s="430" t="str">
        <f t="shared" si="80"/>
        <v/>
      </c>
      <c r="X109" s="66" t="str">
        <f>IF(AND(ISNUMBER(P109),N109=FixedDim),MAX('Adjustment factors'!$S$16,0.2+0.8*P109),IF(ISTEXT(N109),VLOOKUP(N109,Afactors,2,TRUE),""))</f>
        <v/>
      </c>
      <c r="Y109" s="17" t="str">
        <f>IF(AND(ISNUMBER(S109),Q109=FixedDim),MAX('Adjustment factors'!$S$16,0.2+0.8*S109),IF(ISTEXT(Q109),VLOOKUP(Q109,Afactors,2,TRUE),""))</f>
        <v/>
      </c>
      <c r="Z109" s="297" t="str">
        <f>IF(ISBLANK(T109),"",VLOOKUP(T109,'Adjustment factors'!$R$27:$S$30,2,TRUE))</f>
        <v/>
      </c>
      <c r="AA109" s="297" t="str">
        <f>IF(ISBLANK(U109),"",VLOOKUP(U109,'Adjustment factors'!$R$27:$S$30,2,TRUE))</f>
        <v/>
      </c>
      <c r="AB109" s="480">
        <f t="shared" si="127"/>
        <v>1</v>
      </c>
      <c r="AC109" s="18" t="b">
        <f t="shared" si="81"/>
        <v>0</v>
      </c>
      <c r="AD109" s="18" t="b">
        <f t="shared" si="82"/>
        <v>0</v>
      </c>
      <c r="AE109" s="18" t="b">
        <f t="shared" si="128"/>
        <v>0</v>
      </c>
      <c r="AF109" s="17" t="str">
        <f t="shared" si="83"/>
        <v/>
      </c>
      <c r="AG109" s="18" t="str">
        <f t="shared" si="84"/>
        <v/>
      </c>
      <c r="AH109" s="17" t="str">
        <f t="shared" si="85"/>
        <v/>
      </c>
      <c r="AI109" s="297" t="e">
        <f t="shared" si="129"/>
        <v>#VALUE!</v>
      </c>
      <c r="AJ109" s="79" t="e">
        <f t="shared" si="86"/>
        <v>#VALUE!</v>
      </c>
      <c r="AK109" s="17" t="str">
        <f t="shared" si="150"/>
        <v/>
      </c>
      <c r="AL109" s="80" t="e">
        <f t="shared" si="87"/>
        <v>#VALUE!</v>
      </c>
      <c r="AM109" s="139" t="b">
        <f t="shared" si="88"/>
        <v>1</v>
      </c>
      <c r="AN109" s="139" t="b">
        <f>AND(COUNTA(E109)&gt;0,ISNUMBER(F109),OR(COUNT(G109:H109)=0,COUNT(G109:H109)=2,AND(ISNUMBER(G109),ISNUMBER(VALUE(LEFT(H109,SUM(LEN(H109)-LEN(SUBSTITUTE(H109,{"0","1","2","3","4","5","6","7","8","9","."},"")))))))),ISNUMBER(I109),ISTEXT(J109))</f>
        <v>0</v>
      </c>
      <c r="AO109" s="19" t="b">
        <f t="shared" si="89"/>
        <v>0</v>
      </c>
      <c r="AP109" s="19" t="b">
        <f t="shared" si="90"/>
        <v>1</v>
      </c>
      <c r="AQ109" s="19" t="b">
        <f>IF(AND(COUNTBLANK(E109:J109)=6,OR(AN110:AN$523)),NOT(AN109))</f>
        <v>0</v>
      </c>
      <c r="AR109" s="19" t="str">
        <f t="shared" si="91"/>
        <v/>
      </c>
      <c r="AS109" s="19" t="b">
        <f t="shared" si="92"/>
        <v>1</v>
      </c>
      <c r="AT109" s="19" t="str">
        <f t="shared" si="93"/>
        <v/>
      </c>
      <c r="AU109" s="19" t="b">
        <f t="shared" si="94"/>
        <v>1</v>
      </c>
      <c r="AV109" s="140" t="str">
        <f t="shared" si="130"/>
        <v/>
      </c>
      <c r="AW109" s="19" t="str">
        <f t="shared" si="95"/>
        <v/>
      </c>
      <c r="AX109" s="81">
        <f t="shared" si="96"/>
        <v>0</v>
      </c>
      <c r="AY109" s="81" t="str">
        <f t="shared" si="97"/>
        <v/>
      </c>
      <c r="AZ109" s="307" t="str">
        <f t="shared" si="131"/>
        <v/>
      </c>
      <c r="BA109" s="281" t="str">
        <f t="shared" si="132"/>
        <v/>
      </c>
      <c r="BB109" s="281" t="str">
        <f t="shared" si="133"/>
        <v/>
      </c>
      <c r="BC109" s="953"/>
      <c r="BD109" s="955"/>
      <c r="BE109" s="219" t="str">
        <f t="shared" si="98"/>
        <v>n/a</v>
      </c>
      <c r="BF109" s="215" t="b">
        <f t="shared" si="99"/>
        <v>0</v>
      </c>
      <c r="BG109" s="145" t="b">
        <f t="shared" si="100"/>
        <v>0</v>
      </c>
      <c r="BH109" s="145" t="b">
        <f t="shared" si="101"/>
        <v>0</v>
      </c>
      <c r="BI109" s="216" t="b">
        <f t="shared" si="102"/>
        <v>0</v>
      </c>
      <c r="BJ109" s="215" t="b">
        <f t="shared" si="103"/>
        <v>0</v>
      </c>
      <c r="BK109" s="145" t="b">
        <f t="shared" si="104"/>
        <v>0</v>
      </c>
      <c r="BL109" s="216" t="b">
        <f t="shared" si="105"/>
        <v>0</v>
      </c>
      <c r="BM109" s="217" t="str">
        <f t="shared" si="134"/>
        <v/>
      </c>
      <c r="BN109" s="146" t="str">
        <f t="shared" si="135"/>
        <v/>
      </c>
      <c r="BO109" s="147" t="str">
        <f t="shared" si="136"/>
        <v/>
      </c>
      <c r="BP109" s="148" t="str">
        <f t="shared" si="137"/>
        <v/>
      </c>
      <c r="BT109" s="50">
        <f t="shared" si="78"/>
        <v>86</v>
      </c>
      <c r="BU109" s="50" t="str">
        <f t="shared" si="106"/>
        <v>-</v>
      </c>
      <c r="BW109" s="340"/>
      <c r="BX109" s="333"/>
      <c r="BY109" s="333"/>
      <c r="BZ109" s="333"/>
      <c r="CA109" s="333"/>
      <c r="CB109" s="333"/>
      <c r="CC109" s="333"/>
      <c r="CD109" s="333"/>
      <c r="CE109" s="333"/>
      <c r="CF109" s="333"/>
      <c r="CG109" s="354">
        <f t="shared" si="107"/>
        <v>86</v>
      </c>
      <c r="CH109" s="613">
        <f t="shared" si="108"/>
        <v>0</v>
      </c>
      <c r="CI109" s="613">
        <f t="shared" si="109"/>
        <v>0</v>
      </c>
      <c r="CJ109" s="614" t="str">
        <f t="shared" si="110"/>
        <v/>
      </c>
      <c r="CK109" s="615" t="str">
        <f t="shared" si="111"/>
        <v/>
      </c>
      <c r="CL109" s="610" t="str">
        <f>IF(ISBLANK(H109),"",IF(AND(ISNUMBER(F109),ISNUMBER(G109),ISNUMBER(H109)),ROUND(F109/(H109*G109),2),ROUND(F109/(VALUE(LEFT(H109,SUM(LEN(H109)-LEN(SUBSTITUTE(H109,{"0","1","2","3","4","5","6","7","8","9","."},"")))))*G109),2)))</f>
        <v/>
      </c>
      <c r="CM109" s="616" t="str">
        <f t="shared" si="138"/>
        <v/>
      </c>
      <c r="CN109" s="616" t="str">
        <f>IF(ISNUMBER(P109),MAX('Adjustment factors'!$S$16,(0.2+0.8*P109)),IF(ISTEXT(N109),VLOOKUP(N109,Afactors,2,FALSE),""))</f>
        <v/>
      </c>
      <c r="CO109" s="616" t="str">
        <f>IF(ISNUMBER(S109),MAX('Adjustment factors'!$S$16,0.2+0.8*S109),IF(ISTEXT(Q109),VLOOKUP(Q109,Afactors,2,FALSE),""))</f>
        <v/>
      </c>
      <c r="CP109" s="611" t="str">
        <f t="shared" si="139"/>
        <v/>
      </c>
      <c r="CQ109" s="612" t="str">
        <f t="shared" si="140"/>
        <v/>
      </c>
      <c r="CR109" s="340"/>
      <c r="CS109" s="340"/>
      <c r="CT109" s="340"/>
      <c r="CU109" s="340"/>
      <c r="CV109" s="333"/>
      <c r="CW109" s="333"/>
      <c r="CX109" s="333"/>
      <c r="CY109" s="333"/>
      <c r="DA109" s="313" t="str">
        <f t="shared" si="112"/>
        <v>OK</v>
      </c>
      <c r="DB109" s="313" t="str">
        <f t="shared" si="113"/>
        <v>OK</v>
      </c>
      <c r="DC109" s="313" t="str">
        <f t="shared" si="114"/>
        <v>OK</v>
      </c>
      <c r="DD109" s="313" t="str">
        <f t="shared" si="115"/>
        <v>OK</v>
      </c>
      <c r="DE109" s="153" t="str">
        <f t="shared" si="116"/>
        <v>OK</v>
      </c>
      <c r="DF109" s="314" t="str">
        <f t="shared" si="117"/>
        <v>OK</v>
      </c>
      <c r="DG109" s="482" t="str">
        <f t="shared" si="141"/>
        <v>OK</v>
      </c>
      <c r="DH109" s="482" t="str">
        <f>IF(OR(AND(T109='Adjustment factors'!$R$28,'Class 3, 5-9'!U109='Adjustment factors'!$R$29),AND('Class 3, 5-9'!T109='Adjustment factors'!$R$29,'Class 3, 5-9'!U109='Adjustment factors'!$R$28)),"Invalid combination of adjustment factors",IF(AND(T109=U109,NOT(ISBLANK(T109)),NOT(ISBLANK(U109))),"Same colour factor selected twice","OK"))</f>
        <v>OK</v>
      </c>
      <c r="DI109" s="313" t="str">
        <f t="shared" si="118"/>
        <v>OK</v>
      </c>
      <c r="DJ109" s="153" t="str">
        <f t="shared" si="142"/>
        <v>OK</v>
      </c>
      <c r="DK109" s="153" t="str">
        <f t="shared" si="119"/>
        <v>OK</v>
      </c>
      <c r="DL109" s="313" t="str">
        <f t="shared" si="120"/>
        <v>OK</v>
      </c>
      <c r="DM109" s="153" t="str">
        <f t="shared" si="121"/>
        <v>OK</v>
      </c>
      <c r="DN109" s="153" t="str">
        <f t="shared" si="143"/>
        <v>OK</v>
      </c>
      <c r="DO109" s="154" t="str">
        <f t="shared" si="144"/>
        <v>OK</v>
      </c>
      <c r="DP109" s="153" t="str">
        <f t="shared" si="122"/>
        <v>OK</v>
      </c>
      <c r="DQ109" s="313" t="str">
        <f t="shared" si="123"/>
        <v>OK</v>
      </c>
      <c r="DR109" s="153" t="str">
        <f t="shared" si="145"/>
        <v>OK</v>
      </c>
      <c r="DS109" s="153" t="str">
        <f t="shared" si="124"/>
        <v>OK</v>
      </c>
      <c r="DT109" s="313" t="str">
        <f t="shared" si="151"/>
        <v>OK</v>
      </c>
      <c r="DU109" s="153" t="str">
        <f t="shared" si="125"/>
        <v>OK</v>
      </c>
      <c r="DV109" s="153" t="str">
        <f t="shared" si="146"/>
        <v>OK</v>
      </c>
      <c r="DW109" s="154" t="str">
        <f t="shared" si="147"/>
        <v>OK</v>
      </c>
      <c r="DX109" s="157">
        <f t="shared" si="148"/>
        <v>0</v>
      </c>
      <c r="DY109" s="156" t="str">
        <f t="shared" si="149"/>
        <v>OK</v>
      </c>
    </row>
    <row r="110" spans="1:129" ht="13" hidden="1" x14ac:dyDescent="0.3">
      <c r="A110" s="333"/>
      <c r="B110" s="333"/>
      <c r="C110" s="332" t="str">
        <f t="shared" si="126"/>
        <v>-</v>
      </c>
      <c r="D110" s="584">
        <f t="shared" si="77"/>
        <v>87</v>
      </c>
      <c r="E110" s="585"/>
      <c r="F110" s="586"/>
      <c r="G110" s="600"/>
      <c r="H110" s="587"/>
      <c r="I110" s="601"/>
      <c r="J110" s="585"/>
      <c r="K110" s="617"/>
      <c r="L110" s="602"/>
      <c r="M110" s="603"/>
      <c r="N110" s="588"/>
      <c r="O110" s="604"/>
      <c r="P110" s="605"/>
      <c r="Q110" s="588"/>
      <c r="R110" s="604"/>
      <c r="S110" s="605"/>
      <c r="T110" s="606"/>
      <c r="U110" s="606"/>
      <c r="V110" s="429" t="str">
        <f t="shared" si="80"/>
        <v/>
      </c>
      <c r="W110" s="430" t="str">
        <f t="shared" si="80"/>
        <v/>
      </c>
      <c r="X110" s="66" t="str">
        <f>IF(AND(ISNUMBER(P110),N110=FixedDim),MAX('Adjustment factors'!$S$16,0.2+0.8*P110),IF(ISTEXT(N110),VLOOKUP(N110,Afactors,2,TRUE),""))</f>
        <v/>
      </c>
      <c r="Y110" s="17" t="str">
        <f>IF(AND(ISNUMBER(S110),Q110=FixedDim),MAX('Adjustment factors'!$S$16,0.2+0.8*S110),IF(ISTEXT(Q110),VLOOKUP(Q110,Afactors,2,TRUE),""))</f>
        <v/>
      </c>
      <c r="Z110" s="297" t="str">
        <f>IF(ISBLANK(T110),"",VLOOKUP(T110,'Adjustment factors'!$R$27:$S$30,2,TRUE))</f>
        <v/>
      </c>
      <c r="AA110" s="297" t="str">
        <f>IF(ISBLANK(U110),"",VLOOKUP(U110,'Adjustment factors'!$R$27:$S$30,2,TRUE))</f>
        <v/>
      </c>
      <c r="AB110" s="480">
        <f t="shared" si="127"/>
        <v>1</v>
      </c>
      <c r="AC110" s="18" t="b">
        <f t="shared" si="81"/>
        <v>0</v>
      </c>
      <c r="AD110" s="18" t="b">
        <f t="shared" si="82"/>
        <v>0</v>
      </c>
      <c r="AE110" s="18" t="b">
        <f t="shared" si="128"/>
        <v>0</v>
      </c>
      <c r="AF110" s="17" t="str">
        <f t="shared" si="83"/>
        <v/>
      </c>
      <c r="AG110" s="18" t="str">
        <f t="shared" si="84"/>
        <v/>
      </c>
      <c r="AH110" s="17" t="str">
        <f t="shared" si="85"/>
        <v/>
      </c>
      <c r="AI110" s="297" t="e">
        <f t="shared" si="129"/>
        <v>#VALUE!</v>
      </c>
      <c r="AJ110" s="79" t="e">
        <f t="shared" si="86"/>
        <v>#VALUE!</v>
      </c>
      <c r="AK110" s="17" t="str">
        <f t="shared" si="150"/>
        <v/>
      </c>
      <c r="AL110" s="80" t="e">
        <f t="shared" si="87"/>
        <v>#VALUE!</v>
      </c>
      <c r="AM110" s="139" t="b">
        <f t="shared" si="88"/>
        <v>1</v>
      </c>
      <c r="AN110" s="139" t="b">
        <f>AND(COUNTA(E110)&gt;0,ISNUMBER(F110),OR(COUNT(G110:H110)=0,COUNT(G110:H110)=2,AND(ISNUMBER(G110),ISNUMBER(VALUE(LEFT(H110,SUM(LEN(H110)-LEN(SUBSTITUTE(H110,{"0","1","2","3","4","5","6","7","8","9","."},"")))))))),ISNUMBER(I110),ISTEXT(J110))</f>
        <v>0</v>
      </c>
      <c r="AO110" s="19" t="b">
        <f t="shared" si="89"/>
        <v>0</v>
      </c>
      <c r="AP110" s="19" t="b">
        <f t="shared" si="90"/>
        <v>1</v>
      </c>
      <c r="AQ110" s="19" t="b">
        <f>IF(AND(COUNTBLANK(E110:J110)=6,OR(AN111:AN$523)),NOT(AN110))</f>
        <v>0</v>
      </c>
      <c r="AR110" s="19" t="str">
        <f t="shared" si="91"/>
        <v/>
      </c>
      <c r="AS110" s="19" t="b">
        <f t="shared" si="92"/>
        <v>1</v>
      </c>
      <c r="AT110" s="19" t="str">
        <f t="shared" si="93"/>
        <v/>
      </c>
      <c r="AU110" s="19" t="b">
        <f t="shared" si="94"/>
        <v>1</v>
      </c>
      <c r="AV110" s="140" t="str">
        <f t="shared" si="130"/>
        <v/>
      </c>
      <c r="AW110" s="19" t="str">
        <f t="shared" si="95"/>
        <v/>
      </c>
      <c r="AX110" s="81">
        <f t="shared" si="96"/>
        <v>0</v>
      </c>
      <c r="AY110" s="81" t="str">
        <f t="shared" si="97"/>
        <v/>
      </c>
      <c r="AZ110" s="307" t="str">
        <f t="shared" si="131"/>
        <v/>
      </c>
      <c r="BA110" s="281" t="str">
        <f t="shared" si="132"/>
        <v/>
      </c>
      <c r="BB110" s="281" t="str">
        <f t="shared" si="133"/>
        <v/>
      </c>
      <c r="BC110" s="953"/>
      <c r="BD110" s="955"/>
      <c r="BE110" s="219" t="str">
        <f t="shared" si="98"/>
        <v>n/a</v>
      </c>
      <c r="BF110" s="215" t="b">
        <f t="shared" si="99"/>
        <v>0</v>
      </c>
      <c r="BG110" s="145" t="b">
        <f t="shared" si="100"/>
        <v>0</v>
      </c>
      <c r="BH110" s="145" t="b">
        <f t="shared" si="101"/>
        <v>0</v>
      </c>
      <c r="BI110" s="216" t="b">
        <f t="shared" si="102"/>
        <v>0</v>
      </c>
      <c r="BJ110" s="215" t="b">
        <f t="shared" si="103"/>
        <v>0</v>
      </c>
      <c r="BK110" s="145" t="b">
        <f t="shared" si="104"/>
        <v>0</v>
      </c>
      <c r="BL110" s="216" t="b">
        <f t="shared" si="105"/>
        <v>0</v>
      </c>
      <c r="BM110" s="217" t="str">
        <f t="shared" si="134"/>
        <v/>
      </c>
      <c r="BN110" s="146" t="str">
        <f t="shared" si="135"/>
        <v/>
      </c>
      <c r="BO110" s="147" t="str">
        <f t="shared" si="136"/>
        <v/>
      </c>
      <c r="BP110" s="148" t="str">
        <f t="shared" si="137"/>
        <v/>
      </c>
      <c r="BT110" s="50">
        <f t="shared" si="78"/>
        <v>87</v>
      </c>
      <c r="BU110" s="50" t="str">
        <f t="shared" si="106"/>
        <v>-</v>
      </c>
      <c r="BW110" s="340"/>
      <c r="BX110" s="333"/>
      <c r="BY110" s="333"/>
      <c r="BZ110" s="333"/>
      <c r="CA110" s="333"/>
      <c r="CB110" s="333"/>
      <c r="CC110" s="333"/>
      <c r="CD110" s="333"/>
      <c r="CE110" s="333"/>
      <c r="CF110" s="333"/>
      <c r="CG110" s="354">
        <f t="shared" si="107"/>
        <v>87</v>
      </c>
      <c r="CH110" s="613">
        <f t="shared" si="108"/>
        <v>0</v>
      </c>
      <c r="CI110" s="613">
        <f t="shared" si="109"/>
        <v>0</v>
      </c>
      <c r="CJ110" s="614" t="str">
        <f t="shared" si="110"/>
        <v/>
      </c>
      <c r="CK110" s="615" t="str">
        <f t="shared" si="111"/>
        <v/>
      </c>
      <c r="CL110" s="610" t="str">
        <f>IF(ISBLANK(H110),"",IF(AND(ISNUMBER(F110),ISNUMBER(G110),ISNUMBER(H110)),ROUND(F110/(H110*G110),2),ROUND(F110/(VALUE(LEFT(H110,SUM(LEN(H110)-LEN(SUBSTITUTE(H110,{"0","1","2","3","4","5","6","7","8","9","."},"")))))*G110),2)))</f>
        <v/>
      </c>
      <c r="CM110" s="616" t="str">
        <f t="shared" si="138"/>
        <v/>
      </c>
      <c r="CN110" s="616" t="str">
        <f>IF(ISNUMBER(P110),MAX('Adjustment factors'!$S$16,(0.2+0.8*P110)),IF(ISTEXT(N110),VLOOKUP(N110,Afactors,2,FALSE),""))</f>
        <v/>
      </c>
      <c r="CO110" s="616" t="str">
        <f>IF(ISNUMBER(S110),MAX('Adjustment factors'!$S$16,0.2+0.8*S110),IF(ISTEXT(Q110),VLOOKUP(Q110,Afactors,2,FALSE),""))</f>
        <v/>
      </c>
      <c r="CP110" s="611" t="str">
        <f t="shared" si="139"/>
        <v/>
      </c>
      <c r="CQ110" s="612" t="str">
        <f t="shared" si="140"/>
        <v/>
      </c>
      <c r="CR110" s="340"/>
      <c r="CS110" s="340"/>
      <c r="CT110" s="340"/>
      <c r="CU110" s="340"/>
      <c r="CV110" s="333"/>
      <c r="CW110" s="333"/>
      <c r="CX110" s="333"/>
      <c r="CY110" s="333"/>
      <c r="DA110" s="313" t="str">
        <f t="shared" si="112"/>
        <v>OK</v>
      </c>
      <c r="DB110" s="313" t="str">
        <f t="shared" si="113"/>
        <v>OK</v>
      </c>
      <c r="DC110" s="313" t="str">
        <f t="shared" si="114"/>
        <v>OK</v>
      </c>
      <c r="DD110" s="313" t="str">
        <f t="shared" si="115"/>
        <v>OK</v>
      </c>
      <c r="DE110" s="153" t="str">
        <f t="shared" si="116"/>
        <v>OK</v>
      </c>
      <c r="DF110" s="314" t="str">
        <f t="shared" si="117"/>
        <v>OK</v>
      </c>
      <c r="DG110" s="482" t="str">
        <f t="shared" si="141"/>
        <v>OK</v>
      </c>
      <c r="DH110" s="482" t="str">
        <f>IF(OR(AND(T110='Adjustment factors'!$R$28,'Class 3, 5-9'!U110='Adjustment factors'!$R$29),AND('Class 3, 5-9'!T110='Adjustment factors'!$R$29,'Class 3, 5-9'!U110='Adjustment factors'!$R$28)),"Invalid combination of adjustment factors",IF(AND(T110=U110,NOT(ISBLANK(T110)),NOT(ISBLANK(U110))),"Same colour factor selected twice","OK"))</f>
        <v>OK</v>
      </c>
      <c r="DI110" s="313" t="str">
        <f t="shared" si="118"/>
        <v>OK</v>
      </c>
      <c r="DJ110" s="153" t="str">
        <f t="shared" si="142"/>
        <v>OK</v>
      </c>
      <c r="DK110" s="153" t="str">
        <f t="shared" si="119"/>
        <v>OK</v>
      </c>
      <c r="DL110" s="313" t="str">
        <f t="shared" si="120"/>
        <v>OK</v>
      </c>
      <c r="DM110" s="153" t="str">
        <f t="shared" si="121"/>
        <v>OK</v>
      </c>
      <c r="DN110" s="153" t="str">
        <f t="shared" si="143"/>
        <v>OK</v>
      </c>
      <c r="DO110" s="154" t="str">
        <f t="shared" si="144"/>
        <v>OK</v>
      </c>
      <c r="DP110" s="153" t="str">
        <f t="shared" si="122"/>
        <v>OK</v>
      </c>
      <c r="DQ110" s="313" t="str">
        <f t="shared" si="123"/>
        <v>OK</v>
      </c>
      <c r="DR110" s="153" t="str">
        <f t="shared" si="145"/>
        <v>OK</v>
      </c>
      <c r="DS110" s="153" t="str">
        <f t="shared" si="124"/>
        <v>OK</v>
      </c>
      <c r="DT110" s="313" t="str">
        <f t="shared" si="151"/>
        <v>OK</v>
      </c>
      <c r="DU110" s="153" t="str">
        <f t="shared" si="125"/>
        <v>OK</v>
      </c>
      <c r="DV110" s="153" t="str">
        <f t="shared" si="146"/>
        <v>OK</v>
      </c>
      <c r="DW110" s="154" t="str">
        <f t="shared" si="147"/>
        <v>OK</v>
      </c>
      <c r="DX110" s="157">
        <f t="shared" si="148"/>
        <v>0</v>
      </c>
      <c r="DY110" s="156" t="str">
        <f t="shared" si="149"/>
        <v>OK</v>
      </c>
    </row>
    <row r="111" spans="1:129" ht="13" hidden="1" x14ac:dyDescent="0.3">
      <c r="A111" s="333"/>
      <c r="B111" s="333"/>
      <c r="C111" s="332" t="str">
        <f t="shared" si="126"/>
        <v>-</v>
      </c>
      <c r="D111" s="584">
        <f t="shared" si="77"/>
        <v>88</v>
      </c>
      <c r="E111" s="585"/>
      <c r="F111" s="586"/>
      <c r="G111" s="600"/>
      <c r="H111" s="587"/>
      <c r="I111" s="601"/>
      <c r="J111" s="585"/>
      <c r="K111" s="617"/>
      <c r="L111" s="602"/>
      <c r="M111" s="603"/>
      <c r="N111" s="588"/>
      <c r="O111" s="604"/>
      <c r="P111" s="605"/>
      <c r="Q111" s="588"/>
      <c r="R111" s="604"/>
      <c r="S111" s="605"/>
      <c r="T111" s="606"/>
      <c r="U111" s="606"/>
      <c r="V111" s="429" t="str">
        <f t="shared" si="80"/>
        <v/>
      </c>
      <c r="W111" s="430" t="str">
        <f t="shared" si="80"/>
        <v/>
      </c>
      <c r="X111" s="66" t="str">
        <f>IF(AND(ISNUMBER(P111),N111=FixedDim),MAX('Adjustment factors'!$S$16,0.2+0.8*P111),IF(ISTEXT(N111),VLOOKUP(N111,Afactors,2,TRUE),""))</f>
        <v/>
      </c>
      <c r="Y111" s="17" t="str">
        <f>IF(AND(ISNUMBER(S111),Q111=FixedDim),MAX('Adjustment factors'!$S$16,0.2+0.8*S111),IF(ISTEXT(Q111),VLOOKUP(Q111,Afactors,2,TRUE),""))</f>
        <v/>
      </c>
      <c r="Z111" s="297" t="str">
        <f>IF(ISBLANK(T111),"",VLOOKUP(T111,'Adjustment factors'!$R$27:$S$30,2,TRUE))</f>
        <v/>
      </c>
      <c r="AA111" s="297" t="str">
        <f>IF(ISBLANK(U111),"",VLOOKUP(U111,'Adjustment factors'!$R$27:$S$30,2,TRUE))</f>
        <v/>
      </c>
      <c r="AB111" s="480">
        <f t="shared" si="127"/>
        <v>1</v>
      </c>
      <c r="AC111" s="18" t="b">
        <f t="shared" si="81"/>
        <v>0</v>
      </c>
      <c r="AD111" s="18" t="b">
        <f t="shared" si="82"/>
        <v>0</v>
      </c>
      <c r="AE111" s="18" t="b">
        <f t="shared" si="128"/>
        <v>0</v>
      </c>
      <c r="AF111" s="17" t="str">
        <f t="shared" si="83"/>
        <v/>
      </c>
      <c r="AG111" s="18" t="str">
        <f t="shared" si="84"/>
        <v/>
      </c>
      <c r="AH111" s="17" t="str">
        <f t="shared" si="85"/>
        <v/>
      </c>
      <c r="AI111" s="297" t="e">
        <f t="shared" si="129"/>
        <v>#VALUE!</v>
      </c>
      <c r="AJ111" s="79" t="e">
        <f t="shared" si="86"/>
        <v>#VALUE!</v>
      </c>
      <c r="AK111" s="17" t="str">
        <f t="shared" si="150"/>
        <v/>
      </c>
      <c r="AL111" s="80" t="e">
        <f t="shared" si="87"/>
        <v>#VALUE!</v>
      </c>
      <c r="AM111" s="139" t="b">
        <f t="shared" si="88"/>
        <v>1</v>
      </c>
      <c r="AN111" s="139" t="b">
        <f>AND(COUNTA(E111)&gt;0,ISNUMBER(F111),OR(COUNT(G111:H111)=0,COUNT(G111:H111)=2,AND(ISNUMBER(G111),ISNUMBER(VALUE(LEFT(H111,SUM(LEN(H111)-LEN(SUBSTITUTE(H111,{"0","1","2","3","4","5","6","7","8","9","."},"")))))))),ISNUMBER(I111),ISTEXT(J111))</f>
        <v>0</v>
      </c>
      <c r="AO111" s="19" t="b">
        <f t="shared" si="89"/>
        <v>0</v>
      </c>
      <c r="AP111" s="19" t="b">
        <f t="shared" si="90"/>
        <v>1</v>
      </c>
      <c r="AQ111" s="19" t="b">
        <f>IF(AND(COUNTBLANK(E111:J111)=6,OR(AN112:AN$523)),NOT(AN111))</f>
        <v>0</v>
      </c>
      <c r="AR111" s="19" t="str">
        <f t="shared" si="91"/>
        <v/>
      </c>
      <c r="AS111" s="19" t="b">
        <f t="shared" si="92"/>
        <v>1</v>
      </c>
      <c r="AT111" s="19" t="str">
        <f t="shared" si="93"/>
        <v/>
      </c>
      <c r="AU111" s="19" t="b">
        <f t="shared" si="94"/>
        <v>1</v>
      </c>
      <c r="AV111" s="140" t="str">
        <f t="shared" si="130"/>
        <v/>
      </c>
      <c r="AW111" s="19" t="str">
        <f t="shared" si="95"/>
        <v/>
      </c>
      <c r="AX111" s="81">
        <f t="shared" si="96"/>
        <v>0</v>
      </c>
      <c r="AY111" s="81" t="str">
        <f t="shared" si="97"/>
        <v/>
      </c>
      <c r="AZ111" s="307" t="str">
        <f t="shared" si="131"/>
        <v/>
      </c>
      <c r="BA111" s="281" t="str">
        <f t="shared" si="132"/>
        <v/>
      </c>
      <c r="BB111" s="281" t="str">
        <f t="shared" si="133"/>
        <v/>
      </c>
      <c r="BC111" s="953"/>
      <c r="BD111" s="955"/>
      <c r="BE111" s="219" t="str">
        <f t="shared" si="98"/>
        <v>n/a</v>
      </c>
      <c r="BF111" s="215" t="b">
        <f t="shared" si="99"/>
        <v>0</v>
      </c>
      <c r="BG111" s="145" t="b">
        <f t="shared" si="100"/>
        <v>0</v>
      </c>
      <c r="BH111" s="145" t="b">
        <f t="shared" si="101"/>
        <v>0</v>
      </c>
      <c r="BI111" s="216" t="b">
        <f t="shared" si="102"/>
        <v>0</v>
      </c>
      <c r="BJ111" s="215" t="b">
        <f t="shared" si="103"/>
        <v>0</v>
      </c>
      <c r="BK111" s="145" t="b">
        <f t="shared" si="104"/>
        <v>0</v>
      </c>
      <c r="BL111" s="216" t="b">
        <f t="shared" si="105"/>
        <v>0</v>
      </c>
      <c r="BM111" s="217" t="str">
        <f t="shared" si="134"/>
        <v/>
      </c>
      <c r="BN111" s="146" t="str">
        <f t="shared" si="135"/>
        <v/>
      </c>
      <c r="BO111" s="147" t="str">
        <f t="shared" si="136"/>
        <v/>
      </c>
      <c r="BP111" s="148" t="str">
        <f t="shared" si="137"/>
        <v/>
      </c>
      <c r="BT111" s="50">
        <f t="shared" si="78"/>
        <v>88</v>
      </c>
      <c r="BU111" s="50" t="str">
        <f t="shared" si="106"/>
        <v>-</v>
      </c>
      <c r="BW111" s="340"/>
      <c r="BX111" s="333"/>
      <c r="BY111" s="333"/>
      <c r="BZ111" s="333"/>
      <c r="CA111" s="333"/>
      <c r="CB111" s="333"/>
      <c r="CC111" s="333"/>
      <c r="CD111" s="333"/>
      <c r="CE111" s="333"/>
      <c r="CF111" s="333"/>
      <c r="CG111" s="354">
        <f t="shared" si="107"/>
        <v>88</v>
      </c>
      <c r="CH111" s="613">
        <f t="shared" si="108"/>
        <v>0</v>
      </c>
      <c r="CI111" s="613">
        <f t="shared" si="109"/>
        <v>0</v>
      </c>
      <c r="CJ111" s="614" t="str">
        <f t="shared" si="110"/>
        <v/>
      </c>
      <c r="CK111" s="615" t="str">
        <f t="shared" si="111"/>
        <v/>
      </c>
      <c r="CL111" s="610" t="str">
        <f>IF(ISBLANK(H111),"",IF(AND(ISNUMBER(F111),ISNUMBER(G111),ISNUMBER(H111)),ROUND(F111/(H111*G111),2),ROUND(F111/(VALUE(LEFT(H111,SUM(LEN(H111)-LEN(SUBSTITUTE(H111,{"0","1","2","3","4","5","6","7","8","9","."},"")))))*G111),2)))</f>
        <v/>
      </c>
      <c r="CM111" s="616" t="str">
        <f t="shared" si="138"/>
        <v/>
      </c>
      <c r="CN111" s="616" t="str">
        <f>IF(ISNUMBER(P111),MAX('Adjustment factors'!$S$16,(0.2+0.8*P111)),IF(ISTEXT(N111),VLOOKUP(N111,Afactors,2,FALSE),""))</f>
        <v/>
      </c>
      <c r="CO111" s="616" t="str">
        <f>IF(ISNUMBER(S111),MAX('Adjustment factors'!$S$16,0.2+0.8*S111),IF(ISTEXT(Q111),VLOOKUP(Q111,Afactors,2,FALSE),""))</f>
        <v/>
      </c>
      <c r="CP111" s="611" t="str">
        <f t="shared" si="139"/>
        <v/>
      </c>
      <c r="CQ111" s="612" t="str">
        <f t="shared" si="140"/>
        <v/>
      </c>
      <c r="CR111" s="340"/>
      <c r="CS111" s="340"/>
      <c r="CT111" s="340"/>
      <c r="CU111" s="340"/>
      <c r="CV111" s="333"/>
      <c r="CW111" s="333"/>
      <c r="CX111" s="333"/>
      <c r="CY111" s="333"/>
      <c r="DA111" s="313" t="str">
        <f t="shared" si="112"/>
        <v>OK</v>
      </c>
      <c r="DB111" s="313" t="str">
        <f t="shared" si="113"/>
        <v>OK</v>
      </c>
      <c r="DC111" s="313" t="str">
        <f t="shared" si="114"/>
        <v>OK</v>
      </c>
      <c r="DD111" s="313" t="str">
        <f t="shared" si="115"/>
        <v>OK</v>
      </c>
      <c r="DE111" s="153" t="str">
        <f t="shared" si="116"/>
        <v>OK</v>
      </c>
      <c r="DF111" s="314" t="str">
        <f t="shared" si="117"/>
        <v>OK</v>
      </c>
      <c r="DG111" s="482" t="str">
        <f t="shared" si="141"/>
        <v>OK</v>
      </c>
      <c r="DH111" s="482" t="str">
        <f>IF(OR(AND(T111='Adjustment factors'!$R$28,'Class 3, 5-9'!U111='Adjustment factors'!$R$29),AND('Class 3, 5-9'!T111='Adjustment factors'!$R$29,'Class 3, 5-9'!U111='Adjustment factors'!$R$28)),"Invalid combination of adjustment factors",IF(AND(T111=U111,NOT(ISBLANK(T111)),NOT(ISBLANK(U111))),"Same colour factor selected twice","OK"))</f>
        <v>OK</v>
      </c>
      <c r="DI111" s="313" t="str">
        <f t="shared" si="118"/>
        <v>OK</v>
      </c>
      <c r="DJ111" s="153" t="str">
        <f t="shared" si="142"/>
        <v>OK</v>
      </c>
      <c r="DK111" s="153" t="str">
        <f t="shared" si="119"/>
        <v>OK</v>
      </c>
      <c r="DL111" s="313" t="str">
        <f t="shared" si="120"/>
        <v>OK</v>
      </c>
      <c r="DM111" s="153" t="str">
        <f t="shared" si="121"/>
        <v>OK</v>
      </c>
      <c r="DN111" s="153" t="str">
        <f t="shared" si="143"/>
        <v>OK</v>
      </c>
      <c r="DO111" s="154" t="str">
        <f t="shared" si="144"/>
        <v>OK</v>
      </c>
      <c r="DP111" s="153" t="str">
        <f t="shared" si="122"/>
        <v>OK</v>
      </c>
      <c r="DQ111" s="313" t="str">
        <f t="shared" si="123"/>
        <v>OK</v>
      </c>
      <c r="DR111" s="153" t="str">
        <f t="shared" si="145"/>
        <v>OK</v>
      </c>
      <c r="DS111" s="153" t="str">
        <f t="shared" si="124"/>
        <v>OK</v>
      </c>
      <c r="DT111" s="313" t="str">
        <f t="shared" si="151"/>
        <v>OK</v>
      </c>
      <c r="DU111" s="153" t="str">
        <f t="shared" si="125"/>
        <v>OK</v>
      </c>
      <c r="DV111" s="153" t="str">
        <f t="shared" si="146"/>
        <v>OK</v>
      </c>
      <c r="DW111" s="154" t="str">
        <f t="shared" si="147"/>
        <v>OK</v>
      </c>
      <c r="DX111" s="157">
        <f t="shared" si="148"/>
        <v>0</v>
      </c>
      <c r="DY111" s="156" t="str">
        <f t="shared" si="149"/>
        <v>OK</v>
      </c>
    </row>
    <row r="112" spans="1:129" ht="13" hidden="1" x14ac:dyDescent="0.3">
      <c r="A112" s="333"/>
      <c r="B112" s="333"/>
      <c r="C112" s="332" t="str">
        <f t="shared" si="126"/>
        <v>-</v>
      </c>
      <c r="D112" s="584">
        <f t="shared" si="77"/>
        <v>89</v>
      </c>
      <c r="E112" s="585"/>
      <c r="F112" s="586"/>
      <c r="G112" s="600"/>
      <c r="H112" s="587"/>
      <c r="I112" s="601"/>
      <c r="J112" s="585"/>
      <c r="K112" s="617"/>
      <c r="L112" s="602"/>
      <c r="M112" s="603"/>
      <c r="N112" s="588"/>
      <c r="O112" s="604"/>
      <c r="P112" s="605"/>
      <c r="Q112" s="588"/>
      <c r="R112" s="604"/>
      <c r="S112" s="605"/>
      <c r="T112" s="606"/>
      <c r="U112" s="606"/>
      <c r="V112" s="429" t="str">
        <f t="shared" si="80"/>
        <v/>
      </c>
      <c r="W112" s="430" t="str">
        <f t="shared" si="80"/>
        <v/>
      </c>
      <c r="X112" s="66" t="str">
        <f>IF(AND(ISNUMBER(P112),N112=FixedDim),MAX('Adjustment factors'!$S$16,0.2+0.8*P112),IF(ISTEXT(N112),VLOOKUP(N112,Afactors,2,TRUE),""))</f>
        <v/>
      </c>
      <c r="Y112" s="17" t="str">
        <f>IF(AND(ISNUMBER(S112),Q112=FixedDim),MAX('Adjustment factors'!$S$16,0.2+0.8*S112),IF(ISTEXT(Q112),VLOOKUP(Q112,Afactors,2,TRUE),""))</f>
        <v/>
      </c>
      <c r="Z112" s="297" t="str">
        <f>IF(ISBLANK(T112),"",VLOOKUP(T112,'Adjustment factors'!$R$27:$S$30,2,TRUE))</f>
        <v/>
      </c>
      <c r="AA112" s="297" t="str">
        <f>IF(ISBLANK(U112),"",VLOOKUP(U112,'Adjustment factors'!$R$27:$S$30,2,TRUE))</f>
        <v/>
      </c>
      <c r="AB112" s="480">
        <f t="shared" si="127"/>
        <v>1</v>
      </c>
      <c r="AC112" s="18" t="b">
        <f t="shared" si="81"/>
        <v>0</v>
      </c>
      <c r="AD112" s="18" t="b">
        <f t="shared" si="82"/>
        <v>0</v>
      </c>
      <c r="AE112" s="18" t="b">
        <f t="shared" si="128"/>
        <v>0</v>
      </c>
      <c r="AF112" s="17" t="str">
        <f t="shared" si="83"/>
        <v/>
      </c>
      <c r="AG112" s="18" t="str">
        <f t="shared" si="84"/>
        <v/>
      </c>
      <c r="AH112" s="17" t="str">
        <f t="shared" si="85"/>
        <v/>
      </c>
      <c r="AI112" s="297" t="e">
        <f t="shared" si="129"/>
        <v>#VALUE!</v>
      </c>
      <c r="AJ112" s="79" t="e">
        <f t="shared" si="86"/>
        <v>#VALUE!</v>
      </c>
      <c r="AK112" s="17" t="str">
        <f t="shared" si="150"/>
        <v/>
      </c>
      <c r="AL112" s="80" t="e">
        <f t="shared" si="87"/>
        <v>#VALUE!</v>
      </c>
      <c r="AM112" s="139" t="b">
        <f t="shared" si="88"/>
        <v>1</v>
      </c>
      <c r="AN112" s="139" t="b">
        <f>AND(COUNTA(E112)&gt;0,ISNUMBER(F112),OR(COUNT(G112:H112)=0,COUNT(G112:H112)=2,AND(ISNUMBER(G112),ISNUMBER(VALUE(LEFT(H112,SUM(LEN(H112)-LEN(SUBSTITUTE(H112,{"0","1","2","3","4","5","6","7","8","9","."},"")))))))),ISNUMBER(I112),ISTEXT(J112))</f>
        <v>0</v>
      </c>
      <c r="AO112" s="19" t="b">
        <f t="shared" si="89"/>
        <v>0</v>
      </c>
      <c r="AP112" s="19" t="b">
        <f t="shared" si="90"/>
        <v>1</v>
      </c>
      <c r="AQ112" s="19" t="b">
        <f>IF(AND(COUNTBLANK(E112:J112)=6,OR(AN113:AN$523)),NOT(AN112))</f>
        <v>0</v>
      </c>
      <c r="AR112" s="19" t="str">
        <f t="shared" si="91"/>
        <v/>
      </c>
      <c r="AS112" s="19" t="b">
        <f t="shared" si="92"/>
        <v>1</v>
      </c>
      <c r="AT112" s="19" t="str">
        <f t="shared" si="93"/>
        <v/>
      </c>
      <c r="AU112" s="19" t="b">
        <f t="shared" si="94"/>
        <v>1</v>
      </c>
      <c r="AV112" s="140" t="str">
        <f t="shared" si="130"/>
        <v/>
      </c>
      <c r="AW112" s="19" t="str">
        <f t="shared" si="95"/>
        <v/>
      </c>
      <c r="AX112" s="81">
        <f t="shared" si="96"/>
        <v>0</v>
      </c>
      <c r="AY112" s="81" t="str">
        <f t="shared" si="97"/>
        <v/>
      </c>
      <c r="AZ112" s="307" t="str">
        <f t="shared" si="131"/>
        <v/>
      </c>
      <c r="BA112" s="281" t="str">
        <f t="shared" si="132"/>
        <v/>
      </c>
      <c r="BB112" s="281" t="str">
        <f t="shared" si="133"/>
        <v/>
      </c>
      <c r="BC112" s="953"/>
      <c r="BD112" s="955"/>
      <c r="BE112" s="219" t="str">
        <f t="shared" si="98"/>
        <v>n/a</v>
      </c>
      <c r="BF112" s="215" t="b">
        <f t="shared" si="99"/>
        <v>0</v>
      </c>
      <c r="BG112" s="145" t="b">
        <f t="shared" si="100"/>
        <v>0</v>
      </c>
      <c r="BH112" s="145" t="b">
        <f t="shared" si="101"/>
        <v>0</v>
      </c>
      <c r="BI112" s="216" t="b">
        <f t="shared" si="102"/>
        <v>0</v>
      </c>
      <c r="BJ112" s="215" t="b">
        <f t="shared" si="103"/>
        <v>0</v>
      </c>
      <c r="BK112" s="145" t="b">
        <f t="shared" si="104"/>
        <v>0</v>
      </c>
      <c r="BL112" s="216" t="b">
        <f t="shared" si="105"/>
        <v>0</v>
      </c>
      <c r="BM112" s="217" t="str">
        <f t="shared" si="134"/>
        <v/>
      </c>
      <c r="BN112" s="146" t="str">
        <f t="shared" si="135"/>
        <v/>
      </c>
      <c r="BO112" s="147" t="str">
        <f t="shared" si="136"/>
        <v/>
      </c>
      <c r="BP112" s="148" t="str">
        <f t="shared" si="137"/>
        <v/>
      </c>
      <c r="BT112" s="50">
        <f t="shared" si="78"/>
        <v>89</v>
      </c>
      <c r="BU112" s="50" t="str">
        <f t="shared" si="106"/>
        <v>-</v>
      </c>
      <c r="BW112" s="340"/>
      <c r="BX112" s="333"/>
      <c r="BY112" s="333"/>
      <c r="BZ112" s="333"/>
      <c r="CA112" s="333"/>
      <c r="CB112" s="333"/>
      <c r="CC112" s="333"/>
      <c r="CD112" s="333"/>
      <c r="CE112" s="333"/>
      <c r="CF112" s="333"/>
      <c r="CG112" s="354">
        <f t="shared" si="107"/>
        <v>89</v>
      </c>
      <c r="CH112" s="613">
        <f t="shared" si="108"/>
        <v>0</v>
      </c>
      <c r="CI112" s="613">
        <f t="shared" si="109"/>
        <v>0</v>
      </c>
      <c r="CJ112" s="614" t="str">
        <f t="shared" si="110"/>
        <v/>
      </c>
      <c r="CK112" s="615" t="str">
        <f t="shared" si="111"/>
        <v/>
      </c>
      <c r="CL112" s="610" t="str">
        <f>IF(ISBLANK(H112),"",IF(AND(ISNUMBER(F112),ISNUMBER(G112),ISNUMBER(H112)),ROUND(F112/(H112*G112),2),ROUND(F112/(VALUE(LEFT(H112,SUM(LEN(H112)-LEN(SUBSTITUTE(H112,{"0","1","2","3","4","5","6","7","8","9","."},"")))))*G112),2)))</f>
        <v/>
      </c>
      <c r="CM112" s="616" t="str">
        <f t="shared" si="138"/>
        <v/>
      </c>
      <c r="CN112" s="616" t="str">
        <f>IF(ISNUMBER(P112),MAX('Adjustment factors'!$S$16,(0.2+0.8*P112)),IF(ISTEXT(N112),VLOOKUP(N112,Afactors,2,FALSE),""))</f>
        <v/>
      </c>
      <c r="CO112" s="616" t="str">
        <f>IF(ISNUMBER(S112),MAX('Adjustment factors'!$S$16,0.2+0.8*S112),IF(ISTEXT(Q112),VLOOKUP(Q112,Afactors,2,FALSE),""))</f>
        <v/>
      </c>
      <c r="CP112" s="611" t="str">
        <f t="shared" si="139"/>
        <v/>
      </c>
      <c r="CQ112" s="612" t="str">
        <f t="shared" si="140"/>
        <v/>
      </c>
      <c r="CR112" s="340"/>
      <c r="CS112" s="340"/>
      <c r="CT112" s="340"/>
      <c r="CU112" s="340"/>
      <c r="CV112" s="333"/>
      <c r="CW112" s="333"/>
      <c r="CX112" s="333"/>
      <c r="CY112" s="333"/>
      <c r="DA112" s="313" t="str">
        <f t="shared" si="112"/>
        <v>OK</v>
      </c>
      <c r="DB112" s="313" t="str">
        <f t="shared" si="113"/>
        <v>OK</v>
      </c>
      <c r="DC112" s="313" t="str">
        <f t="shared" si="114"/>
        <v>OK</v>
      </c>
      <c r="DD112" s="313" t="str">
        <f t="shared" si="115"/>
        <v>OK</v>
      </c>
      <c r="DE112" s="153" t="str">
        <f t="shared" si="116"/>
        <v>OK</v>
      </c>
      <c r="DF112" s="314" t="str">
        <f t="shared" si="117"/>
        <v>OK</v>
      </c>
      <c r="DG112" s="482" t="str">
        <f t="shared" si="141"/>
        <v>OK</v>
      </c>
      <c r="DH112" s="482" t="str">
        <f>IF(OR(AND(T112='Adjustment factors'!$R$28,'Class 3, 5-9'!U112='Adjustment factors'!$R$29),AND('Class 3, 5-9'!T112='Adjustment factors'!$R$29,'Class 3, 5-9'!U112='Adjustment factors'!$R$28)),"Invalid combination of adjustment factors",IF(AND(T112=U112,NOT(ISBLANK(T112)),NOT(ISBLANK(U112))),"Same colour factor selected twice","OK"))</f>
        <v>OK</v>
      </c>
      <c r="DI112" s="313" t="str">
        <f t="shared" si="118"/>
        <v>OK</v>
      </c>
      <c r="DJ112" s="153" t="str">
        <f t="shared" si="142"/>
        <v>OK</v>
      </c>
      <c r="DK112" s="153" t="str">
        <f t="shared" si="119"/>
        <v>OK</v>
      </c>
      <c r="DL112" s="313" t="str">
        <f t="shared" si="120"/>
        <v>OK</v>
      </c>
      <c r="DM112" s="153" t="str">
        <f t="shared" si="121"/>
        <v>OK</v>
      </c>
      <c r="DN112" s="153" t="str">
        <f t="shared" si="143"/>
        <v>OK</v>
      </c>
      <c r="DO112" s="154" t="str">
        <f t="shared" si="144"/>
        <v>OK</v>
      </c>
      <c r="DP112" s="153" t="str">
        <f t="shared" si="122"/>
        <v>OK</v>
      </c>
      <c r="DQ112" s="313" t="str">
        <f t="shared" si="123"/>
        <v>OK</v>
      </c>
      <c r="DR112" s="153" t="str">
        <f t="shared" si="145"/>
        <v>OK</v>
      </c>
      <c r="DS112" s="153" t="str">
        <f t="shared" si="124"/>
        <v>OK</v>
      </c>
      <c r="DT112" s="313" t="str">
        <f t="shared" si="151"/>
        <v>OK</v>
      </c>
      <c r="DU112" s="153" t="str">
        <f t="shared" si="125"/>
        <v>OK</v>
      </c>
      <c r="DV112" s="153" t="str">
        <f t="shared" si="146"/>
        <v>OK</v>
      </c>
      <c r="DW112" s="154" t="str">
        <f t="shared" si="147"/>
        <v>OK</v>
      </c>
      <c r="DX112" s="157">
        <f t="shared" si="148"/>
        <v>0</v>
      </c>
      <c r="DY112" s="156" t="str">
        <f t="shared" si="149"/>
        <v>OK</v>
      </c>
    </row>
    <row r="113" spans="1:129" ht="13" hidden="1" x14ac:dyDescent="0.3">
      <c r="A113" s="333"/>
      <c r="B113" s="333"/>
      <c r="C113" s="332" t="str">
        <f t="shared" si="126"/>
        <v>-</v>
      </c>
      <c r="D113" s="584">
        <f t="shared" si="77"/>
        <v>90</v>
      </c>
      <c r="E113" s="585"/>
      <c r="F113" s="586"/>
      <c r="G113" s="600"/>
      <c r="H113" s="587"/>
      <c r="I113" s="601"/>
      <c r="J113" s="585"/>
      <c r="K113" s="617"/>
      <c r="L113" s="602"/>
      <c r="M113" s="603"/>
      <c r="N113" s="588"/>
      <c r="O113" s="604"/>
      <c r="P113" s="605"/>
      <c r="Q113" s="588"/>
      <c r="R113" s="604"/>
      <c r="S113" s="605"/>
      <c r="T113" s="606"/>
      <c r="U113" s="606"/>
      <c r="V113" s="429" t="str">
        <f t="shared" si="80"/>
        <v/>
      </c>
      <c r="W113" s="430" t="str">
        <f t="shared" si="80"/>
        <v/>
      </c>
      <c r="X113" s="66" t="str">
        <f>IF(AND(ISNUMBER(P113),N113=FixedDim),MAX('Adjustment factors'!$S$16,0.2+0.8*P113),IF(ISTEXT(N113),VLOOKUP(N113,Afactors,2,TRUE),""))</f>
        <v/>
      </c>
      <c r="Y113" s="17" t="str">
        <f>IF(AND(ISNUMBER(S113),Q113=FixedDim),MAX('Adjustment factors'!$S$16,0.2+0.8*S113),IF(ISTEXT(Q113),VLOOKUP(Q113,Afactors,2,TRUE),""))</f>
        <v/>
      </c>
      <c r="Z113" s="297" t="str">
        <f>IF(ISBLANK(T113),"",VLOOKUP(T113,'Adjustment factors'!$R$27:$S$30,2,TRUE))</f>
        <v/>
      </c>
      <c r="AA113" s="297" t="str">
        <f>IF(ISBLANK(U113),"",VLOOKUP(U113,'Adjustment factors'!$R$27:$S$30,2,TRUE))</f>
        <v/>
      </c>
      <c r="AB113" s="480">
        <f t="shared" si="127"/>
        <v>1</v>
      </c>
      <c r="AC113" s="18" t="b">
        <f t="shared" si="81"/>
        <v>0</v>
      </c>
      <c r="AD113" s="18" t="b">
        <f t="shared" si="82"/>
        <v>0</v>
      </c>
      <c r="AE113" s="18" t="b">
        <f t="shared" si="128"/>
        <v>0</v>
      </c>
      <c r="AF113" s="17" t="str">
        <f t="shared" si="83"/>
        <v/>
      </c>
      <c r="AG113" s="18" t="str">
        <f t="shared" si="84"/>
        <v/>
      </c>
      <c r="AH113" s="17" t="str">
        <f t="shared" si="85"/>
        <v/>
      </c>
      <c r="AI113" s="297" t="e">
        <f t="shared" si="129"/>
        <v>#VALUE!</v>
      </c>
      <c r="AJ113" s="79" t="e">
        <f t="shared" si="86"/>
        <v>#VALUE!</v>
      </c>
      <c r="AK113" s="17" t="str">
        <f t="shared" si="150"/>
        <v/>
      </c>
      <c r="AL113" s="80" t="e">
        <f t="shared" si="87"/>
        <v>#VALUE!</v>
      </c>
      <c r="AM113" s="139" t="b">
        <f t="shared" si="88"/>
        <v>1</v>
      </c>
      <c r="AN113" s="139" t="b">
        <f>AND(COUNTA(E113)&gt;0,ISNUMBER(F113),OR(COUNT(G113:H113)=0,COUNT(G113:H113)=2,AND(ISNUMBER(G113),ISNUMBER(VALUE(LEFT(H113,SUM(LEN(H113)-LEN(SUBSTITUTE(H113,{"0","1","2","3","4","5","6","7","8","9","."},"")))))))),ISNUMBER(I113),ISTEXT(J113))</f>
        <v>0</v>
      </c>
      <c r="AO113" s="19" t="b">
        <f t="shared" si="89"/>
        <v>0</v>
      </c>
      <c r="AP113" s="19" t="b">
        <f t="shared" si="90"/>
        <v>1</v>
      </c>
      <c r="AQ113" s="19" t="b">
        <f>IF(AND(COUNTBLANK(E113:J113)=6,OR(AN114:AN$523)),NOT(AN113))</f>
        <v>0</v>
      </c>
      <c r="AR113" s="19" t="str">
        <f t="shared" si="91"/>
        <v/>
      </c>
      <c r="AS113" s="19" t="b">
        <f t="shared" si="92"/>
        <v>1</v>
      </c>
      <c r="AT113" s="19" t="str">
        <f t="shared" si="93"/>
        <v/>
      </c>
      <c r="AU113" s="19" t="b">
        <f t="shared" si="94"/>
        <v>1</v>
      </c>
      <c r="AV113" s="140" t="str">
        <f t="shared" si="130"/>
        <v/>
      </c>
      <c r="AW113" s="19" t="str">
        <f t="shared" si="95"/>
        <v/>
      </c>
      <c r="AX113" s="81">
        <f t="shared" si="96"/>
        <v>0</v>
      </c>
      <c r="AY113" s="81" t="str">
        <f t="shared" si="97"/>
        <v/>
      </c>
      <c r="AZ113" s="307" t="str">
        <f t="shared" si="131"/>
        <v/>
      </c>
      <c r="BA113" s="281" t="str">
        <f t="shared" si="132"/>
        <v/>
      </c>
      <c r="BB113" s="281" t="str">
        <f t="shared" si="133"/>
        <v/>
      </c>
      <c r="BC113" s="953"/>
      <c r="BD113" s="955"/>
      <c r="BE113" s="219" t="str">
        <f t="shared" si="98"/>
        <v>n/a</v>
      </c>
      <c r="BF113" s="215" t="b">
        <f t="shared" si="99"/>
        <v>0</v>
      </c>
      <c r="BG113" s="145" t="b">
        <f t="shared" si="100"/>
        <v>0</v>
      </c>
      <c r="BH113" s="145" t="b">
        <f t="shared" si="101"/>
        <v>0</v>
      </c>
      <c r="BI113" s="216" t="b">
        <f t="shared" si="102"/>
        <v>0</v>
      </c>
      <c r="BJ113" s="215" t="b">
        <f t="shared" si="103"/>
        <v>0</v>
      </c>
      <c r="BK113" s="145" t="b">
        <f t="shared" si="104"/>
        <v>0</v>
      </c>
      <c r="BL113" s="216" t="b">
        <f t="shared" si="105"/>
        <v>0</v>
      </c>
      <c r="BM113" s="217" t="str">
        <f t="shared" si="134"/>
        <v/>
      </c>
      <c r="BN113" s="146" t="str">
        <f t="shared" si="135"/>
        <v/>
      </c>
      <c r="BO113" s="147" t="str">
        <f t="shared" si="136"/>
        <v/>
      </c>
      <c r="BP113" s="148" t="str">
        <f t="shared" si="137"/>
        <v/>
      </c>
      <c r="BT113" s="50">
        <f t="shared" si="78"/>
        <v>90</v>
      </c>
      <c r="BU113" s="50" t="str">
        <f t="shared" si="106"/>
        <v>-</v>
      </c>
      <c r="BW113" s="340"/>
      <c r="BX113" s="333"/>
      <c r="BY113" s="333"/>
      <c r="BZ113" s="333"/>
      <c r="CA113" s="333"/>
      <c r="CB113" s="333"/>
      <c r="CC113" s="333"/>
      <c r="CD113" s="333"/>
      <c r="CE113" s="333"/>
      <c r="CF113" s="333"/>
      <c r="CG113" s="354">
        <f t="shared" si="107"/>
        <v>90</v>
      </c>
      <c r="CH113" s="613">
        <f t="shared" si="108"/>
        <v>0</v>
      </c>
      <c r="CI113" s="613">
        <f t="shared" si="109"/>
        <v>0</v>
      </c>
      <c r="CJ113" s="614" t="str">
        <f t="shared" si="110"/>
        <v/>
      </c>
      <c r="CK113" s="615" t="str">
        <f t="shared" si="111"/>
        <v/>
      </c>
      <c r="CL113" s="610" t="str">
        <f>IF(ISBLANK(H113),"",IF(AND(ISNUMBER(F113),ISNUMBER(G113),ISNUMBER(H113)),ROUND(F113/(H113*G113),2),ROUND(F113/(VALUE(LEFT(H113,SUM(LEN(H113)-LEN(SUBSTITUTE(H113,{"0","1","2","3","4","5","6","7","8","9","."},"")))))*G113),2)))</f>
        <v/>
      </c>
      <c r="CM113" s="616" t="str">
        <f t="shared" si="138"/>
        <v/>
      </c>
      <c r="CN113" s="616" t="str">
        <f>IF(ISNUMBER(P113),MAX('Adjustment factors'!$S$16,(0.2+0.8*P113)),IF(ISTEXT(N113),VLOOKUP(N113,Afactors,2,FALSE),""))</f>
        <v/>
      </c>
      <c r="CO113" s="616" t="str">
        <f>IF(ISNUMBER(S113),MAX('Adjustment factors'!$S$16,0.2+0.8*S113),IF(ISTEXT(Q113),VLOOKUP(Q113,Afactors,2,FALSE),""))</f>
        <v/>
      </c>
      <c r="CP113" s="611" t="str">
        <f t="shared" si="139"/>
        <v/>
      </c>
      <c r="CQ113" s="612" t="str">
        <f t="shared" si="140"/>
        <v/>
      </c>
      <c r="CR113" s="340"/>
      <c r="CS113" s="340"/>
      <c r="CT113" s="340"/>
      <c r="CU113" s="340"/>
      <c r="CV113" s="333"/>
      <c r="CW113" s="333"/>
      <c r="CX113" s="333"/>
      <c r="CY113" s="333"/>
      <c r="DA113" s="313" t="str">
        <f t="shared" si="112"/>
        <v>OK</v>
      </c>
      <c r="DB113" s="313" t="str">
        <f t="shared" si="113"/>
        <v>OK</v>
      </c>
      <c r="DC113" s="313" t="str">
        <f t="shared" si="114"/>
        <v>OK</v>
      </c>
      <c r="DD113" s="313" t="str">
        <f t="shared" si="115"/>
        <v>OK</v>
      </c>
      <c r="DE113" s="153" t="str">
        <f t="shared" si="116"/>
        <v>OK</v>
      </c>
      <c r="DF113" s="314" t="str">
        <f t="shared" si="117"/>
        <v>OK</v>
      </c>
      <c r="DG113" s="482" t="str">
        <f t="shared" si="141"/>
        <v>OK</v>
      </c>
      <c r="DH113" s="482" t="str">
        <f>IF(OR(AND(T113='Adjustment factors'!$R$28,'Class 3, 5-9'!U113='Adjustment factors'!$R$29),AND('Class 3, 5-9'!T113='Adjustment factors'!$R$29,'Class 3, 5-9'!U113='Adjustment factors'!$R$28)),"Invalid combination of adjustment factors",IF(AND(T113=U113,NOT(ISBLANK(T113)),NOT(ISBLANK(U113))),"Same colour factor selected twice","OK"))</f>
        <v>OK</v>
      </c>
      <c r="DI113" s="313" t="str">
        <f t="shared" si="118"/>
        <v>OK</v>
      </c>
      <c r="DJ113" s="153" t="str">
        <f t="shared" si="142"/>
        <v>OK</v>
      </c>
      <c r="DK113" s="153" t="str">
        <f t="shared" si="119"/>
        <v>OK</v>
      </c>
      <c r="DL113" s="313" t="str">
        <f t="shared" si="120"/>
        <v>OK</v>
      </c>
      <c r="DM113" s="153" t="str">
        <f t="shared" si="121"/>
        <v>OK</v>
      </c>
      <c r="DN113" s="153" t="str">
        <f t="shared" si="143"/>
        <v>OK</v>
      </c>
      <c r="DO113" s="154" t="str">
        <f t="shared" si="144"/>
        <v>OK</v>
      </c>
      <c r="DP113" s="153" t="str">
        <f t="shared" si="122"/>
        <v>OK</v>
      </c>
      <c r="DQ113" s="313" t="str">
        <f t="shared" si="123"/>
        <v>OK</v>
      </c>
      <c r="DR113" s="153" t="str">
        <f t="shared" si="145"/>
        <v>OK</v>
      </c>
      <c r="DS113" s="153" t="str">
        <f t="shared" si="124"/>
        <v>OK</v>
      </c>
      <c r="DT113" s="313" t="str">
        <f t="shared" si="151"/>
        <v>OK</v>
      </c>
      <c r="DU113" s="153" t="str">
        <f t="shared" si="125"/>
        <v>OK</v>
      </c>
      <c r="DV113" s="153" t="str">
        <f t="shared" si="146"/>
        <v>OK</v>
      </c>
      <c r="DW113" s="154" t="str">
        <f t="shared" si="147"/>
        <v>OK</v>
      </c>
      <c r="DX113" s="157">
        <f t="shared" si="148"/>
        <v>0</v>
      </c>
      <c r="DY113" s="156" t="str">
        <f t="shared" si="149"/>
        <v>OK</v>
      </c>
    </row>
    <row r="114" spans="1:129" ht="13" hidden="1" x14ac:dyDescent="0.3">
      <c r="A114" s="333"/>
      <c r="B114" s="333"/>
      <c r="C114" s="332" t="str">
        <f t="shared" si="126"/>
        <v>-</v>
      </c>
      <c r="D114" s="584">
        <f t="shared" si="77"/>
        <v>91</v>
      </c>
      <c r="E114" s="585"/>
      <c r="F114" s="586"/>
      <c r="G114" s="600"/>
      <c r="H114" s="587"/>
      <c r="I114" s="601"/>
      <c r="J114" s="585"/>
      <c r="K114" s="617"/>
      <c r="L114" s="602"/>
      <c r="M114" s="603"/>
      <c r="N114" s="588"/>
      <c r="O114" s="604"/>
      <c r="P114" s="605"/>
      <c r="Q114" s="588"/>
      <c r="R114" s="604"/>
      <c r="S114" s="605"/>
      <c r="T114" s="606"/>
      <c r="U114" s="606"/>
      <c r="V114" s="429" t="str">
        <f t="shared" si="80"/>
        <v/>
      </c>
      <c r="W114" s="430" t="str">
        <f t="shared" si="80"/>
        <v/>
      </c>
      <c r="X114" s="66" t="str">
        <f>IF(AND(ISNUMBER(P114),N114=FixedDim),MAX('Adjustment factors'!$S$16,0.2+0.8*P114),IF(ISTEXT(N114),VLOOKUP(N114,Afactors,2,TRUE),""))</f>
        <v/>
      </c>
      <c r="Y114" s="17" t="str">
        <f>IF(AND(ISNUMBER(S114),Q114=FixedDim),MAX('Adjustment factors'!$S$16,0.2+0.8*S114),IF(ISTEXT(Q114),VLOOKUP(Q114,Afactors,2,TRUE),""))</f>
        <v/>
      </c>
      <c r="Z114" s="297" t="str">
        <f>IF(ISBLANK(T114),"",VLOOKUP(T114,'Adjustment factors'!$R$27:$S$30,2,TRUE))</f>
        <v/>
      </c>
      <c r="AA114" s="297" t="str">
        <f>IF(ISBLANK(U114),"",VLOOKUP(U114,'Adjustment factors'!$R$27:$S$30,2,TRUE))</f>
        <v/>
      </c>
      <c r="AB114" s="480">
        <f t="shared" si="127"/>
        <v>1</v>
      </c>
      <c r="AC114" s="18" t="b">
        <f t="shared" si="81"/>
        <v>0</v>
      </c>
      <c r="AD114" s="18" t="b">
        <f t="shared" si="82"/>
        <v>0</v>
      </c>
      <c r="AE114" s="18" t="b">
        <f t="shared" si="128"/>
        <v>0</v>
      </c>
      <c r="AF114" s="17" t="str">
        <f t="shared" si="83"/>
        <v/>
      </c>
      <c r="AG114" s="18" t="str">
        <f t="shared" si="84"/>
        <v/>
      </c>
      <c r="AH114" s="17" t="str">
        <f t="shared" si="85"/>
        <v/>
      </c>
      <c r="AI114" s="297" t="e">
        <f t="shared" si="129"/>
        <v>#VALUE!</v>
      </c>
      <c r="AJ114" s="79" t="e">
        <f t="shared" si="86"/>
        <v>#VALUE!</v>
      </c>
      <c r="AK114" s="17" t="str">
        <f t="shared" si="150"/>
        <v/>
      </c>
      <c r="AL114" s="80" t="e">
        <f t="shared" si="87"/>
        <v>#VALUE!</v>
      </c>
      <c r="AM114" s="139" t="b">
        <f t="shared" si="88"/>
        <v>1</v>
      </c>
      <c r="AN114" s="139" t="b">
        <f>AND(COUNTA(E114)&gt;0,ISNUMBER(F114),OR(COUNT(G114:H114)=0,COUNT(G114:H114)=2,AND(ISNUMBER(G114),ISNUMBER(VALUE(LEFT(H114,SUM(LEN(H114)-LEN(SUBSTITUTE(H114,{"0","1","2","3","4","5","6","7","8","9","."},"")))))))),ISNUMBER(I114),ISTEXT(J114))</f>
        <v>0</v>
      </c>
      <c r="AO114" s="19" t="b">
        <f t="shared" si="89"/>
        <v>0</v>
      </c>
      <c r="AP114" s="19" t="b">
        <f t="shared" si="90"/>
        <v>1</v>
      </c>
      <c r="AQ114" s="19" t="b">
        <f>IF(AND(COUNTBLANK(E114:J114)=6,OR(AN115:AN$523)),NOT(AN114))</f>
        <v>0</v>
      </c>
      <c r="AR114" s="19" t="str">
        <f t="shared" si="91"/>
        <v/>
      </c>
      <c r="AS114" s="19" t="b">
        <f t="shared" si="92"/>
        <v>1</v>
      </c>
      <c r="AT114" s="19" t="str">
        <f t="shared" si="93"/>
        <v/>
      </c>
      <c r="AU114" s="19" t="b">
        <f t="shared" si="94"/>
        <v>1</v>
      </c>
      <c r="AV114" s="140" t="str">
        <f t="shared" si="130"/>
        <v/>
      </c>
      <c r="AW114" s="19" t="str">
        <f t="shared" si="95"/>
        <v/>
      </c>
      <c r="AX114" s="81">
        <f t="shared" si="96"/>
        <v>0</v>
      </c>
      <c r="AY114" s="81" t="str">
        <f t="shared" si="97"/>
        <v/>
      </c>
      <c r="AZ114" s="307" t="str">
        <f t="shared" si="131"/>
        <v/>
      </c>
      <c r="BA114" s="281" t="str">
        <f t="shared" si="132"/>
        <v/>
      </c>
      <c r="BB114" s="281" t="str">
        <f t="shared" si="133"/>
        <v/>
      </c>
      <c r="BC114" s="953"/>
      <c r="BD114" s="955"/>
      <c r="BE114" s="219" t="str">
        <f t="shared" si="98"/>
        <v>n/a</v>
      </c>
      <c r="BF114" s="215" t="b">
        <f t="shared" si="99"/>
        <v>0</v>
      </c>
      <c r="BG114" s="145" t="b">
        <f t="shared" si="100"/>
        <v>0</v>
      </c>
      <c r="BH114" s="145" t="b">
        <f t="shared" si="101"/>
        <v>0</v>
      </c>
      <c r="BI114" s="216" t="b">
        <f t="shared" si="102"/>
        <v>0</v>
      </c>
      <c r="BJ114" s="215" t="b">
        <f t="shared" si="103"/>
        <v>0</v>
      </c>
      <c r="BK114" s="145" t="b">
        <f t="shared" si="104"/>
        <v>0</v>
      </c>
      <c r="BL114" s="216" t="b">
        <f t="shared" si="105"/>
        <v>0</v>
      </c>
      <c r="BM114" s="217" t="str">
        <f t="shared" si="134"/>
        <v/>
      </c>
      <c r="BN114" s="146" t="str">
        <f t="shared" si="135"/>
        <v/>
      </c>
      <c r="BO114" s="147" t="str">
        <f t="shared" si="136"/>
        <v/>
      </c>
      <c r="BP114" s="148" t="str">
        <f t="shared" si="137"/>
        <v/>
      </c>
      <c r="BT114" s="50">
        <f t="shared" si="78"/>
        <v>91</v>
      </c>
      <c r="BU114" s="50" t="str">
        <f t="shared" si="106"/>
        <v>-</v>
      </c>
      <c r="BW114" s="340"/>
      <c r="BX114" s="333"/>
      <c r="BY114" s="333"/>
      <c r="BZ114" s="333"/>
      <c r="CA114" s="333"/>
      <c r="CB114" s="333"/>
      <c r="CC114" s="333"/>
      <c r="CD114" s="333"/>
      <c r="CE114" s="333"/>
      <c r="CF114" s="333"/>
      <c r="CG114" s="354">
        <f t="shared" si="107"/>
        <v>91</v>
      </c>
      <c r="CH114" s="613">
        <f t="shared" si="108"/>
        <v>0</v>
      </c>
      <c r="CI114" s="613">
        <f t="shared" si="109"/>
        <v>0</v>
      </c>
      <c r="CJ114" s="614" t="str">
        <f t="shared" si="110"/>
        <v/>
      </c>
      <c r="CK114" s="615" t="str">
        <f t="shared" si="111"/>
        <v/>
      </c>
      <c r="CL114" s="610" t="str">
        <f>IF(ISBLANK(H114),"",IF(AND(ISNUMBER(F114),ISNUMBER(G114),ISNUMBER(H114)),ROUND(F114/(H114*G114),2),ROUND(F114/(VALUE(LEFT(H114,SUM(LEN(H114)-LEN(SUBSTITUTE(H114,{"0","1","2","3","4","5","6","7","8","9","."},"")))))*G114),2)))</f>
        <v/>
      </c>
      <c r="CM114" s="616" t="str">
        <f t="shared" si="138"/>
        <v/>
      </c>
      <c r="CN114" s="616" t="str">
        <f>IF(ISNUMBER(P114),MAX('Adjustment factors'!$S$16,(0.2+0.8*P114)),IF(ISTEXT(N114),VLOOKUP(N114,Afactors,2,FALSE),""))</f>
        <v/>
      </c>
      <c r="CO114" s="616" t="str">
        <f>IF(ISNUMBER(S114),MAX('Adjustment factors'!$S$16,0.2+0.8*S114),IF(ISTEXT(Q114),VLOOKUP(Q114,Afactors,2,FALSE),""))</f>
        <v/>
      </c>
      <c r="CP114" s="611" t="str">
        <f t="shared" si="139"/>
        <v/>
      </c>
      <c r="CQ114" s="612" t="str">
        <f t="shared" si="140"/>
        <v/>
      </c>
      <c r="CR114" s="340"/>
      <c r="CS114" s="340"/>
      <c r="CT114" s="340"/>
      <c r="CU114" s="340"/>
      <c r="CV114" s="333"/>
      <c r="CW114" s="333"/>
      <c r="CX114" s="333"/>
      <c r="CY114" s="333"/>
      <c r="DA114" s="313" t="str">
        <f t="shared" si="112"/>
        <v>OK</v>
      </c>
      <c r="DB114" s="313" t="str">
        <f t="shared" si="113"/>
        <v>OK</v>
      </c>
      <c r="DC114" s="313" t="str">
        <f t="shared" si="114"/>
        <v>OK</v>
      </c>
      <c r="DD114" s="313" t="str">
        <f t="shared" si="115"/>
        <v>OK</v>
      </c>
      <c r="DE114" s="153" t="str">
        <f t="shared" si="116"/>
        <v>OK</v>
      </c>
      <c r="DF114" s="314" t="str">
        <f t="shared" si="117"/>
        <v>OK</v>
      </c>
      <c r="DG114" s="482" t="str">
        <f t="shared" si="141"/>
        <v>OK</v>
      </c>
      <c r="DH114" s="482" t="str">
        <f>IF(OR(AND(T114='Adjustment factors'!$R$28,'Class 3, 5-9'!U114='Adjustment factors'!$R$29),AND('Class 3, 5-9'!T114='Adjustment factors'!$R$29,'Class 3, 5-9'!U114='Adjustment factors'!$R$28)),"Invalid combination of adjustment factors",IF(AND(T114=U114,NOT(ISBLANK(T114)),NOT(ISBLANK(U114))),"Same colour factor selected twice","OK"))</f>
        <v>OK</v>
      </c>
      <c r="DI114" s="313" t="str">
        <f t="shared" si="118"/>
        <v>OK</v>
      </c>
      <c r="DJ114" s="153" t="str">
        <f t="shared" si="142"/>
        <v>OK</v>
      </c>
      <c r="DK114" s="153" t="str">
        <f t="shared" si="119"/>
        <v>OK</v>
      </c>
      <c r="DL114" s="313" t="str">
        <f t="shared" si="120"/>
        <v>OK</v>
      </c>
      <c r="DM114" s="153" t="str">
        <f t="shared" si="121"/>
        <v>OK</v>
      </c>
      <c r="DN114" s="153" t="str">
        <f t="shared" si="143"/>
        <v>OK</v>
      </c>
      <c r="DO114" s="154" t="str">
        <f t="shared" si="144"/>
        <v>OK</v>
      </c>
      <c r="DP114" s="153" t="str">
        <f t="shared" si="122"/>
        <v>OK</v>
      </c>
      <c r="DQ114" s="313" t="str">
        <f t="shared" si="123"/>
        <v>OK</v>
      </c>
      <c r="DR114" s="153" t="str">
        <f t="shared" si="145"/>
        <v>OK</v>
      </c>
      <c r="DS114" s="153" t="str">
        <f t="shared" si="124"/>
        <v>OK</v>
      </c>
      <c r="DT114" s="313" t="str">
        <f t="shared" si="151"/>
        <v>OK</v>
      </c>
      <c r="DU114" s="153" t="str">
        <f t="shared" si="125"/>
        <v>OK</v>
      </c>
      <c r="DV114" s="153" t="str">
        <f t="shared" si="146"/>
        <v>OK</v>
      </c>
      <c r="DW114" s="154" t="str">
        <f t="shared" si="147"/>
        <v>OK</v>
      </c>
      <c r="DX114" s="157">
        <f t="shared" si="148"/>
        <v>0</v>
      </c>
      <c r="DY114" s="156" t="str">
        <f t="shared" si="149"/>
        <v>OK</v>
      </c>
    </row>
    <row r="115" spans="1:129" ht="13" hidden="1" x14ac:dyDescent="0.3">
      <c r="A115" s="333"/>
      <c r="B115" s="333"/>
      <c r="C115" s="332" t="str">
        <f t="shared" si="126"/>
        <v>-</v>
      </c>
      <c r="D115" s="584">
        <f t="shared" si="77"/>
        <v>92</v>
      </c>
      <c r="E115" s="585"/>
      <c r="F115" s="586"/>
      <c r="G115" s="600"/>
      <c r="H115" s="587"/>
      <c r="I115" s="601"/>
      <c r="J115" s="585"/>
      <c r="K115" s="617"/>
      <c r="L115" s="602"/>
      <c r="M115" s="603"/>
      <c r="N115" s="588"/>
      <c r="O115" s="604"/>
      <c r="P115" s="605"/>
      <c r="Q115" s="588"/>
      <c r="R115" s="604"/>
      <c r="S115" s="605"/>
      <c r="T115" s="606"/>
      <c r="U115" s="606"/>
      <c r="V115" s="429" t="str">
        <f t="shared" si="80"/>
        <v/>
      </c>
      <c r="W115" s="430" t="str">
        <f t="shared" si="80"/>
        <v/>
      </c>
      <c r="X115" s="66" t="str">
        <f>IF(AND(ISNUMBER(P115),N115=FixedDim),MAX('Adjustment factors'!$S$16,0.2+0.8*P115),IF(ISTEXT(N115),VLOOKUP(N115,Afactors,2,TRUE),""))</f>
        <v/>
      </c>
      <c r="Y115" s="17" t="str">
        <f>IF(AND(ISNUMBER(S115),Q115=FixedDim),MAX('Adjustment factors'!$S$16,0.2+0.8*S115),IF(ISTEXT(Q115),VLOOKUP(Q115,Afactors,2,TRUE),""))</f>
        <v/>
      </c>
      <c r="Z115" s="297" t="str">
        <f>IF(ISBLANK(T115),"",VLOOKUP(T115,'Adjustment factors'!$R$27:$S$30,2,TRUE))</f>
        <v/>
      </c>
      <c r="AA115" s="297" t="str">
        <f>IF(ISBLANK(U115),"",VLOOKUP(U115,'Adjustment factors'!$R$27:$S$30,2,TRUE))</f>
        <v/>
      </c>
      <c r="AB115" s="480">
        <f t="shared" si="127"/>
        <v>1</v>
      </c>
      <c r="AC115" s="18" t="b">
        <f t="shared" si="81"/>
        <v>0</v>
      </c>
      <c r="AD115" s="18" t="b">
        <f t="shared" si="82"/>
        <v>0</v>
      </c>
      <c r="AE115" s="18" t="b">
        <f t="shared" si="128"/>
        <v>0</v>
      </c>
      <c r="AF115" s="17" t="str">
        <f t="shared" si="83"/>
        <v/>
      </c>
      <c r="AG115" s="18" t="str">
        <f t="shared" si="84"/>
        <v/>
      </c>
      <c r="AH115" s="17" t="str">
        <f t="shared" si="85"/>
        <v/>
      </c>
      <c r="AI115" s="297" t="e">
        <f t="shared" si="129"/>
        <v>#VALUE!</v>
      </c>
      <c r="AJ115" s="79" t="e">
        <f t="shared" si="86"/>
        <v>#VALUE!</v>
      </c>
      <c r="AK115" s="17" t="str">
        <f t="shared" si="150"/>
        <v/>
      </c>
      <c r="AL115" s="80" t="e">
        <f t="shared" si="87"/>
        <v>#VALUE!</v>
      </c>
      <c r="AM115" s="139" t="b">
        <f t="shared" si="88"/>
        <v>1</v>
      </c>
      <c r="AN115" s="139" t="b">
        <f>AND(COUNTA(E115)&gt;0,ISNUMBER(F115),OR(COUNT(G115:H115)=0,COUNT(G115:H115)=2,AND(ISNUMBER(G115),ISNUMBER(VALUE(LEFT(H115,SUM(LEN(H115)-LEN(SUBSTITUTE(H115,{"0","1","2","3","4","5","6","7","8","9","."},"")))))))),ISNUMBER(I115),ISTEXT(J115))</f>
        <v>0</v>
      </c>
      <c r="AO115" s="19" t="b">
        <f t="shared" si="89"/>
        <v>0</v>
      </c>
      <c r="AP115" s="19" t="b">
        <f t="shared" si="90"/>
        <v>1</v>
      </c>
      <c r="AQ115" s="19" t="b">
        <f>IF(AND(COUNTBLANK(E115:J115)=6,OR(AN116:AN$523)),NOT(AN115))</f>
        <v>0</v>
      </c>
      <c r="AR115" s="19" t="str">
        <f t="shared" si="91"/>
        <v/>
      </c>
      <c r="AS115" s="19" t="b">
        <f t="shared" si="92"/>
        <v>1</v>
      </c>
      <c r="AT115" s="19" t="str">
        <f t="shared" si="93"/>
        <v/>
      </c>
      <c r="AU115" s="19" t="b">
        <f t="shared" si="94"/>
        <v>1</v>
      </c>
      <c r="AV115" s="140" t="str">
        <f t="shared" si="130"/>
        <v/>
      </c>
      <c r="AW115" s="19" t="str">
        <f t="shared" si="95"/>
        <v/>
      </c>
      <c r="AX115" s="81">
        <f t="shared" si="96"/>
        <v>0</v>
      </c>
      <c r="AY115" s="81" t="str">
        <f t="shared" si="97"/>
        <v/>
      </c>
      <c r="AZ115" s="307" t="str">
        <f t="shared" si="131"/>
        <v/>
      </c>
      <c r="BA115" s="281" t="str">
        <f t="shared" si="132"/>
        <v/>
      </c>
      <c r="BB115" s="281" t="str">
        <f t="shared" si="133"/>
        <v/>
      </c>
      <c r="BC115" s="953"/>
      <c r="BD115" s="955"/>
      <c r="BE115" s="219" t="str">
        <f t="shared" si="98"/>
        <v>n/a</v>
      </c>
      <c r="BF115" s="215" t="b">
        <f t="shared" si="99"/>
        <v>0</v>
      </c>
      <c r="BG115" s="145" t="b">
        <f t="shared" si="100"/>
        <v>0</v>
      </c>
      <c r="BH115" s="145" t="b">
        <f t="shared" si="101"/>
        <v>0</v>
      </c>
      <c r="BI115" s="216" t="b">
        <f t="shared" si="102"/>
        <v>0</v>
      </c>
      <c r="BJ115" s="215" t="b">
        <f t="shared" si="103"/>
        <v>0</v>
      </c>
      <c r="BK115" s="145" t="b">
        <f t="shared" si="104"/>
        <v>0</v>
      </c>
      <c r="BL115" s="216" t="b">
        <f t="shared" si="105"/>
        <v>0</v>
      </c>
      <c r="BM115" s="217" t="str">
        <f t="shared" si="134"/>
        <v/>
      </c>
      <c r="BN115" s="146" t="str">
        <f t="shared" si="135"/>
        <v/>
      </c>
      <c r="BO115" s="147" t="str">
        <f t="shared" si="136"/>
        <v/>
      </c>
      <c r="BP115" s="148" t="str">
        <f t="shared" si="137"/>
        <v/>
      </c>
      <c r="BT115" s="50">
        <f t="shared" si="78"/>
        <v>92</v>
      </c>
      <c r="BU115" s="50" t="str">
        <f t="shared" si="106"/>
        <v>-</v>
      </c>
      <c r="BW115" s="340"/>
      <c r="BX115" s="333"/>
      <c r="BY115" s="333"/>
      <c r="BZ115" s="333"/>
      <c r="CA115" s="333"/>
      <c r="CB115" s="333"/>
      <c r="CC115" s="333"/>
      <c r="CD115" s="333"/>
      <c r="CE115" s="333"/>
      <c r="CF115" s="333"/>
      <c r="CG115" s="354">
        <f t="shared" si="107"/>
        <v>92</v>
      </c>
      <c r="CH115" s="613">
        <f t="shared" si="108"/>
        <v>0</v>
      </c>
      <c r="CI115" s="613">
        <f t="shared" si="109"/>
        <v>0</v>
      </c>
      <c r="CJ115" s="614" t="str">
        <f t="shared" si="110"/>
        <v/>
      </c>
      <c r="CK115" s="615" t="str">
        <f t="shared" si="111"/>
        <v/>
      </c>
      <c r="CL115" s="610" t="str">
        <f>IF(ISBLANK(H115),"",IF(AND(ISNUMBER(F115),ISNUMBER(G115),ISNUMBER(H115)),ROUND(F115/(H115*G115),2),ROUND(F115/(VALUE(LEFT(H115,SUM(LEN(H115)-LEN(SUBSTITUTE(H115,{"0","1","2","3","4","5","6","7","8","9","."},"")))))*G115),2)))</f>
        <v/>
      </c>
      <c r="CM115" s="616" t="str">
        <f t="shared" si="138"/>
        <v/>
      </c>
      <c r="CN115" s="616" t="str">
        <f>IF(ISNUMBER(P115),MAX('Adjustment factors'!$S$16,(0.2+0.8*P115)),IF(ISTEXT(N115),VLOOKUP(N115,Afactors,2,FALSE),""))</f>
        <v/>
      </c>
      <c r="CO115" s="616" t="str">
        <f>IF(ISNUMBER(S115),MAX('Adjustment factors'!$S$16,0.2+0.8*S115),IF(ISTEXT(Q115),VLOOKUP(Q115,Afactors,2,FALSE),""))</f>
        <v/>
      </c>
      <c r="CP115" s="611" t="str">
        <f t="shared" si="139"/>
        <v/>
      </c>
      <c r="CQ115" s="612" t="str">
        <f t="shared" si="140"/>
        <v/>
      </c>
      <c r="CR115" s="340"/>
      <c r="CS115" s="340"/>
      <c r="CT115" s="340"/>
      <c r="CU115" s="340"/>
      <c r="CV115" s="333"/>
      <c r="CW115" s="333"/>
      <c r="CX115" s="333"/>
      <c r="CY115" s="333"/>
      <c r="DA115" s="313" t="str">
        <f t="shared" si="112"/>
        <v>OK</v>
      </c>
      <c r="DB115" s="313" t="str">
        <f t="shared" si="113"/>
        <v>OK</v>
      </c>
      <c r="DC115" s="313" t="str">
        <f t="shared" si="114"/>
        <v>OK</v>
      </c>
      <c r="DD115" s="313" t="str">
        <f t="shared" si="115"/>
        <v>OK</v>
      </c>
      <c r="DE115" s="153" t="str">
        <f t="shared" si="116"/>
        <v>OK</v>
      </c>
      <c r="DF115" s="314" t="str">
        <f t="shared" si="117"/>
        <v>OK</v>
      </c>
      <c r="DG115" s="482" t="str">
        <f t="shared" si="141"/>
        <v>OK</v>
      </c>
      <c r="DH115" s="482" t="str">
        <f>IF(OR(AND(T115='Adjustment factors'!$R$28,'Class 3, 5-9'!U115='Adjustment factors'!$R$29),AND('Class 3, 5-9'!T115='Adjustment factors'!$R$29,'Class 3, 5-9'!U115='Adjustment factors'!$R$28)),"Invalid combination of adjustment factors",IF(AND(T115=U115,NOT(ISBLANK(T115)),NOT(ISBLANK(U115))),"Same colour factor selected twice","OK"))</f>
        <v>OK</v>
      </c>
      <c r="DI115" s="313" t="str">
        <f t="shared" si="118"/>
        <v>OK</v>
      </c>
      <c r="DJ115" s="153" t="str">
        <f t="shared" si="142"/>
        <v>OK</v>
      </c>
      <c r="DK115" s="153" t="str">
        <f t="shared" si="119"/>
        <v>OK</v>
      </c>
      <c r="DL115" s="313" t="str">
        <f t="shared" si="120"/>
        <v>OK</v>
      </c>
      <c r="DM115" s="153" t="str">
        <f t="shared" si="121"/>
        <v>OK</v>
      </c>
      <c r="DN115" s="153" t="str">
        <f t="shared" si="143"/>
        <v>OK</v>
      </c>
      <c r="DO115" s="154" t="str">
        <f t="shared" si="144"/>
        <v>OK</v>
      </c>
      <c r="DP115" s="153" t="str">
        <f t="shared" si="122"/>
        <v>OK</v>
      </c>
      <c r="DQ115" s="313" t="str">
        <f t="shared" si="123"/>
        <v>OK</v>
      </c>
      <c r="DR115" s="153" t="str">
        <f t="shared" si="145"/>
        <v>OK</v>
      </c>
      <c r="DS115" s="153" t="str">
        <f t="shared" si="124"/>
        <v>OK</v>
      </c>
      <c r="DT115" s="313" t="str">
        <f t="shared" si="151"/>
        <v>OK</v>
      </c>
      <c r="DU115" s="153" t="str">
        <f t="shared" si="125"/>
        <v>OK</v>
      </c>
      <c r="DV115" s="153" t="str">
        <f t="shared" si="146"/>
        <v>OK</v>
      </c>
      <c r="DW115" s="154" t="str">
        <f t="shared" si="147"/>
        <v>OK</v>
      </c>
      <c r="DX115" s="157">
        <f t="shared" si="148"/>
        <v>0</v>
      </c>
      <c r="DY115" s="156" t="str">
        <f t="shared" si="149"/>
        <v>OK</v>
      </c>
    </row>
    <row r="116" spans="1:129" ht="13" hidden="1" x14ac:dyDescent="0.3">
      <c r="A116" s="333"/>
      <c r="B116" s="333"/>
      <c r="C116" s="332" t="str">
        <f t="shared" si="126"/>
        <v>-</v>
      </c>
      <c r="D116" s="584">
        <f t="shared" si="77"/>
        <v>93</v>
      </c>
      <c r="E116" s="585"/>
      <c r="F116" s="586"/>
      <c r="G116" s="600"/>
      <c r="H116" s="587"/>
      <c r="I116" s="601"/>
      <c r="J116" s="585"/>
      <c r="K116" s="617"/>
      <c r="L116" s="602"/>
      <c r="M116" s="603"/>
      <c r="N116" s="588"/>
      <c r="O116" s="604"/>
      <c r="P116" s="605"/>
      <c r="Q116" s="588"/>
      <c r="R116" s="604"/>
      <c r="S116" s="605"/>
      <c r="T116" s="606"/>
      <c r="U116" s="606"/>
      <c r="V116" s="429" t="str">
        <f t="shared" si="80"/>
        <v/>
      </c>
      <c r="W116" s="430" t="str">
        <f t="shared" si="80"/>
        <v/>
      </c>
      <c r="X116" s="66" t="str">
        <f>IF(AND(ISNUMBER(P116),N116=FixedDim),MAX('Adjustment factors'!$S$16,0.2+0.8*P116),IF(ISTEXT(N116),VLOOKUP(N116,Afactors,2,TRUE),""))</f>
        <v/>
      </c>
      <c r="Y116" s="17" t="str">
        <f>IF(AND(ISNUMBER(S116),Q116=FixedDim),MAX('Adjustment factors'!$S$16,0.2+0.8*S116),IF(ISTEXT(Q116),VLOOKUP(Q116,Afactors,2,TRUE),""))</f>
        <v/>
      </c>
      <c r="Z116" s="297" t="str">
        <f>IF(ISBLANK(T116),"",VLOOKUP(T116,'Adjustment factors'!$R$27:$S$30,2,TRUE))</f>
        <v/>
      </c>
      <c r="AA116" s="297" t="str">
        <f>IF(ISBLANK(U116),"",VLOOKUP(U116,'Adjustment factors'!$R$27:$S$30,2,TRUE))</f>
        <v/>
      </c>
      <c r="AB116" s="480">
        <f t="shared" si="127"/>
        <v>1</v>
      </c>
      <c r="AC116" s="18" t="b">
        <f t="shared" si="81"/>
        <v>0</v>
      </c>
      <c r="AD116" s="18" t="b">
        <f t="shared" si="82"/>
        <v>0</v>
      </c>
      <c r="AE116" s="18" t="b">
        <f t="shared" si="128"/>
        <v>0</v>
      </c>
      <c r="AF116" s="17" t="str">
        <f t="shared" si="83"/>
        <v/>
      </c>
      <c r="AG116" s="18" t="str">
        <f t="shared" si="84"/>
        <v/>
      </c>
      <c r="AH116" s="17" t="str">
        <f t="shared" si="85"/>
        <v/>
      </c>
      <c r="AI116" s="297" t="e">
        <f t="shared" si="129"/>
        <v>#VALUE!</v>
      </c>
      <c r="AJ116" s="79" t="e">
        <f t="shared" si="86"/>
        <v>#VALUE!</v>
      </c>
      <c r="AK116" s="17" t="str">
        <f t="shared" si="150"/>
        <v/>
      </c>
      <c r="AL116" s="80" t="e">
        <f t="shared" si="87"/>
        <v>#VALUE!</v>
      </c>
      <c r="AM116" s="139" t="b">
        <f t="shared" si="88"/>
        <v>1</v>
      </c>
      <c r="AN116" s="139" t="b">
        <f>AND(COUNTA(E116)&gt;0,ISNUMBER(F116),OR(COUNT(G116:H116)=0,COUNT(G116:H116)=2,AND(ISNUMBER(G116),ISNUMBER(VALUE(LEFT(H116,SUM(LEN(H116)-LEN(SUBSTITUTE(H116,{"0","1","2","3","4","5","6","7","8","9","."},"")))))))),ISNUMBER(I116),ISTEXT(J116))</f>
        <v>0</v>
      </c>
      <c r="AO116" s="19" t="b">
        <f t="shared" si="89"/>
        <v>0</v>
      </c>
      <c r="AP116" s="19" t="b">
        <f t="shared" si="90"/>
        <v>1</v>
      </c>
      <c r="AQ116" s="19" t="b">
        <f>IF(AND(COUNTBLANK(E116:J116)=6,OR(AN117:AN$523)),NOT(AN116))</f>
        <v>0</v>
      </c>
      <c r="AR116" s="19" t="str">
        <f t="shared" si="91"/>
        <v/>
      </c>
      <c r="AS116" s="19" t="b">
        <f t="shared" si="92"/>
        <v>1</v>
      </c>
      <c r="AT116" s="19" t="str">
        <f t="shared" si="93"/>
        <v/>
      </c>
      <c r="AU116" s="19" t="b">
        <f t="shared" si="94"/>
        <v>1</v>
      </c>
      <c r="AV116" s="140" t="str">
        <f t="shared" si="130"/>
        <v/>
      </c>
      <c r="AW116" s="19" t="str">
        <f t="shared" si="95"/>
        <v/>
      </c>
      <c r="AX116" s="81">
        <f t="shared" si="96"/>
        <v>0</v>
      </c>
      <c r="AY116" s="81" t="str">
        <f t="shared" si="97"/>
        <v/>
      </c>
      <c r="AZ116" s="307" t="str">
        <f t="shared" si="131"/>
        <v/>
      </c>
      <c r="BA116" s="281" t="str">
        <f t="shared" si="132"/>
        <v/>
      </c>
      <c r="BB116" s="281" t="str">
        <f t="shared" si="133"/>
        <v/>
      </c>
      <c r="BC116" s="953"/>
      <c r="BD116" s="955"/>
      <c r="BE116" s="219" t="str">
        <f t="shared" si="98"/>
        <v>n/a</v>
      </c>
      <c r="BF116" s="215" t="b">
        <f t="shared" si="99"/>
        <v>0</v>
      </c>
      <c r="BG116" s="145" t="b">
        <f t="shared" si="100"/>
        <v>0</v>
      </c>
      <c r="BH116" s="145" t="b">
        <f t="shared" si="101"/>
        <v>0</v>
      </c>
      <c r="BI116" s="216" t="b">
        <f t="shared" si="102"/>
        <v>0</v>
      </c>
      <c r="BJ116" s="215" t="b">
        <f t="shared" si="103"/>
        <v>0</v>
      </c>
      <c r="BK116" s="145" t="b">
        <f t="shared" si="104"/>
        <v>0</v>
      </c>
      <c r="BL116" s="216" t="b">
        <f t="shared" si="105"/>
        <v>0</v>
      </c>
      <c r="BM116" s="217" t="str">
        <f t="shared" si="134"/>
        <v/>
      </c>
      <c r="BN116" s="146" t="str">
        <f t="shared" si="135"/>
        <v/>
      </c>
      <c r="BO116" s="147" t="str">
        <f t="shared" si="136"/>
        <v/>
      </c>
      <c r="BP116" s="148" t="str">
        <f t="shared" si="137"/>
        <v/>
      </c>
      <c r="BT116" s="50">
        <f t="shared" si="78"/>
        <v>93</v>
      </c>
      <c r="BU116" s="50" t="str">
        <f t="shared" si="106"/>
        <v>-</v>
      </c>
      <c r="BW116" s="340"/>
      <c r="BX116" s="333"/>
      <c r="BY116" s="333"/>
      <c r="BZ116" s="333"/>
      <c r="CA116" s="333"/>
      <c r="CB116" s="333"/>
      <c r="CC116" s="333"/>
      <c r="CD116" s="333"/>
      <c r="CE116" s="333"/>
      <c r="CF116" s="333"/>
      <c r="CG116" s="354">
        <f t="shared" si="107"/>
        <v>93</v>
      </c>
      <c r="CH116" s="613">
        <f t="shared" si="108"/>
        <v>0</v>
      </c>
      <c r="CI116" s="613">
        <f t="shared" si="109"/>
        <v>0</v>
      </c>
      <c r="CJ116" s="614" t="str">
        <f t="shared" si="110"/>
        <v/>
      </c>
      <c r="CK116" s="615" t="str">
        <f t="shared" si="111"/>
        <v/>
      </c>
      <c r="CL116" s="610" t="str">
        <f>IF(ISBLANK(H116),"",IF(AND(ISNUMBER(F116),ISNUMBER(G116),ISNUMBER(H116)),ROUND(F116/(H116*G116),2),ROUND(F116/(VALUE(LEFT(H116,SUM(LEN(H116)-LEN(SUBSTITUTE(H116,{"0","1","2","3","4","5","6","7","8","9","."},"")))))*G116),2)))</f>
        <v/>
      </c>
      <c r="CM116" s="616" t="str">
        <f t="shared" si="138"/>
        <v/>
      </c>
      <c r="CN116" s="616" t="str">
        <f>IF(ISNUMBER(P116),MAX('Adjustment factors'!$S$16,(0.2+0.8*P116)),IF(ISTEXT(N116),VLOOKUP(N116,Afactors,2,FALSE),""))</f>
        <v/>
      </c>
      <c r="CO116" s="616" t="str">
        <f>IF(ISNUMBER(S116),MAX('Adjustment factors'!$S$16,0.2+0.8*S116),IF(ISTEXT(Q116),VLOOKUP(Q116,Afactors,2,FALSE),""))</f>
        <v/>
      </c>
      <c r="CP116" s="611" t="str">
        <f t="shared" si="139"/>
        <v/>
      </c>
      <c r="CQ116" s="612" t="str">
        <f t="shared" si="140"/>
        <v/>
      </c>
      <c r="CR116" s="340"/>
      <c r="CS116" s="340"/>
      <c r="CT116" s="340"/>
      <c r="CU116" s="340"/>
      <c r="CV116" s="333"/>
      <c r="CW116" s="333"/>
      <c r="CX116" s="333"/>
      <c r="CY116" s="333"/>
      <c r="DA116" s="313" t="str">
        <f t="shared" si="112"/>
        <v>OK</v>
      </c>
      <c r="DB116" s="313" t="str">
        <f t="shared" si="113"/>
        <v>OK</v>
      </c>
      <c r="DC116" s="313" t="str">
        <f t="shared" si="114"/>
        <v>OK</v>
      </c>
      <c r="DD116" s="313" t="str">
        <f t="shared" si="115"/>
        <v>OK</v>
      </c>
      <c r="DE116" s="153" t="str">
        <f t="shared" si="116"/>
        <v>OK</v>
      </c>
      <c r="DF116" s="314" t="str">
        <f t="shared" si="117"/>
        <v>OK</v>
      </c>
      <c r="DG116" s="482" t="str">
        <f t="shared" si="141"/>
        <v>OK</v>
      </c>
      <c r="DH116" s="482" t="str">
        <f>IF(OR(AND(T116='Adjustment factors'!$R$28,'Class 3, 5-9'!U116='Adjustment factors'!$R$29),AND('Class 3, 5-9'!T116='Adjustment factors'!$R$29,'Class 3, 5-9'!U116='Adjustment factors'!$R$28)),"Invalid combination of adjustment factors",IF(AND(T116=U116,NOT(ISBLANK(T116)),NOT(ISBLANK(U116))),"Same colour factor selected twice","OK"))</f>
        <v>OK</v>
      </c>
      <c r="DI116" s="313" t="str">
        <f t="shared" si="118"/>
        <v>OK</v>
      </c>
      <c r="DJ116" s="153" t="str">
        <f t="shared" si="142"/>
        <v>OK</v>
      </c>
      <c r="DK116" s="153" t="str">
        <f t="shared" si="119"/>
        <v>OK</v>
      </c>
      <c r="DL116" s="313" t="str">
        <f t="shared" si="120"/>
        <v>OK</v>
      </c>
      <c r="DM116" s="153" t="str">
        <f t="shared" si="121"/>
        <v>OK</v>
      </c>
      <c r="DN116" s="153" t="str">
        <f t="shared" si="143"/>
        <v>OK</v>
      </c>
      <c r="DO116" s="154" t="str">
        <f t="shared" si="144"/>
        <v>OK</v>
      </c>
      <c r="DP116" s="153" t="str">
        <f t="shared" si="122"/>
        <v>OK</v>
      </c>
      <c r="DQ116" s="313" t="str">
        <f t="shared" si="123"/>
        <v>OK</v>
      </c>
      <c r="DR116" s="153" t="str">
        <f t="shared" si="145"/>
        <v>OK</v>
      </c>
      <c r="DS116" s="153" t="str">
        <f t="shared" si="124"/>
        <v>OK</v>
      </c>
      <c r="DT116" s="313" t="str">
        <f t="shared" si="151"/>
        <v>OK</v>
      </c>
      <c r="DU116" s="153" t="str">
        <f t="shared" si="125"/>
        <v>OK</v>
      </c>
      <c r="DV116" s="153" t="str">
        <f t="shared" si="146"/>
        <v>OK</v>
      </c>
      <c r="DW116" s="154" t="str">
        <f t="shared" si="147"/>
        <v>OK</v>
      </c>
      <c r="DX116" s="157">
        <f t="shared" si="148"/>
        <v>0</v>
      </c>
      <c r="DY116" s="156" t="str">
        <f t="shared" si="149"/>
        <v>OK</v>
      </c>
    </row>
    <row r="117" spans="1:129" ht="13" hidden="1" x14ac:dyDescent="0.3">
      <c r="A117" s="333"/>
      <c r="B117" s="333"/>
      <c r="C117" s="332" t="str">
        <f t="shared" si="126"/>
        <v>-</v>
      </c>
      <c r="D117" s="584">
        <f t="shared" si="77"/>
        <v>94</v>
      </c>
      <c r="E117" s="585"/>
      <c r="F117" s="586"/>
      <c r="G117" s="600"/>
      <c r="H117" s="587"/>
      <c r="I117" s="601"/>
      <c r="J117" s="585"/>
      <c r="K117" s="617"/>
      <c r="L117" s="602"/>
      <c r="M117" s="603"/>
      <c r="N117" s="588"/>
      <c r="O117" s="604"/>
      <c r="P117" s="605"/>
      <c r="Q117" s="588"/>
      <c r="R117" s="604"/>
      <c r="S117" s="605"/>
      <c r="T117" s="606"/>
      <c r="U117" s="606"/>
      <c r="V117" s="429" t="str">
        <f t="shared" si="80"/>
        <v/>
      </c>
      <c r="W117" s="430" t="str">
        <f t="shared" si="80"/>
        <v/>
      </c>
      <c r="X117" s="66" t="str">
        <f>IF(AND(ISNUMBER(P117),N117=FixedDim),MAX('Adjustment factors'!$S$16,0.2+0.8*P117),IF(ISTEXT(N117),VLOOKUP(N117,Afactors,2,TRUE),""))</f>
        <v/>
      </c>
      <c r="Y117" s="17" t="str">
        <f>IF(AND(ISNUMBER(S117),Q117=FixedDim),MAX('Adjustment factors'!$S$16,0.2+0.8*S117),IF(ISTEXT(Q117),VLOOKUP(Q117,Afactors,2,TRUE),""))</f>
        <v/>
      </c>
      <c r="Z117" s="297" t="str">
        <f>IF(ISBLANK(T117),"",VLOOKUP(T117,'Adjustment factors'!$R$27:$S$30,2,TRUE))</f>
        <v/>
      </c>
      <c r="AA117" s="297" t="str">
        <f>IF(ISBLANK(U117),"",VLOOKUP(U117,'Adjustment factors'!$R$27:$S$30,2,TRUE))</f>
        <v/>
      </c>
      <c r="AB117" s="480">
        <f t="shared" si="127"/>
        <v>1</v>
      </c>
      <c r="AC117" s="18" t="b">
        <f t="shared" si="81"/>
        <v>0</v>
      </c>
      <c r="AD117" s="18" t="b">
        <f t="shared" si="82"/>
        <v>0</v>
      </c>
      <c r="AE117" s="18" t="b">
        <f t="shared" si="128"/>
        <v>0</v>
      </c>
      <c r="AF117" s="17" t="str">
        <f t="shared" si="83"/>
        <v/>
      </c>
      <c r="AG117" s="18" t="str">
        <f t="shared" si="84"/>
        <v/>
      </c>
      <c r="AH117" s="17" t="str">
        <f t="shared" si="85"/>
        <v/>
      </c>
      <c r="AI117" s="297" t="e">
        <f t="shared" si="129"/>
        <v>#VALUE!</v>
      </c>
      <c r="AJ117" s="79" t="e">
        <f t="shared" si="86"/>
        <v>#VALUE!</v>
      </c>
      <c r="AK117" s="17" t="str">
        <f t="shared" si="150"/>
        <v/>
      </c>
      <c r="AL117" s="80" t="e">
        <f t="shared" si="87"/>
        <v>#VALUE!</v>
      </c>
      <c r="AM117" s="139" t="b">
        <f t="shared" si="88"/>
        <v>1</v>
      </c>
      <c r="AN117" s="139" t="b">
        <f>AND(COUNTA(E117)&gt;0,ISNUMBER(F117),OR(COUNT(G117:H117)=0,COUNT(G117:H117)=2,AND(ISNUMBER(G117),ISNUMBER(VALUE(LEFT(H117,SUM(LEN(H117)-LEN(SUBSTITUTE(H117,{"0","1","2","3","4","5","6","7","8","9","."},"")))))))),ISNUMBER(I117),ISTEXT(J117))</f>
        <v>0</v>
      </c>
      <c r="AO117" s="19" t="b">
        <f t="shared" si="89"/>
        <v>0</v>
      </c>
      <c r="AP117" s="19" t="b">
        <f t="shared" si="90"/>
        <v>1</v>
      </c>
      <c r="AQ117" s="19" t="b">
        <f>IF(AND(COUNTBLANK(E117:J117)=6,OR(AN118:AN$523)),NOT(AN117))</f>
        <v>0</v>
      </c>
      <c r="AR117" s="19" t="str">
        <f t="shared" si="91"/>
        <v/>
      </c>
      <c r="AS117" s="19" t="b">
        <f t="shared" si="92"/>
        <v>1</v>
      </c>
      <c r="AT117" s="19" t="str">
        <f t="shared" si="93"/>
        <v/>
      </c>
      <c r="AU117" s="19" t="b">
        <f t="shared" si="94"/>
        <v>1</v>
      </c>
      <c r="AV117" s="140" t="str">
        <f t="shared" si="130"/>
        <v/>
      </c>
      <c r="AW117" s="19" t="str">
        <f t="shared" si="95"/>
        <v/>
      </c>
      <c r="AX117" s="81">
        <f t="shared" si="96"/>
        <v>0</v>
      </c>
      <c r="AY117" s="81" t="str">
        <f t="shared" si="97"/>
        <v/>
      </c>
      <c r="AZ117" s="307" t="str">
        <f t="shared" si="131"/>
        <v/>
      </c>
      <c r="BA117" s="281" t="str">
        <f t="shared" si="132"/>
        <v/>
      </c>
      <c r="BB117" s="281" t="str">
        <f t="shared" si="133"/>
        <v/>
      </c>
      <c r="BC117" s="953"/>
      <c r="BD117" s="955"/>
      <c r="BE117" s="219" t="str">
        <f t="shared" si="98"/>
        <v>n/a</v>
      </c>
      <c r="BF117" s="215" t="b">
        <f t="shared" si="99"/>
        <v>0</v>
      </c>
      <c r="BG117" s="145" t="b">
        <f t="shared" si="100"/>
        <v>0</v>
      </c>
      <c r="BH117" s="145" t="b">
        <f t="shared" si="101"/>
        <v>0</v>
      </c>
      <c r="BI117" s="216" t="b">
        <f t="shared" si="102"/>
        <v>0</v>
      </c>
      <c r="BJ117" s="215" t="b">
        <f t="shared" si="103"/>
        <v>0</v>
      </c>
      <c r="BK117" s="145" t="b">
        <f t="shared" si="104"/>
        <v>0</v>
      </c>
      <c r="BL117" s="216" t="b">
        <f t="shared" si="105"/>
        <v>0</v>
      </c>
      <c r="BM117" s="217" t="str">
        <f t="shared" si="134"/>
        <v/>
      </c>
      <c r="BN117" s="146" t="str">
        <f t="shared" si="135"/>
        <v/>
      </c>
      <c r="BO117" s="147" t="str">
        <f t="shared" si="136"/>
        <v/>
      </c>
      <c r="BP117" s="148" t="str">
        <f t="shared" si="137"/>
        <v/>
      </c>
      <c r="BT117" s="50">
        <f t="shared" si="78"/>
        <v>94</v>
      </c>
      <c r="BU117" s="50" t="str">
        <f t="shared" si="106"/>
        <v>-</v>
      </c>
      <c r="BW117" s="340"/>
      <c r="BX117" s="333"/>
      <c r="BY117" s="333"/>
      <c r="BZ117" s="333"/>
      <c r="CA117" s="333"/>
      <c r="CB117" s="333"/>
      <c r="CC117" s="333"/>
      <c r="CD117" s="333"/>
      <c r="CE117" s="333"/>
      <c r="CF117" s="333"/>
      <c r="CG117" s="354">
        <f t="shared" si="107"/>
        <v>94</v>
      </c>
      <c r="CH117" s="613">
        <f t="shared" si="108"/>
        <v>0</v>
      </c>
      <c r="CI117" s="613">
        <f t="shared" si="109"/>
        <v>0</v>
      </c>
      <c r="CJ117" s="614" t="str">
        <f t="shared" si="110"/>
        <v/>
      </c>
      <c r="CK117" s="615" t="str">
        <f t="shared" si="111"/>
        <v/>
      </c>
      <c r="CL117" s="610" t="str">
        <f>IF(ISBLANK(H117),"",IF(AND(ISNUMBER(F117),ISNUMBER(G117),ISNUMBER(H117)),ROUND(F117/(H117*G117),2),ROUND(F117/(VALUE(LEFT(H117,SUM(LEN(H117)-LEN(SUBSTITUTE(H117,{"0","1","2","3","4","5","6","7","8","9","."},"")))))*G117),2)))</f>
        <v/>
      </c>
      <c r="CM117" s="616" t="str">
        <f t="shared" si="138"/>
        <v/>
      </c>
      <c r="CN117" s="616" t="str">
        <f>IF(ISNUMBER(P117),MAX('Adjustment factors'!$S$16,(0.2+0.8*P117)),IF(ISTEXT(N117),VLOOKUP(N117,Afactors,2,FALSE),""))</f>
        <v/>
      </c>
      <c r="CO117" s="616" t="str">
        <f>IF(ISNUMBER(S117),MAX('Adjustment factors'!$S$16,0.2+0.8*S117),IF(ISTEXT(Q117),VLOOKUP(Q117,Afactors,2,FALSE),""))</f>
        <v/>
      </c>
      <c r="CP117" s="611" t="str">
        <f t="shared" si="139"/>
        <v/>
      </c>
      <c r="CQ117" s="612" t="str">
        <f t="shared" si="140"/>
        <v/>
      </c>
      <c r="CR117" s="340"/>
      <c r="CS117" s="340"/>
      <c r="CT117" s="340"/>
      <c r="CU117" s="340"/>
      <c r="CV117" s="333"/>
      <c r="CW117" s="333"/>
      <c r="CX117" s="333"/>
      <c r="CY117" s="333"/>
      <c r="DA117" s="313" t="str">
        <f t="shared" si="112"/>
        <v>OK</v>
      </c>
      <c r="DB117" s="313" t="str">
        <f t="shared" si="113"/>
        <v>OK</v>
      </c>
      <c r="DC117" s="313" t="str">
        <f t="shared" si="114"/>
        <v>OK</v>
      </c>
      <c r="DD117" s="313" t="str">
        <f t="shared" si="115"/>
        <v>OK</v>
      </c>
      <c r="DE117" s="153" t="str">
        <f t="shared" si="116"/>
        <v>OK</v>
      </c>
      <c r="DF117" s="314" t="str">
        <f t="shared" si="117"/>
        <v>OK</v>
      </c>
      <c r="DG117" s="482" t="str">
        <f t="shared" si="141"/>
        <v>OK</v>
      </c>
      <c r="DH117" s="482" t="str">
        <f>IF(OR(AND(T117='Adjustment factors'!$R$28,'Class 3, 5-9'!U117='Adjustment factors'!$R$29),AND('Class 3, 5-9'!T117='Adjustment factors'!$R$29,'Class 3, 5-9'!U117='Adjustment factors'!$R$28)),"Invalid combination of adjustment factors",IF(AND(T117=U117,NOT(ISBLANK(T117)),NOT(ISBLANK(U117))),"Same colour factor selected twice","OK"))</f>
        <v>OK</v>
      </c>
      <c r="DI117" s="313" t="str">
        <f t="shared" si="118"/>
        <v>OK</v>
      </c>
      <c r="DJ117" s="153" t="str">
        <f t="shared" si="142"/>
        <v>OK</v>
      </c>
      <c r="DK117" s="153" t="str">
        <f t="shared" si="119"/>
        <v>OK</v>
      </c>
      <c r="DL117" s="313" t="str">
        <f t="shared" si="120"/>
        <v>OK</v>
      </c>
      <c r="DM117" s="153" t="str">
        <f t="shared" si="121"/>
        <v>OK</v>
      </c>
      <c r="DN117" s="153" t="str">
        <f t="shared" si="143"/>
        <v>OK</v>
      </c>
      <c r="DO117" s="154" t="str">
        <f t="shared" si="144"/>
        <v>OK</v>
      </c>
      <c r="DP117" s="153" t="str">
        <f t="shared" si="122"/>
        <v>OK</v>
      </c>
      <c r="DQ117" s="313" t="str">
        <f t="shared" si="123"/>
        <v>OK</v>
      </c>
      <c r="DR117" s="153" t="str">
        <f t="shared" si="145"/>
        <v>OK</v>
      </c>
      <c r="DS117" s="153" t="str">
        <f t="shared" si="124"/>
        <v>OK</v>
      </c>
      <c r="DT117" s="313" t="str">
        <f t="shared" si="151"/>
        <v>OK</v>
      </c>
      <c r="DU117" s="153" t="str">
        <f t="shared" si="125"/>
        <v>OK</v>
      </c>
      <c r="DV117" s="153" t="str">
        <f t="shared" si="146"/>
        <v>OK</v>
      </c>
      <c r="DW117" s="154" t="str">
        <f t="shared" si="147"/>
        <v>OK</v>
      </c>
      <c r="DX117" s="157">
        <f t="shared" si="148"/>
        <v>0</v>
      </c>
      <c r="DY117" s="156" t="str">
        <f t="shared" si="149"/>
        <v>OK</v>
      </c>
    </row>
    <row r="118" spans="1:129" ht="13" hidden="1" x14ac:dyDescent="0.3">
      <c r="A118" s="333"/>
      <c r="B118" s="333"/>
      <c r="C118" s="332" t="str">
        <f t="shared" si="126"/>
        <v>-</v>
      </c>
      <c r="D118" s="584">
        <f t="shared" si="77"/>
        <v>95</v>
      </c>
      <c r="E118" s="585"/>
      <c r="F118" s="586"/>
      <c r="G118" s="600"/>
      <c r="H118" s="587"/>
      <c r="I118" s="601"/>
      <c r="J118" s="585"/>
      <c r="K118" s="617"/>
      <c r="L118" s="602"/>
      <c r="M118" s="603"/>
      <c r="N118" s="588"/>
      <c r="O118" s="604"/>
      <c r="P118" s="605"/>
      <c r="Q118" s="588"/>
      <c r="R118" s="604"/>
      <c r="S118" s="605"/>
      <c r="T118" s="606"/>
      <c r="U118" s="606"/>
      <c r="V118" s="429" t="str">
        <f t="shared" si="80"/>
        <v/>
      </c>
      <c r="W118" s="430" t="str">
        <f t="shared" si="80"/>
        <v/>
      </c>
      <c r="X118" s="66" t="str">
        <f>IF(AND(ISNUMBER(P118),N118=FixedDim),MAX('Adjustment factors'!$S$16,0.2+0.8*P118),IF(ISTEXT(N118),VLOOKUP(N118,Afactors,2,TRUE),""))</f>
        <v/>
      </c>
      <c r="Y118" s="17" t="str">
        <f>IF(AND(ISNUMBER(S118),Q118=FixedDim),MAX('Adjustment factors'!$S$16,0.2+0.8*S118),IF(ISTEXT(Q118),VLOOKUP(Q118,Afactors,2,TRUE),""))</f>
        <v/>
      </c>
      <c r="Z118" s="297" t="str">
        <f>IF(ISBLANK(T118),"",VLOOKUP(T118,'Adjustment factors'!$R$27:$S$30,2,TRUE))</f>
        <v/>
      </c>
      <c r="AA118" s="297" t="str">
        <f>IF(ISBLANK(U118),"",VLOOKUP(U118,'Adjustment factors'!$R$27:$S$30,2,TRUE))</f>
        <v/>
      </c>
      <c r="AB118" s="480">
        <f t="shared" si="127"/>
        <v>1</v>
      </c>
      <c r="AC118" s="18" t="b">
        <f t="shared" si="81"/>
        <v>0</v>
      </c>
      <c r="AD118" s="18" t="b">
        <f t="shared" si="82"/>
        <v>0</v>
      </c>
      <c r="AE118" s="18" t="b">
        <f t="shared" si="128"/>
        <v>0</v>
      </c>
      <c r="AF118" s="17" t="str">
        <f t="shared" si="83"/>
        <v/>
      </c>
      <c r="AG118" s="18" t="str">
        <f t="shared" si="84"/>
        <v/>
      </c>
      <c r="AH118" s="17" t="str">
        <f t="shared" si="85"/>
        <v/>
      </c>
      <c r="AI118" s="297" t="e">
        <f t="shared" si="129"/>
        <v>#VALUE!</v>
      </c>
      <c r="AJ118" s="79" t="e">
        <f t="shared" si="86"/>
        <v>#VALUE!</v>
      </c>
      <c r="AK118" s="17" t="str">
        <f t="shared" si="150"/>
        <v/>
      </c>
      <c r="AL118" s="80" t="e">
        <f t="shared" si="87"/>
        <v>#VALUE!</v>
      </c>
      <c r="AM118" s="139" t="b">
        <f t="shared" si="88"/>
        <v>1</v>
      </c>
      <c r="AN118" s="139" t="b">
        <f>AND(COUNTA(E118)&gt;0,ISNUMBER(F118),OR(COUNT(G118:H118)=0,COUNT(G118:H118)=2,AND(ISNUMBER(G118),ISNUMBER(VALUE(LEFT(H118,SUM(LEN(H118)-LEN(SUBSTITUTE(H118,{"0","1","2","3","4","5","6","7","8","9","."},"")))))))),ISNUMBER(I118),ISTEXT(J118))</f>
        <v>0</v>
      </c>
      <c r="AO118" s="19" t="b">
        <f t="shared" si="89"/>
        <v>0</v>
      </c>
      <c r="AP118" s="19" t="b">
        <f t="shared" si="90"/>
        <v>1</v>
      </c>
      <c r="AQ118" s="19" t="b">
        <f>IF(AND(COUNTBLANK(E118:J118)=6,OR(AN119:AN$523)),NOT(AN118))</f>
        <v>0</v>
      </c>
      <c r="AR118" s="19" t="str">
        <f t="shared" si="91"/>
        <v/>
      </c>
      <c r="AS118" s="19" t="b">
        <f t="shared" si="92"/>
        <v>1</v>
      </c>
      <c r="AT118" s="19" t="str">
        <f t="shared" si="93"/>
        <v/>
      </c>
      <c r="AU118" s="19" t="b">
        <f t="shared" si="94"/>
        <v>1</v>
      </c>
      <c r="AV118" s="140" t="str">
        <f t="shared" si="130"/>
        <v/>
      </c>
      <c r="AW118" s="19" t="str">
        <f t="shared" si="95"/>
        <v/>
      </c>
      <c r="AX118" s="81">
        <f t="shared" si="96"/>
        <v>0</v>
      </c>
      <c r="AY118" s="81" t="str">
        <f t="shared" si="97"/>
        <v/>
      </c>
      <c r="AZ118" s="307" t="str">
        <f t="shared" si="131"/>
        <v/>
      </c>
      <c r="BA118" s="281" t="str">
        <f t="shared" si="132"/>
        <v/>
      </c>
      <c r="BB118" s="281" t="str">
        <f t="shared" si="133"/>
        <v/>
      </c>
      <c r="BC118" s="953"/>
      <c r="BD118" s="955"/>
      <c r="BE118" s="219" t="str">
        <f t="shared" si="98"/>
        <v>n/a</v>
      </c>
      <c r="BF118" s="215" t="b">
        <f t="shared" si="99"/>
        <v>0</v>
      </c>
      <c r="BG118" s="145" t="b">
        <f t="shared" si="100"/>
        <v>0</v>
      </c>
      <c r="BH118" s="145" t="b">
        <f t="shared" si="101"/>
        <v>0</v>
      </c>
      <c r="BI118" s="216" t="b">
        <f t="shared" si="102"/>
        <v>0</v>
      </c>
      <c r="BJ118" s="215" t="b">
        <f t="shared" si="103"/>
        <v>0</v>
      </c>
      <c r="BK118" s="145" t="b">
        <f t="shared" si="104"/>
        <v>0</v>
      </c>
      <c r="BL118" s="216" t="b">
        <f t="shared" si="105"/>
        <v>0</v>
      </c>
      <c r="BM118" s="217" t="str">
        <f t="shared" si="134"/>
        <v/>
      </c>
      <c r="BN118" s="146" t="str">
        <f t="shared" si="135"/>
        <v/>
      </c>
      <c r="BO118" s="147" t="str">
        <f t="shared" si="136"/>
        <v/>
      </c>
      <c r="BP118" s="148" t="str">
        <f t="shared" si="137"/>
        <v/>
      </c>
      <c r="BT118" s="50">
        <f t="shared" si="78"/>
        <v>95</v>
      </c>
      <c r="BU118" s="50" t="str">
        <f t="shared" si="106"/>
        <v>-</v>
      </c>
      <c r="BW118" s="340"/>
      <c r="BX118" s="333"/>
      <c r="BY118" s="333"/>
      <c r="BZ118" s="333"/>
      <c r="CA118" s="333"/>
      <c r="CB118" s="333"/>
      <c r="CC118" s="333"/>
      <c r="CD118" s="333"/>
      <c r="CE118" s="333"/>
      <c r="CF118" s="333"/>
      <c r="CG118" s="354">
        <f t="shared" si="107"/>
        <v>95</v>
      </c>
      <c r="CH118" s="613">
        <f t="shared" si="108"/>
        <v>0</v>
      </c>
      <c r="CI118" s="613">
        <f t="shared" si="109"/>
        <v>0</v>
      </c>
      <c r="CJ118" s="614" t="str">
        <f t="shared" si="110"/>
        <v/>
      </c>
      <c r="CK118" s="615" t="str">
        <f t="shared" si="111"/>
        <v/>
      </c>
      <c r="CL118" s="610" t="str">
        <f>IF(ISBLANK(H118),"",IF(AND(ISNUMBER(F118),ISNUMBER(G118),ISNUMBER(H118)),ROUND(F118/(H118*G118),2),ROUND(F118/(VALUE(LEFT(H118,SUM(LEN(H118)-LEN(SUBSTITUTE(H118,{"0","1","2","3","4","5","6","7","8","9","."},"")))))*G118),2)))</f>
        <v/>
      </c>
      <c r="CM118" s="616" t="str">
        <f t="shared" si="138"/>
        <v/>
      </c>
      <c r="CN118" s="616" t="str">
        <f>IF(ISNUMBER(P118),MAX('Adjustment factors'!$S$16,(0.2+0.8*P118)),IF(ISTEXT(N118),VLOOKUP(N118,Afactors,2,FALSE),""))</f>
        <v/>
      </c>
      <c r="CO118" s="616" t="str">
        <f>IF(ISNUMBER(S118),MAX('Adjustment factors'!$S$16,0.2+0.8*S118),IF(ISTEXT(Q118),VLOOKUP(Q118,Afactors,2,FALSE),""))</f>
        <v/>
      </c>
      <c r="CP118" s="611" t="str">
        <f t="shared" si="139"/>
        <v/>
      </c>
      <c r="CQ118" s="612" t="str">
        <f t="shared" si="140"/>
        <v/>
      </c>
      <c r="CR118" s="340"/>
      <c r="CS118" s="340"/>
      <c r="CT118" s="340"/>
      <c r="CU118" s="340"/>
      <c r="CV118" s="333"/>
      <c r="CW118" s="333"/>
      <c r="CX118" s="333"/>
      <c r="CY118" s="333"/>
      <c r="DA118" s="313" t="str">
        <f t="shared" si="112"/>
        <v>OK</v>
      </c>
      <c r="DB118" s="313" t="str">
        <f t="shared" si="113"/>
        <v>OK</v>
      </c>
      <c r="DC118" s="313" t="str">
        <f t="shared" si="114"/>
        <v>OK</v>
      </c>
      <c r="DD118" s="313" t="str">
        <f t="shared" si="115"/>
        <v>OK</v>
      </c>
      <c r="DE118" s="153" t="str">
        <f t="shared" si="116"/>
        <v>OK</v>
      </c>
      <c r="DF118" s="314" t="str">
        <f t="shared" si="117"/>
        <v>OK</v>
      </c>
      <c r="DG118" s="482" t="str">
        <f t="shared" si="141"/>
        <v>OK</v>
      </c>
      <c r="DH118" s="482" t="str">
        <f>IF(OR(AND(T118='Adjustment factors'!$R$28,'Class 3, 5-9'!U118='Adjustment factors'!$R$29),AND('Class 3, 5-9'!T118='Adjustment factors'!$R$29,'Class 3, 5-9'!U118='Adjustment factors'!$R$28)),"Invalid combination of adjustment factors",IF(AND(T118=U118,NOT(ISBLANK(T118)),NOT(ISBLANK(U118))),"Same colour factor selected twice","OK"))</f>
        <v>OK</v>
      </c>
      <c r="DI118" s="313" t="str">
        <f t="shared" si="118"/>
        <v>OK</v>
      </c>
      <c r="DJ118" s="153" t="str">
        <f t="shared" si="142"/>
        <v>OK</v>
      </c>
      <c r="DK118" s="153" t="str">
        <f t="shared" si="119"/>
        <v>OK</v>
      </c>
      <c r="DL118" s="313" t="str">
        <f t="shared" si="120"/>
        <v>OK</v>
      </c>
      <c r="DM118" s="153" t="str">
        <f t="shared" si="121"/>
        <v>OK</v>
      </c>
      <c r="DN118" s="153" t="str">
        <f t="shared" si="143"/>
        <v>OK</v>
      </c>
      <c r="DO118" s="154" t="str">
        <f t="shared" si="144"/>
        <v>OK</v>
      </c>
      <c r="DP118" s="153" t="str">
        <f t="shared" si="122"/>
        <v>OK</v>
      </c>
      <c r="DQ118" s="313" t="str">
        <f t="shared" si="123"/>
        <v>OK</v>
      </c>
      <c r="DR118" s="153" t="str">
        <f t="shared" si="145"/>
        <v>OK</v>
      </c>
      <c r="DS118" s="153" t="str">
        <f t="shared" si="124"/>
        <v>OK</v>
      </c>
      <c r="DT118" s="313" t="str">
        <f t="shared" si="151"/>
        <v>OK</v>
      </c>
      <c r="DU118" s="153" t="str">
        <f t="shared" si="125"/>
        <v>OK</v>
      </c>
      <c r="DV118" s="153" t="str">
        <f t="shared" si="146"/>
        <v>OK</v>
      </c>
      <c r="DW118" s="154" t="str">
        <f t="shared" si="147"/>
        <v>OK</v>
      </c>
      <c r="DX118" s="157">
        <f t="shared" si="148"/>
        <v>0</v>
      </c>
      <c r="DY118" s="156" t="str">
        <f t="shared" si="149"/>
        <v>OK</v>
      </c>
    </row>
    <row r="119" spans="1:129" ht="13" hidden="1" x14ac:dyDescent="0.3">
      <c r="A119" s="333"/>
      <c r="B119" s="340"/>
      <c r="C119" s="332" t="str">
        <f t="shared" si="126"/>
        <v>-</v>
      </c>
      <c r="D119" s="584">
        <f t="shared" si="77"/>
        <v>96</v>
      </c>
      <c r="E119" s="585"/>
      <c r="F119" s="586"/>
      <c r="G119" s="600"/>
      <c r="H119" s="587"/>
      <c r="I119" s="601"/>
      <c r="J119" s="585"/>
      <c r="K119" s="617"/>
      <c r="L119" s="602"/>
      <c r="M119" s="603"/>
      <c r="N119" s="588"/>
      <c r="O119" s="604"/>
      <c r="P119" s="605"/>
      <c r="Q119" s="588"/>
      <c r="R119" s="604"/>
      <c r="S119" s="605"/>
      <c r="T119" s="606"/>
      <c r="U119" s="606"/>
      <c r="V119" s="429" t="str">
        <f t="shared" si="80"/>
        <v/>
      </c>
      <c r="W119" s="430" t="str">
        <f t="shared" si="80"/>
        <v/>
      </c>
      <c r="X119" s="66" t="str">
        <f>IF(AND(ISNUMBER(P119),N119=FixedDim),MAX('Adjustment factors'!$S$16,0.2+0.8*P119),IF(ISTEXT(N119),VLOOKUP(N119,Afactors,2,TRUE),""))</f>
        <v/>
      </c>
      <c r="Y119" s="17" t="str">
        <f>IF(AND(ISNUMBER(S119),Q119=FixedDim),MAX('Adjustment factors'!$S$16,0.2+0.8*S119),IF(ISTEXT(Q119),VLOOKUP(Q119,Afactors,2,TRUE),""))</f>
        <v/>
      </c>
      <c r="Z119" s="297" t="str">
        <f>IF(ISBLANK(T119),"",VLOOKUP(T119,'Adjustment factors'!$R$27:$S$30,2,TRUE))</f>
        <v/>
      </c>
      <c r="AA119" s="297" t="str">
        <f>IF(ISBLANK(U119),"",VLOOKUP(U119,'Adjustment factors'!$R$27:$S$30,2,TRUE))</f>
        <v/>
      </c>
      <c r="AB119" s="480">
        <f t="shared" si="127"/>
        <v>1</v>
      </c>
      <c r="AC119" s="18" t="b">
        <f t="shared" si="81"/>
        <v>0</v>
      </c>
      <c r="AD119" s="18" t="b">
        <f t="shared" si="82"/>
        <v>0</v>
      </c>
      <c r="AE119" s="18" t="b">
        <f t="shared" si="128"/>
        <v>0</v>
      </c>
      <c r="AF119" s="17" t="str">
        <f t="shared" si="83"/>
        <v/>
      </c>
      <c r="AG119" s="18" t="str">
        <f t="shared" si="84"/>
        <v/>
      </c>
      <c r="AH119" s="17" t="str">
        <f t="shared" si="85"/>
        <v/>
      </c>
      <c r="AI119" s="297" t="e">
        <f t="shared" si="129"/>
        <v>#VALUE!</v>
      </c>
      <c r="AJ119" s="79" t="e">
        <f t="shared" si="86"/>
        <v>#VALUE!</v>
      </c>
      <c r="AK119" s="17" t="str">
        <f t="shared" si="150"/>
        <v/>
      </c>
      <c r="AL119" s="80" t="e">
        <f t="shared" si="87"/>
        <v>#VALUE!</v>
      </c>
      <c r="AM119" s="139" t="b">
        <f t="shared" si="88"/>
        <v>1</v>
      </c>
      <c r="AN119" s="139" t="b">
        <f>AND(COUNTA(E119)&gt;0,ISNUMBER(F119),OR(COUNT(G119:H119)=0,COUNT(G119:H119)=2,AND(ISNUMBER(G119),ISNUMBER(VALUE(LEFT(H119,SUM(LEN(H119)-LEN(SUBSTITUTE(H119,{"0","1","2","3","4","5","6","7","8","9","."},"")))))))),ISNUMBER(I119),ISTEXT(J119))</f>
        <v>0</v>
      </c>
      <c r="AO119" s="19" t="b">
        <f t="shared" si="89"/>
        <v>0</v>
      </c>
      <c r="AP119" s="19" t="b">
        <f t="shared" si="90"/>
        <v>1</v>
      </c>
      <c r="AQ119" s="19" t="b">
        <f>IF(AND(COUNTBLANK(E119:J119)=6,OR(AN120:AN$523)),NOT(AN119))</f>
        <v>0</v>
      </c>
      <c r="AR119" s="19" t="str">
        <f t="shared" si="91"/>
        <v/>
      </c>
      <c r="AS119" s="19" t="b">
        <f t="shared" si="92"/>
        <v>1</v>
      </c>
      <c r="AT119" s="19" t="str">
        <f t="shared" si="93"/>
        <v/>
      </c>
      <c r="AU119" s="19" t="b">
        <f t="shared" si="94"/>
        <v>1</v>
      </c>
      <c r="AV119" s="140" t="str">
        <f t="shared" si="130"/>
        <v/>
      </c>
      <c r="AW119" s="19" t="str">
        <f t="shared" si="95"/>
        <v/>
      </c>
      <c r="AX119" s="81">
        <f t="shared" si="96"/>
        <v>0</v>
      </c>
      <c r="AY119" s="81" t="str">
        <f t="shared" si="97"/>
        <v/>
      </c>
      <c r="AZ119" s="307" t="str">
        <f t="shared" si="131"/>
        <v/>
      </c>
      <c r="BA119" s="281" t="str">
        <f t="shared" si="132"/>
        <v/>
      </c>
      <c r="BB119" s="281" t="str">
        <f t="shared" si="133"/>
        <v/>
      </c>
      <c r="BC119" s="953"/>
      <c r="BD119" s="955"/>
      <c r="BE119" s="219" t="str">
        <f t="shared" si="98"/>
        <v>n/a</v>
      </c>
      <c r="BF119" s="215" t="b">
        <f t="shared" si="99"/>
        <v>0</v>
      </c>
      <c r="BG119" s="145" t="b">
        <f t="shared" si="100"/>
        <v>0</v>
      </c>
      <c r="BH119" s="145" t="b">
        <f t="shared" si="101"/>
        <v>0</v>
      </c>
      <c r="BI119" s="216" t="b">
        <f t="shared" si="102"/>
        <v>0</v>
      </c>
      <c r="BJ119" s="215" t="b">
        <f t="shared" si="103"/>
        <v>0</v>
      </c>
      <c r="BK119" s="145" t="b">
        <f t="shared" si="104"/>
        <v>0</v>
      </c>
      <c r="BL119" s="216" t="b">
        <f t="shared" si="105"/>
        <v>0</v>
      </c>
      <c r="BM119" s="217" t="str">
        <f t="shared" si="134"/>
        <v/>
      </c>
      <c r="BN119" s="146" t="str">
        <f t="shared" si="135"/>
        <v/>
      </c>
      <c r="BO119" s="147" t="str">
        <f t="shared" si="136"/>
        <v/>
      </c>
      <c r="BP119" s="148" t="str">
        <f t="shared" si="137"/>
        <v/>
      </c>
      <c r="BT119" s="50">
        <f t="shared" si="78"/>
        <v>96</v>
      </c>
      <c r="BU119" s="50" t="str">
        <f t="shared" si="106"/>
        <v>-</v>
      </c>
      <c r="BW119" s="340"/>
      <c r="BX119" s="333"/>
      <c r="BY119" s="333"/>
      <c r="BZ119" s="333"/>
      <c r="CA119" s="333"/>
      <c r="CB119" s="333"/>
      <c r="CC119" s="333"/>
      <c r="CD119" s="333"/>
      <c r="CE119" s="333"/>
      <c r="CF119" s="333"/>
      <c r="CG119" s="354">
        <f t="shared" si="107"/>
        <v>96</v>
      </c>
      <c r="CH119" s="613">
        <f t="shared" si="108"/>
        <v>0</v>
      </c>
      <c r="CI119" s="613">
        <f t="shared" si="109"/>
        <v>0</v>
      </c>
      <c r="CJ119" s="614" t="str">
        <f t="shared" si="110"/>
        <v/>
      </c>
      <c r="CK119" s="615" t="str">
        <f t="shared" si="111"/>
        <v/>
      </c>
      <c r="CL119" s="610" t="str">
        <f>IF(ISBLANK(H119),"",IF(AND(ISNUMBER(F119),ISNUMBER(G119),ISNUMBER(H119)),ROUND(F119/(H119*G119),2),ROUND(F119/(VALUE(LEFT(H119,SUM(LEN(H119)-LEN(SUBSTITUTE(H119,{"0","1","2","3","4","5","6","7","8","9","."},"")))))*G119),2)))</f>
        <v/>
      </c>
      <c r="CM119" s="616" t="str">
        <f t="shared" si="138"/>
        <v/>
      </c>
      <c r="CN119" s="616" t="str">
        <f>IF(ISNUMBER(P119),MAX('Adjustment factors'!$S$16,(0.2+0.8*P119)),IF(ISTEXT(N119),VLOOKUP(N119,Afactors,2,FALSE),""))</f>
        <v/>
      </c>
      <c r="CO119" s="616" t="str">
        <f>IF(ISNUMBER(S119),MAX('Adjustment factors'!$S$16,0.2+0.8*S119),IF(ISTEXT(Q119),VLOOKUP(Q119,Afactors,2,FALSE),""))</f>
        <v/>
      </c>
      <c r="CP119" s="611" t="str">
        <f t="shared" si="139"/>
        <v/>
      </c>
      <c r="CQ119" s="612" t="str">
        <f t="shared" si="140"/>
        <v/>
      </c>
      <c r="CR119" s="340"/>
      <c r="CS119" s="340"/>
      <c r="CT119" s="340"/>
      <c r="CU119" s="340"/>
      <c r="CV119" s="333"/>
      <c r="CW119" s="333"/>
      <c r="CX119" s="333"/>
      <c r="CY119" s="333"/>
      <c r="DA119" s="313" t="str">
        <f t="shared" si="112"/>
        <v>OK</v>
      </c>
      <c r="DB119" s="313" t="str">
        <f t="shared" si="113"/>
        <v>OK</v>
      </c>
      <c r="DC119" s="313" t="str">
        <f t="shared" si="114"/>
        <v>OK</v>
      </c>
      <c r="DD119" s="313" t="str">
        <f t="shared" si="115"/>
        <v>OK</v>
      </c>
      <c r="DE119" s="153" t="str">
        <f t="shared" si="116"/>
        <v>OK</v>
      </c>
      <c r="DF119" s="314" t="str">
        <f t="shared" si="117"/>
        <v>OK</v>
      </c>
      <c r="DG119" s="482" t="str">
        <f t="shared" si="141"/>
        <v>OK</v>
      </c>
      <c r="DH119" s="482" t="str">
        <f>IF(OR(AND(T119='Adjustment factors'!$R$28,'Class 3, 5-9'!U119='Adjustment factors'!$R$29),AND('Class 3, 5-9'!T119='Adjustment factors'!$R$29,'Class 3, 5-9'!U119='Adjustment factors'!$R$28)),"Invalid combination of adjustment factors",IF(AND(T119=U119,NOT(ISBLANK(T119)),NOT(ISBLANK(U119))),"Same colour factor selected twice","OK"))</f>
        <v>OK</v>
      </c>
      <c r="DI119" s="313" t="str">
        <f t="shared" si="118"/>
        <v>OK</v>
      </c>
      <c r="DJ119" s="153" t="str">
        <f t="shared" si="142"/>
        <v>OK</v>
      </c>
      <c r="DK119" s="153" t="str">
        <f t="shared" si="119"/>
        <v>OK</v>
      </c>
      <c r="DL119" s="313" t="str">
        <f t="shared" si="120"/>
        <v>OK</v>
      </c>
      <c r="DM119" s="153" t="str">
        <f t="shared" si="121"/>
        <v>OK</v>
      </c>
      <c r="DN119" s="153" t="str">
        <f t="shared" si="143"/>
        <v>OK</v>
      </c>
      <c r="DO119" s="154" t="str">
        <f t="shared" si="144"/>
        <v>OK</v>
      </c>
      <c r="DP119" s="153" t="str">
        <f t="shared" si="122"/>
        <v>OK</v>
      </c>
      <c r="DQ119" s="313" t="str">
        <f t="shared" si="123"/>
        <v>OK</v>
      </c>
      <c r="DR119" s="153" t="str">
        <f t="shared" si="145"/>
        <v>OK</v>
      </c>
      <c r="DS119" s="153" t="str">
        <f t="shared" si="124"/>
        <v>OK</v>
      </c>
      <c r="DT119" s="313" t="str">
        <f t="shared" si="151"/>
        <v>OK</v>
      </c>
      <c r="DU119" s="153" t="str">
        <f t="shared" si="125"/>
        <v>OK</v>
      </c>
      <c r="DV119" s="153" t="str">
        <f t="shared" si="146"/>
        <v>OK</v>
      </c>
      <c r="DW119" s="154" t="str">
        <f t="shared" si="147"/>
        <v>OK</v>
      </c>
      <c r="DX119" s="157">
        <f t="shared" si="148"/>
        <v>0</v>
      </c>
      <c r="DY119" s="156" t="str">
        <f t="shared" si="149"/>
        <v>OK</v>
      </c>
    </row>
    <row r="120" spans="1:129" ht="13" hidden="1" x14ac:dyDescent="0.3">
      <c r="A120" s="333"/>
      <c r="B120" s="340"/>
      <c r="C120" s="332" t="str">
        <f t="shared" si="126"/>
        <v>-</v>
      </c>
      <c r="D120" s="584">
        <f t="shared" si="77"/>
        <v>97</v>
      </c>
      <c r="E120" s="585"/>
      <c r="F120" s="586"/>
      <c r="G120" s="600"/>
      <c r="H120" s="587"/>
      <c r="I120" s="601"/>
      <c r="J120" s="585"/>
      <c r="K120" s="617"/>
      <c r="L120" s="602"/>
      <c r="M120" s="603"/>
      <c r="N120" s="588"/>
      <c r="O120" s="604"/>
      <c r="P120" s="605"/>
      <c r="Q120" s="588"/>
      <c r="R120" s="604"/>
      <c r="S120" s="605"/>
      <c r="T120" s="606"/>
      <c r="U120" s="606"/>
      <c r="V120" s="429" t="str">
        <f t="shared" si="80"/>
        <v/>
      </c>
      <c r="W120" s="430" t="str">
        <f t="shared" si="80"/>
        <v/>
      </c>
      <c r="X120" s="66" t="str">
        <f>IF(AND(ISNUMBER(P120),N120=FixedDim),MAX('Adjustment factors'!$S$16,0.2+0.8*P120),IF(ISTEXT(N120),VLOOKUP(N120,Afactors,2,TRUE),""))</f>
        <v/>
      </c>
      <c r="Y120" s="17" t="str">
        <f>IF(AND(ISNUMBER(S120),Q120=FixedDim),MAX('Adjustment factors'!$S$16,0.2+0.8*S120),IF(ISTEXT(Q120),VLOOKUP(Q120,Afactors,2,TRUE),""))</f>
        <v/>
      </c>
      <c r="Z120" s="297" t="str">
        <f>IF(ISBLANK(T120),"",VLOOKUP(T120,'Adjustment factors'!$R$27:$S$30,2,TRUE))</f>
        <v/>
      </c>
      <c r="AA120" s="297" t="str">
        <f>IF(ISBLANK(U120),"",VLOOKUP(U120,'Adjustment factors'!$R$27:$S$30,2,TRUE))</f>
        <v/>
      </c>
      <c r="AB120" s="480">
        <f t="shared" si="127"/>
        <v>1</v>
      </c>
      <c r="AC120" s="18" t="b">
        <f t="shared" si="81"/>
        <v>0</v>
      </c>
      <c r="AD120" s="18" t="b">
        <f t="shared" si="82"/>
        <v>0</v>
      </c>
      <c r="AE120" s="18" t="b">
        <f t="shared" si="128"/>
        <v>0</v>
      </c>
      <c r="AF120" s="17" t="str">
        <f t="shared" si="83"/>
        <v/>
      </c>
      <c r="AG120" s="18" t="str">
        <f t="shared" si="84"/>
        <v/>
      </c>
      <c r="AH120" s="17" t="str">
        <f t="shared" si="85"/>
        <v/>
      </c>
      <c r="AI120" s="297" t="e">
        <f t="shared" si="129"/>
        <v>#VALUE!</v>
      </c>
      <c r="AJ120" s="79" t="e">
        <f t="shared" si="86"/>
        <v>#VALUE!</v>
      </c>
      <c r="AK120" s="17" t="str">
        <f t="shared" si="150"/>
        <v/>
      </c>
      <c r="AL120" s="80" t="e">
        <f t="shared" si="87"/>
        <v>#VALUE!</v>
      </c>
      <c r="AM120" s="139" t="b">
        <f t="shared" si="88"/>
        <v>1</v>
      </c>
      <c r="AN120" s="139" t="b">
        <f>AND(COUNTA(E120)&gt;0,ISNUMBER(F120),OR(COUNT(G120:H120)=0,COUNT(G120:H120)=2,AND(ISNUMBER(G120),ISNUMBER(VALUE(LEFT(H120,SUM(LEN(H120)-LEN(SUBSTITUTE(H120,{"0","1","2","3","4","5","6","7","8","9","."},"")))))))),ISNUMBER(I120),ISTEXT(J120))</f>
        <v>0</v>
      </c>
      <c r="AO120" s="19" t="b">
        <f t="shared" si="89"/>
        <v>0</v>
      </c>
      <c r="AP120" s="19" t="b">
        <f t="shared" si="90"/>
        <v>1</v>
      </c>
      <c r="AQ120" s="19" t="b">
        <f>IF(AND(COUNTBLANK(E120:J120)=6,OR(AN121:AN$523)),NOT(AN120))</f>
        <v>0</v>
      </c>
      <c r="AR120" s="19" t="str">
        <f t="shared" si="91"/>
        <v/>
      </c>
      <c r="AS120" s="19" t="b">
        <f t="shared" si="92"/>
        <v>1</v>
      </c>
      <c r="AT120" s="19" t="str">
        <f t="shared" si="93"/>
        <v/>
      </c>
      <c r="AU120" s="19" t="b">
        <f t="shared" si="94"/>
        <v>1</v>
      </c>
      <c r="AV120" s="140" t="str">
        <f t="shared" si="130"/>
        <v/>
      </c>
      <c r="AW120" s="19" t="str">
        <f t="shared" si="95"/>
        <v/>
      </c>
      <c r="AX120" s="81">
        <f t="shared" si="96"/>
        <v>0</v>
      </c>
      <c r="AY120" s="81" t="str">
        <f t="shared" si="97"/>
        <v/>
      </c>
      <c r="AZ120" s="307" t="str">
        <f t="shared" si="131"/>
        <v/>
      </c>
      <c r="BA120" s="281" t="str">
        <f t="shared" si="132"/>
        <v/>
      </c>
      <c r="BB120" s="281" t="str">
        <f t="shared" si="133"/>
        <v/>
      </c>
      <c r="BC120" s="953"/>
      <c r="BD120" s="955"/>
      <c r="BE120" s="219" t="str">
        <f t="shared" si="98"/>
        <v>n/a</v>
      </c>
      <c r="BF120" s="215" t="b">
        <f t="shared" si="99"/>
        <v>0</v>
      </c>
      <c r="BG120" s="145" t="b">
        <f t="shared" si="100"/>
        <v>0</v>
      </c>
      <c r="BH120" s="145" t="b">
        <f t="shared" si="101"/>
        <v>0</v>
      </c>
      <c r="BI120" s="216" t="b">
        <f t="shared" si="102"/>
        <v>0</v>
      </c>
      <c r="BJ120" s="215" t="b">
        <f t="shared" si="103"/>
        <v>0</v>
      </c>
      <c r="BK120" s="145" t="b">
        <f t="shared" si="104"/>
        <v>0</v>
      </c>
      <c r="BL120" s="216" t="b">
        <f t="shared" si="105"/>
        <v>0</v>
      </c>
      <c r="BM120" s="217" t="str">
        <f t="shared" si="134"/>
        <v/>
      </c>
      <c r="BN120" s="146" t="str">
        <f t="shared" si="135"/>
        <v/>
      </c>
      <c r="BO120" s="147" t="str">
        <f t="shared" si="136"/>
        <v/>
      </c>
      <c r="BP120" s="148" t="str">
        <f t="shared" si="137"/>
        <v/>
      </c>
      <c r="BT120" s="50">
        <f t="shared" si="78"/>
        <v>97</v>
      </c>
      <c r="BU120" s="50" t="str">
        <f t="shared" si="106"/>
        <v>-</v>
      </c>
      <c r="BW120" s="340"/>
      <c r="BX120" s="333"/>
      <c r="BY120" s="333"/>
      <c r="BZ120" s="333"/>
      <c r="CA120" s="333"/>
      <c r="CB120" s="333"/>
      <c r="CC120" s="333"/>
      <c r="CD120" s="333"/>
      <c r="CE120" s="333"/>
      <c r="CF120" s="333"/>
      <c r="CG120" s="354">
        <f t="shared" si="107"/>
        <v>97</v>
      </c>
      <c r="CH120" s="613">
        <f t="shared" si="108"/>
        <v>0</v>
      </c>
      <c r="CI120" s="613">
        <f t="shared" si="109"/>
        <v>0</v>
      </c>
      <c r="CJ120" s="614" t="str">
        <f t="shared" si="110"/>
        <v/>
      </c>
      <c r="CK120" s="615" t="str">
        <f t="shared" si="111"/>
        <v/>
      </c>
      <c r="CL120" s="610" t="str">
        <f>IF(ISBLANK(H120),"",IF(AND(ISNUMBER(F120),ISNUMBER(G120),ISNUMBER(H120)),ROUND(F120/(H120*G120),2),ROUND(F120/(VALUE(LEFT(H120,SUM(LEN(H120)-LEN(SUBSTITUTE(H120,{"0","1","2","3","4","5","6","7","8","9","."},"")))))*G120),2)))</f>
        <v/>
      </c>
      <c r="CM120" s="616" t="str">
        <f t="shared" si="138"/>
        <v/>
      </c>
      <c r="CN120" s="616" t="str">
        <f>IF(ISNUMBER(P120),MAX('Adjustment factors'!$S$16,(0.2+0.8*P120)),IF(ISTEXT(N120),VLOOKUP(N120,Afactors,2,FALSE),""))</f>
        <v/>
      </c>
      <c r="CO120" s="616" t="str">
        <f>IF(ISNUMBER(S120),MAX('Adjustment factors'!$S$16,0.2+0.8*S120),IF(ISTEXT(Q120),VLOOKUP(Q120,Afactors,2,FALSE),""))</f>
        <v/>
      </c>
      <c r="CP120" s="611" t="str">
        <f t="shared" si="139"/>
        <v/>
      </c>
      <c r="CQ120" s="612" t="str">
        <f t="shared" si="140"/>
        <v/>
      </c>
      <c r="CR120" s="340"/>
      <c r="CS120" s="340"/>
      <c r="CT120" s="340"/>
      <c r="CU120" s="340"/>
      <c r="CV120" s="333"/>
      <c r="CW120" s="333"/>
      <c r="CX120" s="333"/>
      <c r="CY120" s="333"/>
      <c r="DA120" s="313" t="str">
        <f t="shared" si="112"/>
        <v>OK</v>
      </c>
      <c r="DB120" s="313" t="str">
        <f t="shared" si="113"/>
        <v>OK</v>
      </c>
      <c r="DC120" s="313" t="str">
        <f t="shared" si="114"/>
        <v>OK</v>
      </c>
      <c r="DD120" s="313" t="str">
        <f t="shared" si="115"/>
        <v>OK</v>
      </c>
      <c r="DE120" s="153" t="str">
        <f t="shared" si="116"/>
        <v>OK</v>
      </c>
      <c r="DF120" s="314" t="str">
        <f t="shared" si="117"/>
        <v>OK</v>
      </c>
      <c r="DG120" s="482" t="str">
        <f t="shared" si="141"/>
        <v>OK</v>
      </c>
      <c r="DH120" s="482" t="str">
        <f>IF(OR(AND(T120='Adjustment factors'!$R$28,'Class 3, 5-9'!U120='Adjustment factors'!$R$29),AND('Class 3, 5-9'!T120='Adjustment factors'!$R$29,'Class 3, 5-9'!U120='Adjustment factors'!$R$28)),"Invalid combination of adjustment factors",IF(AND(T120=U120,NOT(ISBLANK(T120)),NOT(ISBLANK(U120))),"Same colour factor selected twice","OK"))</f>
        <v>OK</v>
      </c>
      <c r="DI120" s="313" t="str">
        <f t="shared" si="118"/>
        <v>OK</v>
      </c>
      <c r="DJ120" s="153" t="str">
        <f t="shared" si="142"/>
        <v>OK</v>
      </c>
      <c r="DK120" s="153" t="str">
        <f t="shared" si="119"/>
        <v>OK</v>
      </c>
      <c r="DL120" s="313" t="str">
        <f t="shared" si="120"/>
        <v>OK</v>
      </c>
      <c r="DM120" s="153" t="str">
        <f t="shared" si="121"/>
        <v>OK</v>
      </c>
      <c r="DN120" s="153" t="str">
        <f t="shared" si="143"/>
        <v>OK</v>
      </c>
      <c r="DO120" s="154" t="str">
        <f t="shared" si="144"/>
        <v>OK</v>
      </c>
      <c r="DP120" s="153" t="str">
        <f t="shared" si="122"/>
        <v>OK</v>
      </c>
      <c r="DQ120" s="313" t="str">
        <f t="shared" si="123"/>
        <v>OK</v>
      </c>
      <c r="DR120" s="153" t="str">
        <f t="shared" si="145"/>
        <v>OK</v>
      </c>
      <c r="DS120" s="153" t="str">
        <f t="shared" si="124"/>
        <v>OK</v>
      </c>
      <c r="DT120" s="313" t="str">
        <f t="shared" si="151"/>
        <v>OK</v>
      </c>
      <c r="DU120" s="153" t="str">
        <f t="shared" si="125"/>
        <v>OK</v>
      </c>
      <c r="DV120" s="153" t="str">
        <f t="shared" si="146"/>
        <v>OK</v>
      </c>
      <c r="DW120" s="154" t="str">
        <f t="shared" si="147"/>
        <v>OK</v>
      </c>
      <c r="DX120" s="157">
        <f t="shared" si="148"/>
        <v>0</v>
      </c>
      <c r="DY120" s="156" t="str">
        <f t="shared" si="149"/>
        <v>OK</v>
      </c>
    </row>
    <row r="121" spans="1:129" ht="13" hidden="1" x14ac:dyDescent="0.3">
      <c r="A121" s="340"/>
      <c r="B121" s="340"/>
      <c r="C121" s="332" t="str">
        <f t="shared" si="126"/>
        <v>-</v>
      </c>
      <c r="D121" s="584">
        <f t="shared" si="77"/>
        <v>98</v>
      </c>
      <c r="E121" s="585"/>
      <c r="F121" s="586"/>
      <c r="G121" s="600"/>
      <c r="H121" s="587"/>
      <c r="I121" s="601"/>
      <c r="J121" s="585"/>
      <c r="K121" s="617"/>
      <c r="L121" s="602"/>
      <c r="M121" s="603"/>
      <c r="N121" s="588"/>
      <c r="O121" s="604"/>
      <c r="P121" s="605"/>
      <c r="Q121" s="588"/>
      <c r="R121" s="604"/>
      <c r="S121" s="605"/>
      <c r="T121" s="606"/>
      <c r="U121" s="606"/>
      <c r="V121" s="429" t="str">
        <f t="shared" si="80"/>
        <v/>
      </c>
      <c r="W121" s="430" t="str">
        <f t="shared" si="80"/>
        <v/>
      </c>
      <c r="X121" s="66" t="str">
        <f>IF(AND(ISNUMBER(P121),N121=FixedDim),MAX('Adjustment factors'!$S$16,0.2+0.8*P121),IF(ISTEXT(N121),VLOOKUP(N121,Afactors,2,TRUE),""))</f>
        <v/>
      </c>
      <c r="Y121" s="17" t="str">
        <f>IF(AND(ISNUMBER(S121),Q121=FixedDim),MAX('Adjustment factors'!$S$16,0.2+0.8*S121),IF(ISTEXT(Q121),VLOOKUP(Q121,Afactors,2,TRUE),""))</f>
        <v/>
      </c>
      <c r="Z121" s="297" t="str">
        <f>IF(ISBLANK(T121),"",VLOOKUP(T121,'Adjustment factors'!$R$27:$S$30,2,TRUE))</f>
        <v/>
      </c>
      <c r="AA121" s="297" t="str">
        <f>IF(ISBLANK(U121),"",VLOOKUP(U121,'Adjustment factors'!$R$27:$S$30,2,TRUE))</f>
        <v/>
      </c>
      <c r="AB121" s="480">
        <f t="shared" si="127"/>
        <v>1</v>
      </c>
      <c r="AC121" s="18" t="b">
        <f t="shared" si="81"/>
        <v>0</v>
      </c>
      <c r="AD121" s="18" t="b">
        <f t="shared" si="82"/>
        <v>0</v>
      </c>
      <c r="AE121" s="18" t="b">
        <f t="shared" si="128"/>
        <v>0</v>
      </c>
      <c r="AF121" s="17" t="str">
        <f t="shared" si="83"/>
        <v/>
      </c>
      <c r="AG121" s="18" t="str">
        <f t="shared" si="84"/>
        <v/>
      </c>
      <c r="AH121" s="17" t="str">
        <f t="shared" si="85"/>
        <v/>
      </c>
      <c r="AI121" s="297" t="e">
        <f t="shared" si="129"/>
        <v>#VALUE!</v>
      </c>
      <c r="AJ121" s="79" t="e">
        <f t="shared" si="86"/>
        <v>#VALUE!</v>
      </c>
      <c r="AK121" s="17" t="str">
        <f t="shared" si="150"/>
        <v/>
      </c>
      <c r="AL121" s="80" t="e">
        <f t="shared" si="87"/>
        <v>#VALUE!</v>
      </c>
      <c r="AM121" s="139" t="b">
        <f t="shared" si="88"/>
        <v>1</v>
      </c>
      <c r="AN121" s="139" t="b">
        <f>AND(COUNTA(E121)&gt;0,ISNUMBER(F121),OR(COUNT(G121:H121)=0,COUNT(G121:H121)=2,AND(ISNUMBER(G121),ISNUMBER(VALUE(LEFT(H121,SUM(LEN(H121)-LEN(SUBSTITUTE(H121,{"0","1","2","3","4","5","6","7","8","9","."},"")))))))),ISNUMBER(I121),ISTEXT(J121))</f>
        <v>0</v>
      </c>
      <c r="AO121" s="19" t="b">
        <f t="shared" si="89"/>
        <v>0</v>
      </c>
      <c r="AP121" s="19" t="b">
        <f t="shared" si="90"/>
        <v>1</v>
      </c>
      <c r="AQ121" s="19" t="b">
        <f>IF(AND(COUNTBLANK(E121:J121)=6,OR(AN122:AN$523)),NOT(AN121))</f>
        <v>0</v>
      </c>
      <c r="AR121" s="19" t="str">
        <f t="shared" si="91"/>
        <v/>
      </c>
      <c r="AS121" s="19" t="b">
        <f t="shared" si="92"/>
        <v>1</v>
      </c>
      <c r="AT121" s="19" t="str">
        <f t="shared" si="93"/>
        <v/>
      </c>
      <c r="AU121" s="19" t="b">
        <f t="shared" si="94"/>
        <v>1</v>
      </c>
      <c r="AV121" s="140" t="str">
        <f t="shared" si="130"/>
        <v/>
      </c>
      <c r="AW121" s="19" t="str">
        <f t="shared" si="95"/>
        <v/>
      </c>
      <c r="AX121" s="81">
        <f t="shared" si="96"/>
        <v>0</v>
      </c>
      <c r="AY121" s="81" t="str">
        <f t="shared" si="97"/>
        <v/>
      </c>
      <c r="AZ121" s="307" t="str">
        <f t="shared" si="131"/>
        <v/>
      </c>
      <c r="BA121" s="281" t="str">
        <f t="shared" si="132"/>
        <v/>
      </c>
      <c r="BB121" s="281" t="str">
        <f t="shared" si="133"/>
        <v/>
      </c>
      <c r="BC121" s="953"/>
      <c r="BD121" s="955"/>
      <c r="BE121" s="219" t="str">
        <f t="shared" si="98"/>
        <v>n/a</v>
      </c>
      <c r="BF121" s="215" t="b">
        <f t="shared" si="99"/>
        <v>0</v>
      </c>
      <c r="BG121" s="145" t="b">
        <f t="shared" si="100"/>
        <v>0</v>
      </c>
      <c r="BH121" s="145" t="b">
        <f t="shared" si="101"/>
        <v>0</v>
      </c>
      <c r="BI121" s="216" t="b">
        <f t="shared" si="102"/>
        <v>0</v>
      </c>
      <c r="BJ121" s="215" t="b">
        <f t="shared" si="103"/>
        <v>0</v>
      </c>
      <c r="BK121" s="145" t="b">
        <f t="shared" si="104"/>
        <v>0</v>
      </c>
      <c r="BL121" s="216" t="b">
        <f t="shared" si="105"/>
        <v>0</v>
      </c>
      <c r="BM121" s="217" t="str">
        <f t="shared" si="134"/>
        <v/>
      </c>
      <c r="BN121" s="146" t="str">
        <f t="shared" si="135"/>
        <v/>
      </c>
      <c r="BO121" s="147" t="str">
        <f t="shared" si="136"/>
        <v/>
      </c>
      <c r="BP121" s="148" t="str">
        <f t="shared" si="137"/>
        <v/>
      </c>
      <c r="BT121" s="50">
        <f t="shared" si="78"/>
        <v>98</v>
      </c>
      <c r="BU121" s="50" t="str">
        <f t="shared" si="106"/>
        <v>-</v>
      </c>
      <c r="BW121" s="340"/>
      <c r="BX121" s="333"/>
      <c r="BY121" s="333"/>
      <c r="BZ121" s="333"/>
      <c r="CA121" s="333"/>
      <c r="CB121" s="333"/>
      <c r="CC121" s="333"/>
      <c r="CD121" s="333"/>
      <c r="CE121" s="333"/>
      <c r="CF121" s="333"/>
      <c r="CG121" s="354">
        <f t="shared" si="107"/>
        <v>98</v>
      </c>
      <c r="CH121" s="613">
        <f t="shared" si="108"/>
        <v>0</v>
      </c>
      <c r="CI121" s="613">
        <f t="shared" si="109"/>
        <v>0</v>
      </c>
      <c r="CJ121" s="614" t="str">
        <f t="shared" si="110"/>
        <v/>
      </c>
      <c r="CK121" s="615" t="str">
        <f t="shared" si="111"/>
        <v/>
      </c>
      <c r="CL121" s="610" t="str">
        <f>IF(ISBLANK(H121),"",IF(AND(ISNUMBER(F121),ISNUMBER(G121),ISNUMBER(H121)),ROUND(F121/(H121*G121),2),ROUND(F121/(VALUE(LEFT(H121,SUM(LEN(H121)-LEN(SUBSTITUTE(H121,{"0","1","2","3","4","5","6","7","8","9","."},"")))))*G121),2)))</f>
        <v/>
      </c>
      <c r="CM121" s="616" t="str">
        <f t="shared" si="138"/>
        <v/>
      </c>
      <c r="CN121" s="616" t="str">
        <f>IF(ISNUMBER(P121),MAX('Adjustment factors'!$S$16,(0.2+0.8*P121)),IF(ISTEXT(N121),VLOOKUP(N121,Afactors,2,FALSE),""))</f>
        <v/>
      </c>
      <c r="CO121" s="616" t="str">
        <f>IF(ISNUMBER(S121),MAX('Adjustment factors'!$S$16,0.2+0.8*S121),IF(ISTEXT(Q121),VLOOKUP(Q121,Afactors,2,FALSE),""))</f>
        <v/>
      </c>
      <c r="CP121" s="611" t="str">
        <f t="shared" si="139"/>
        <v/>
      </c>
      <c r="CQ121" s="612" t="str">
        <f t="shared" si="140"/>
        <v/>
      </c>
      <c r="CR121" s="340"/>
      <c r="CS121" s="340"/>
      <c r="CT121" s="340"/>
      <c r="CU121" s="340"/>
      <c r="CV121" s="333"/>
      <c r="CW121" s="333"/>
      <c r="CX121" s="333"/>
      <c r="CY121" s="333"/>
      <c r="DA121" s="313" t="str">
        <f t="shared" si="112"/>
        <v>OK</v>
      </c>
      <c r="DB121" s="313" t="str">
        <f t="shared" si="113"/>
        <v>OK</v>
      </c>
      <c r="DC121" s="313" t="str">
        <f t="shared" si="114"/>
        <v>OK</v>
      </c>
      <c r="DD121" s="313" t="str">
        <f t="shared" si="115"/>
        <v>OK</v>
      </c>
      <c r="DE121" s="153" t="str">
        <f t="shared" si="116"/>
        <v>OK</v>
      </c>
      <c r="DF121" s="314" t="str">
        <f t="shared" si="117"/>
        <v>OK</v>
      </c>
      <c r="DG121" s="482" t="str">
        <f t="shared" si="141"/>
        <v>OK</v>
      </c>
      <c r="DH121" s="482" t="str">
        <f>IF(OR(AND(T121='Adjustment factors'!$R$28,'Class 3, 5-9'!U121='Adjustment factors'!$R$29),AND('Class 3, 5-9'!T121='Adjustment factors'!$R$29,'Class 3, 5-9'!U121='Adjustment factors'!$R$28)),"Invalid combination of adjustment factors",IF(AND(T121=U121,NOT(ISBLANK(T121)),NOT(ISBLANK(U121))),"Same colour factor selected twice","OK"))</f>
        <v>OK</v>
      </c>
      <c r="DI121" s="313" t="str">
        <f t="shared" si="118"/>
        <v>OK</v>
      </c>
      <c r="DJ121" s="153" t="str">
        <f t="shared" si="142"/>
        <v>OK</v>
      </c>
      <c r="DK121" s="153" t="str">
        <f t="shared" si="119"/>
        <v>OK</v>
      </c>
      <c r="DL121" s="313" t="str">
        <f t="shared" si="120"/>
        <v>OK</v>
      </c>
      <c r="DM121" s="153" t="str">
        <f t="shared" si="121"/>
        <v>OK</v>
      </c>
      <c r="DN121" s="153" t="str">
        <f t="shared" si="143"/>
        <v>OK</v>
      </c>
      <c r="DO121" s="154" t="str">
        <f t="shared" si="144"/>
        <v>OK</v>
      </c>
      <c r="DP121" s="153" t="str">
        <f t="shared" si="122"/>
        <v>OK</v>
      </c>
      <c r="DQ121" s="313" t="str">
        <f t="shared" si="123"/>
        <v>OK</v>
      </c>
      <c r="DR121" s="153" t="str">
        <f t="shared" si="145"/>
        <v>OK</v>
      </c>
      <c r="DS121" s="153" t="str">
        <f t="shared" si="124"/>
        <v>OK</v>
      </c>
      <c r="DT121" s="313" t="str">
        <f t="shared" si="151"/>
        <v>OK</v>
      </c>
      <c r="DU121" s="153" t="str">
        <f t="shared" si="125"/>
        <v>OK</v>
      </c>
      <c r="DV121" s="153" t="str">
        <f t="shared" si="146"/>
        <v>OK</v>
      </c>
      <c r="DW121" s="154" t="str">
        <f t="shared" si="147"/>
        <v>OK</v>
      </c>
      <c r="DX121" s="157">
        <f t="shared" si="148"/>
        <v>0</v>
      </c>
      <c r="DY121" s="156" t="str">
        <f t="shared" si="149"/>
        <v>OK</v>
      </c>
    </row>
    <row r="122" spans="1:129" ht="13" hidden="1" x14ac:dyDescent="0.3">
      <c r="A122" s="340"/>
      <c r="B122" s="340"/>
      <c r="C122" s="332" t="str">
        <f t="shared" si="126"/>
        <v>-</v>
      </c>
      <c r="D122" s="584">
        <f t="shared" si="77"/>
        <v>99</v>
      </c>
      <c r="E122" s="585"/>
      <c r="F122" s="586"/>
      <c r="G122" s="600"/>
      <c r="H122" s="587"/>
      <c r="I122" s="601"/>
      <c r="J122" s="585"/>
      <c r="K122" s="617"/>
      <c r="L122" s="602"/>
      <c r="M122" s="603"/>
      <c r="N122" s="588"/>
      <c r="O122" s="604"/>
      <c r="P122" s="605"/>
      <c r="Q122" s="588"/>
      <c r="R122" s="604"/>
      <c r="S122" s="605"/>
      <c r="T122" s="606"/>
      <c r="U122" s="606"/>
      <c r="V122" s="429" t="str">
        <f t="shared" si="80"/>
        <v/>
      </c>
      <c r="W122" s="430" t="str">
        <f t="shared" si="80"/>
        <v/>
      </c>
      <c r="X122" s="66" t="str">
        <f>IF(AND(ISNUMBER(P122),N122=FixedDim),MAX('Adjustment factors'!$S$16,0.2+0.8*P122),IF(ISTEXT(N122),VLOOKUP(N122,Afactors,2,TRUE),""))</f>
        <v/>
      </c>
      <c r="Y122" s="17" t="str">
        <f>IF(AND(ISNUMBER(S122),Q122=FixedDim),MAX('Adjustment factors'!$S$16,0.2+0.8*S122),IF(ISTEXT(Q122),VLOOKUP(Q122,Afactors,2,TRUE),""))</f>
        <v/>
      </c>
      <c r="Z122" s="297" t="str">
        <f>IF(ISBLANK(T122),"",VLOOKUP(T122,'Adjustment factors'!$R$27:$S$30,2,TRUE))</f>
        <v/>
      </c>
      <c r="AA122" s="297" t="str">
        <f>IF(ISBLANK(U122),"",VLOOKUP(U122,'Adjustment factors'!$R$27:$S$30,2,TRUE))</f>
        <v/>
      </c>
      <c r="AB122" s="480">
        <f t="shared" si="127"/>
        <v>1</v>
      </c>
      <c r="AC122" s="18" t="b">
        <f t="shared" si="81"/>
        <v>0</v>
      </c>
      <c r="AD122" s="18" t="b">
        <f t="shared" si="82"/>
        <v>0</v>
      </c>
      <c r="AE122" s="18" t="b">
        <f t="shared" si="128"/>
        <v>0</v>
      </c>
      <c r="AF122" s="17" t="str">
        <f t="shared" si="83"/>
        <v/>
      </c>
      <c r="AG122" s="18" t="str">
        <f t="shared" si="84"/>
        <v/>
      </c>
      <c r="AH122" s="17" t="str">
        <f t="shared" si="85"/>
        <v/>
      </c>
      <c r="AI122" s="297" t="e">
        <f t="shared" si="129"/>
        <v>#VALUE!</v>
      </c>
      <c r="AJ122" s="79" t="e">
        <f t="shared" si="86"/>
        <v>#VALUE!</v>
      </c>
      <c r="AK122" s="17" t="str">
        <f t="shared" si="150"/>
        <v/>
      </c>
      <c r="AL122" s="80" t="e">
        <f t="shared" si="87"/>
        <v>#VALUE!</v>
      </c>
      <c r="AM122" s="139" t="b">
        <f t="shared" si="88"/>
        <v>1</v>
      </c>
      <c r="AN122" s="139" t="b">
        <f>AND(COUNTA(E122)&gt;0,ISNUMBER(F122),OR(COUNT(G122:H122)=0,COUNT(G122:H122)=2,AND(ISNUMBER(G122),ISNUMBER(VALUE(LEFT(H122,SUM(LEN(H122)-LEN(SUBSTITUTE(H122,{"0","1","2","3","4","5","6","7","8","9","."},"")))))))),ISNUMBER(I122),ISTEXT(J122))</f>
        <v>0</v>
      </c>
      <c r="AO122" s="19" t="b">
        <f t="shared" si="89"/>
        <v>0</v>
      </c>
      <c r="AP122" s="19" t="b">
        <f t="shared" si="90"/>
        <v>1</v>
      </c>
      <c r="AQ122" s="19" t="b">
        <f>IF(AND(COUNTBLANK(E122:J122)=6,OR(AN123:AN$523)),NOT(AN122))</f>
        <v>0</v>
      </c>
      <c r="AR122" s="19" t="str">
        <f t="shared" si="91"/>
        <v/>
      </c>
      <c r="AS122" s="19" t="b">
        <f t="shared" si="92"/>
        <v>1</v>
      </c>
      <c r="AT122" s="19" t="str">
        <f t="shared" si="93"/>
        <v/>
      </c>
      <c r="AU122" s="19" t="b">
        <f t="shared" si="94"/>
        <v>1</v>
      </c>
      <c r="AV122" s="140" t="str">
        <f t="shared" si="130"/>
        <v/>
      </c>
      <c r="AW122" s="19" t="str">
        <f t="shared" si="95"/>
        <v/>
      </c>
      <c r="AX122" s="81">
        <f t="shared" si="96"/>
        <v>0</v>
      </c>
      <c r="AY122" s="81" t="str">
        <f t="shared" si="97"/>
        <v/>
      </c>
      <c r="AZ122" s="307" t="str">
        <f t="shared" si="131"/>
        <v/>
      </c>
      <c r="BA122" s="281" t="str">
        <f t="shared" si="132"/>
        <v/>
      </c>
      <c r="BB122" s="281" t="str">
        <f t="shared" si="133"/>
        <v/>
      </c>
      <c r="BC122" s="953"/>
      <c r="BD122" s="955"/>
      <c r="BE122" s="219" t="str">
        <f t="shared" si="98"/>
        <v>n/a</v>
      </c>
      <c r="BF122" s="215" t="b">
        <f t="shared" si="99"/>
        <v>0</v>
      </c>
      <c r="BG122" s="145" t="b">
        <f t="shared" si="100"/>
        <v>0</v>
      </c>
      <c r="BH122" s="145" t="b">
        <f t="shared" si="101"/>
        <v>0</v>
      </c>
      <c r="BI122" s="216" t="b">
        <f t="shared" si="102"/>
        <v>0</v>
      </c>
      <c r="BJ122" s="215" t="b">
        <f t="shared" si="103"/>
        <v>0</v>
      </c>
      <c r="BK122" s="145" t="b">
        <f t="shared" si="104"/>
        <v>0</v>
      </c>
      <c r="BL122" s="216" t="b">
        <f t="shared" si="105"/>
        <v>0</v>
      </c>
      <c r="BM122" s="217" t="str">
        <f t="shared" si="134"/>
        <v/>
      </c>
      <c r="BN122" s="146" t="str">
        <f t="shared" si="135"/>
        <v/>
      </c>
      <c r="BO122" s="147" t="str">
        <f t="shared" si="136"/>
        <v/>
      </c>
      <c r="BP122" s="148" t="str">
        <f t="shared" si="137"/>
        <v/>
      </c>
      <c r="BT122" s="50">
        <f t="shared" si="78"/>
        <v>99</v>
      </c>
      <c r="BU122" s="50" t="str">
        <f t="shared" si="106"/>
        <v>-</v>
      </c>
      <c r="BW122" s="340"/>
      <c r="BX122" s="333"/>
      <c r="BY122" s="333"/>
      <c r="BZ122" s="333"/>
      <c r="CA122" s="333"/>
      <c r="CB122" s="333"/>
      <c r="CC122" s="333"/>
      <c r="CD122" s="333"/>
      <c r="CE122" s="333"/>
      <c r="CF122" s="333"/>
      <c r="CG122" s="354">
        <f t="shared" si="107"/>
        <v>99</v>
      </c>
      <c r="CH122" s="613">
        <f t="shared" si="108"/>
        <v>0</v>
      </c>
      <c r="CI122" s="613">
        <f t="shared" si="109"/>
        <v>0</v>
      </c>
      <c r="CJ122" s="614" t="str">
        <f t="shared" si="110"/>
        <v/>
      </c>
      <c r="CK122" s="615" t="str">
        <f t="shared" si="111"/>
        <v/>
      </c>
      <c r="CL122" s="610" t="str">
        <f>IF(ISBLANK(H122),"",IF(AND(ISNUMBER(F122),ISNUMBER(G122),ISNUMBER(H122)),ROUND(F122/(H122*G122),2),ROUND(F122/(VALUE(LEFT(H122,SUM(LEN(H122)-LEN(SUBSTITUTE(H122,{"0","1","2","3","4","5","6","7","8","9","."},"")))))*G122),2)))</f>
        <v/>
      </c>
      <c r="CM122" s="616" t="str">
        <f t="shared" si="138"/>
        <v/>
      </c>
      <c r="CN122" s="616" t="str">
        <f>IF(ISNUMBER(P122),MAX('Adjustment factors'!$S$16,(0.2+0.8*P122)),IF(ISTEXT(N122),VLOOKUP(N122,Afactors,2,FALSE),""))</f>
        <v/>
      </c>
      <c r="CO122" s="616" t="str">
        <f>IF(ISNUMBER(S122),MAX('Adjustment factors'!$S$16,0.2+0.8*S122),IF(ISTEXT(Q122),VLOOKUP(Q122,Afactors,2,FALSE),""))</f>
        <v/>
      </c>
      <c r="CP122" s="611" t="str">
        <f t="shared" si="139"/>
        <v/>
      </c>
      <c r="CQ122" s="612" t="str">
        <f t="shared" si="140"/>
        <v/>
      </c>
      <c r="CR122" s="340"/>
      <c r="CS122" s="340"/>
      <c r="CT122" s="340"/>
      <c r="CU122" s="340"/>
      <c r="CV122" s="333"/>
      <c r="CW122" s="333"/>
      <c r="CX122" s="333"/>
      <c r="CY122" s="333"/>
      <c r="DA122" s="313" t="str">
        <f t="shared" si="112"/>
        <v>OK</v>
      </c>
      <c r="DB122" s="313" t="str">
        <f t="shared" si="113"/>
        <v>OK</v>
      </c>
      <c r="DC122" s="313" t="str">
        <f t="shared" si="114"/>
        <v>OK</v>
      </c>
      <c r="DD122" s="313" t="str">
        <f t="shared" si="115"/>
        <v>OK</v>
      </c>
      <c r="DE122" s="153" t="str">
        <f t="shared" si="116"/>
        <v>OK</v>
      </c>
      <c r="DF122" s="314" t="str">
        <f t="shared" si="117"/>
        <v>OK</v>
      </c>
      <c r="DG122" s="482" t="str">
        <f t="shared" si="141"/>
        <v>OK</v>
      </c>
      <c r="DH122" s="482" t="str">
        <f>IF(OR(AND(T122='Adjustment factors'!$R$28,'Class 3, 5-9'!U122='Adjustment factors'!$R$29),AND('Class 3, 5-9'!T122='Adjustment factors'!$R$29,'Class 3, 5-9'!U122='Adjustment factors'!$R$28)),"Invalid combination of adjustment factors",IF(AND(T122=U122,NOT(ISBLANK(T122)),NOT(ISBLANK(U122))),"Same colour factor selected twice","OK"))</f>
        <v>OK</v>
      </c>
      <c r="DI122" s="313" t="str">
        <f t="shared" si="118"/>
        <v>OK</v>
      </c>
      <c r="DJ122" s="153" t="str">
        <f t="shared" si="142"/>
        <v>OK</v>
      </c>
      <c r="DK122" s="153" t="str">
        <f t="shared" si="119"/>
        <v>OK</v>
      </c>
      <c r="DL122" s="313" t="str">
        <f t="shared" si="120"/>
        <v>OK</v>
      </c>
      <c r="DM122" s="153" t="str">
        <f t="shared" si="121"/>
        <v>OK</v>
      </c>
      <c r="DN122" s="153" t="str">
        <f t="shared" si="143"/>
        <v>OK</v>
      </c>
      <c r="DO122" s="154" t="str">
        <f t="shared" si="144"/>
        <v>OK</v>
      </c>
      <c r="DP122" s="153" t="str">
        <f t="shared" si="122"/>
        <v>OK</v>
      </c>
      <c r="DQ122" s="313" t="str">
        <f t="shared" si="123"/>
        <v>OK</v>
      </c>
      <c r="DR122" s="153" t="str">
        <f t="shared" si="145"/>
        <v>OK</v>
      </c>
      <c r="DS122" s="153" t="str">
        <f t="shared" si="124"/>
        <v>OK</v>
      </c>
      <c r="DT122" s="313" t="str">
        <f t="shared" si="151"/>
        <v>OK</v>
      </c>
      <c r="DU122" s="153" t="str">
        <f t="shared" si="125"/>
        <v>OK</v>
      </c>
      <c r="DV122" s="153" t="str">
        <f t="shared" si="146"/>
        <v>OK</v>
      </c>
      <c r="DW122" s="154" t="str">
        <f t="shared" si="147"/>
        <v>OK</v>
      </c>
      <c r="DX122" s="157">
        <f t="shared" si="148"/>
        <v>0</v>
      </c>
      <c r="DY122" s="156" t="str">
        <f t="shared" si="149"/>
        <v>OK</v>
      </c>
    </row>
    <row r="123" spans="1:129" ht="13" hidden="1" x14ac:dyDescent="0.3">
      <c r="A123" s="340"/>
      <c r="B123" s="418"/>
      <c r="C123" s="332" t="str">
        <f t="shared" si="126"/>
        <v>-</v>
      </c>
      <c r="D123" s="584">
        <f t="shared" si="77"/>
        <v>100</v>
      </c>
      <c r="E123" s="585"/>
      <c r="F123" s="586"/>
      <c r="G123" s="600"/>
      <c r="H123" s="587"/>
      <c r="I123" s="601"/>
      <c r="J123" s="585"/>
      <c r="K123" s="617"/>
      <c r="L123" s="602"/>
      <c r="M123" s="603"/>
      <c r="N123" s="588"/>
      <c r="O123" s="604"/>
      <c r="P123" s="605"/>
      <c r="Q123" s="588"/>
      <c r="R123" s="604"/>
      <c r="S123" s="605"/>
      <c r="T123" s="606"/>
      <c r="U123" s="606"/>
      <c r="V123" s="429" t="str">
        <f t="shared" si="80"/>
        <v/>
      </c>
      <c r="W123" s="430" t="str">
        <f t="shared" si="80"/>
        <v/>
      </c>
      <c r="X123" s="66" t="str">
        <f>IF(AND(ISNUMBER(P123),N123=FixedDim),MAX('Adjustment factors'!$S$16,0.2+0.8*P123),IF(ISTEXT(N123),VLOOKUP(N123,Afactors,2,TRUE),""))</f>
        <v/>
      </c>
      <c r="Y123" s="17" t="str">
        <f>IF(AND(ISNUMBER(S123),Q123=FixedDim),MAX('Adjustment factors'!$S$16,0.2+0.8*S123),IF(ISTEXT(Q123),VLOOKUP(Q123,Afactors,2,TRUE),""))</f>
        <v/>
      </c>
      <c r="Z123" s="297" t="str">
        <f>IF(ISBLANK(T123),"",VLOOKUP(T123,'Adjustment factors'!$R$27:$S$30,2,TRUE))</f>
        <v/>
      </c>
      <c r="AA123" s="297" t="str">
        <f>IF(ISBLANK(U123),"",VLOOKUP(U123,'Adjustment factors'!$R$27:$S$30,2,TRUE))</f>
        <v/>
      </c>
      <c r="AB123" s="480">
        <f t="shared" si="127"/>
        <v>1</v>
      </c>
      <c r="AC123" s="18" t="b">
        <f t="shared" si="81"/>
        <v>0</v>
      </c>
      <c r="AD123" s="18" t="b">
        <f t="shared" si="82"/>
        <v>0</v>
      </c>
      <c r="AE123" s="18" t="b">
        <f t="shared" si="128"/>
        <v>0</v>
      </c>
      <c r="AF123" s="17" t="str">
        <f t="shared" si="83"/>
        <v/>
      </c>
      <c r="AG123" s="18" t="str">
        <f t="shared" si="84"/>
        <v/>
      </c>
      <c r="AH123" s="17" t="str">
        <f t="shared" si="85"/>
        <v/>
      </c>
      <c r="AI123" s="297" t="e">
        <f t="shared" si="129"/>
        <v>#VALUE!</v>
      </c>
      <c r="AJ123" s="79" t="e">
        <f t="shared" si="86"/>
        <v>#VALUE!</v>
      </c>
      <c r="AK123" s="17" t="str">
        <f t="shared" si="150"/>
        <v/>
      </c>
      <c r="AL123" s="80" t="e">
        <f t="shared" si="87"/>
        <v>#VALUE!</v>
      </c>
      <c r="AM123" s="139" t="b">
        <f t="shared" si="88"/>
        <v>1</v>
      </c>
      <c r="AN123" s="139" t="b">
        <f>AND(COUNTA(E123)&gt;0,ISNUMBER(F123),OR(COUNT(G123:H123)=0,COUNT(G123:H123)=2,AND(ISNUMBER(G123),ISNUMBER(VALUE(LEFT(H123,SUM(LEN(H123)-LEN(SUBSTITUTE(H123,{"0","1","2","3","4","5","6","7","8","9","."},"")))))))),ISNUMBER(I123),ISTEXT(J123))</f>
        <v>0</v>
      </c>
      <c r="AO123" s="19" t="b">
        <f t="shared" si="89"/>
        <v>0</v>
      </c>
      <c r="AP123" s="19" t="b">
        <f t="shared" si="90"/>
        <v>1</v>
      </c>
      <c r="AQ123" s="19" t="b">
        <f>IF(AND(COUNTBLANK(E123:J123)=6,OR(AN124:AN$523)),NOT(AN123))</f>
        <v>0</v>
      </c>
      <c r="AR123" s="19" t="str">
        <f t="shared" si="91"/>
        <v/>
      </c>
      <c r="AS123" s="19" t="b">
        <f t="shared" si="92"/>
        <v>1</v>
      </c>
      <c r="AT123" s="19" t="str">
        <f t="shared" si="93"/>
        <v/>
      </c>
      <c r="AU123" s="19" t="b">
        <f t="shared" si="94"/>
        <v>1</v>
      </c>
      <c r="AV123" s="140" t="str">
        <f t="shared" si="130"/>
        <v/>
      </c>
      <c r="AW123" s="19" t="str">
        <f t="shared" si="95"/>
        <v/>
      </c>
      <c r="AX123" s="81">
        <f t="shared" si="96"/>
        <v>0</v>
      </c>
      <c r="AY123" s="81" t="str">
        <f t="shared" si="97"/>
        <v/>
      </c>
      <c r="AZ123" s="307" t="str">
        <f t="shared" si="131"/>
        <v/>
      </c>
      <c r="BA123" s="281" t="str">
        <f t="shared" si="132"/>
        <v/>
      </c>
      <c r="BB123" s="281" t="str">
        <f t="shared" si="133"/>
        <v/>
      </c>
      <c r="BC123" s="953"/>
      <c r="BD123" s="955"/>
      <c r="BE123" s="219" t="str">
        <f t="shared" si="98"/>
        <v>n/a</v>
      </c>
      <c r="BF123" s="215" t="b">
        <f t="shared" si="99"/>
        <v>0</v>
      </c>
      <c r="BG123" s="145" t="b">
        <f t="shared" si="100"/>
        <v>0</v>
      </c>
      <c r="BH123" s="145" t="b">
        <f t="shared" si="101"/>
        <v>0</v>
      </c>
      <c r="BI123" s="216" t="b">
        <f t="shared" si="102"/>
        <v>0</v>
      </c>
      <c r="BJ123" s="215" t="b">
        <f t="shared" si="103"/>
        <v>0</v>
      </c>
      <c r="BK123" s="145" t="b">
        <f t="shared" si="104"/>
        <v>0</v>
      </c>
      <c r="BL123" s="216" t="b">
        <f t="shared" si="105"/>
        <v>0</v>
      </c>
      <c r="BM123" s="217" t="str">
        <f t="shared" si="134"/>
        <v/>
      </c>
      <c r="BN123" s="146" t="str">
        <f t="shared" si="135"/>
        <v/>
      </c>
      <c r="BO123" s="147" t="str">
        <f t="shared" si="136"/>
        <v/>
      </c>
      <c r="BP123" s="148" t="str">
        <f t="shared" si="137"/>
        <v/>
      </c>
      <c r="BT123" s="50">
        <f t="shared" si="78"/>
        <v>100</v>
      </c>
      <c r="BU123" s="50" t="str">
        <f t="shared" si="106"/>
        <v>-</v>
      </c>
      <c r="BW123" s="340"/>
      <c r="BX123" s="333"/>
      <c r="BY123" s="333"/>
      <c r="BZ123" s="333"/>
      <c r="CA123" s="333"/>
      <c r="CB123" s="333"/>
      <c r="CC123" s="333"/>
      <c r="CD123" s="333"/>
      <c r="CE123" s="333"/>
      <c r="CF123" s="333"/>
      <c r="CG123" s="354">
        <f t="shared" si="107"/>
        <v>100</v>
      </c>
      <c r="CH123" s="613">
        <f t="shared" si="108"/>
        <v>0</v>
      </c>
      <c r="CI123" s="613">
        <f t="shared" si="109"/>
        <v>0</v>
      </c>
      <c r="CJ123" s="614" t="str">
        <f t="shared" si="110"/>
        <v/>
      </c>
      <c r="CK123" s="615" t="str">
        <f t="shared" si="111"/>
        <v/>
      </c>
      <c r="CL123" s="610" t="str">
        <f>IF(ISBLANK(H123),"",IF(AND(ISNUMBER(F123),ISNUMBER(G123),ISNUMBER(H123)),ROUND(F123/(H123*G123),2),ROUND(F123/(VALUE(LEFT(H123,SUM(LEN(H123)-LEN(SUBSTITUTE(H123,{"0","1","2","3","4","5","6","7","8","9","."},"")))))*G123),2)))</f>
        <v/>
      </c>
      <c r="CM123" s="616" t="str">
        <f t="shared" si="138"/>
        <v/>
      </c>
      <c r="CN123" s="616" t="str">
        <f>IF(ISNUMBER(P123),MAX('Adjustment factors'!$S$16,(0.2+0.8*P123)),IF(ISTEXT(N123),VLOOKUP(N123,Afactors,2,FALSE),""))</f>
        <v/>
      </c>
      <c r="CO123" s="616" t="str">
        <f>IF(ISNUMBER(S123),MAX('Adjustment factors'!$S$16,0.2+0.8*S123),IF(ISTEXT(Q123),VLOOKUP(Q123,Afactors,2,FALSE),""))</f>
        <v/>
      </c>
      <c r="CP123" s="611" t="str">
        <f t="shared" si="139"/>
        <v/>
      </c>
      <c r="CQ123" s="612" t="str">
        <f t="shared" si="140"/>
        <v/>
      </c>
      <c r="CR123" s="340"/>
      <c r="CS123" s="340"/>
      <c r="CT123" s="340"/>
      <c r="CU123" s="340"/>
      <c r="CV123" s="333"/>
      <c r="CW123" s="333"/>
      <c r="CX123" s="333"/>
      <c r="CY123" s="333"/>
      <c r="DA123" s="313" t="str">
        <f t="shared" si="112"/>
        <v>OK</v>
      </c>
      <c r="DB123" s="313" t="str">
        <f t="shared" si="113"/>
        <v>OK</v>
      </c>
      <c r="DC123" s="313" t="str">
        <f t="shared" si="114"/>
        <v>OK</v>
      </c>
      <c r="DD123" s="313" t="str">
        <f t="shared" si="115"/>
        <v>OK</v>
      </c>
      <c r="DE123" s="153" t="str">
        <f t="shared" si="116"/>
        <v>OK</v>
      </c>
      <c r="DF123" s="314" t="str">
        <f t="shared" si="117"/>
        <v>OK</v>
      </c>
      <c r="DG123" s="482" t="str">
        <f t="shared" si="141"/>
        <v>OK</v>
      </c>
      <c r="DH123" s="482" t="str">
        <f>IF(OR(AND(T123='Adjustment factors'!$R$28,'Class 3, 5-9'!U123='Adjustment factors'!$R$29),AND('Class 3, 5-9'!T123='Adjustment factors'!$R$29,'Class 3, 5-9'!U123='Adjustment factors'!$R$28)),"Invalid combination of adjustment factors",IF(AND(T123=U123,NOT(ISBLANK(T123)),NOT(ISBLANK(U123))),"Same colour factor selected twice","OK"))</f>
        <v>OK</v>
      </c>
      <c r="DI123" s="313" t="str">
        <f t="shared" si="118"/>
        <v>OK</v>
      </c>
      <c r="DJ123" s="153" t="str">
        <f t="shared" si="142"/>
        <v>OK</v>
      </c>
      <c r="DK123" s="153" t="str">
        <f t="shared" si="119"/>
        <v>OK</v>
      </c>
      <c r="DL123" s="313" t="str">
        <f t="shared" si="120"/>
        <v>OK</v>
      </c>
      <c r="DM123" s="153" t="str">
        <f t="shared" si="121"/>
        <v>OK</v>
      </c>
      <c r="DN123" s="153" t="str">
        <f t="shared" si="143"/>
        <v>OK</v>
      </c>
      <c r="DO123" s="154" t="str">
        <f t="shared" si="144"/>
        <v>OK</v>
      </c>
      <c r="DP123" s="153" t="str">
        <f t="shared" si="122"/>
        <v>OK</v>
      </c>
      <c r="DQ123" s="313" t="str">
        <f t="shared" si="123"/>
        <v>OK</v>
      </c>
      <c r="DR123" s="153" t="str">
        <f t="shared" si="145"/>
        <v>OK</v>
      </c>
      <c r="DS123" s="153" t="str">
        <f t="shared" si="124"/>
        <v>OK</v>
      </c>
      <c r="DT123" s="313" t="str">
        <f t="shared" si="151"/>
        <v>OK</v>
      </c>
      <c r="DU123" s="153" t="str">
        <f t="shared" si="125"/>
        <v>OK</v>
      </c>
      <c r="DV123" s="153" t="str">
        <f t="shared" si="146"/>
        <v>OK</v>
      </c>
      <c r="DW123" s="154" t="str">
        <f t="shared" si="147"/>
        <v>OK</v>
      </c>
      <c r="DX123" s="157">
        <f t="shared" si="148"/>
        <v>0</v>
      </c>
      <c r="DY123" s="156" t="str">
        <f t="shared" si="149"/>
        <v>OK</v>
      </c>
    </row>
    <row r="124" spans="1:129" s="312" customFormat="1" ht="13" hidden="1" x14ac:dyDescent="0.25">
      <c r="A124" s="351"/>
      <c r="B124" s="417"/>
      <c r="C124" s="330" t="str">
        <f>BU124</f>
        <v>-</v>
      </c>
      <c r="D124" s="584">
        <f t="shared" si="77"/>
        <v>101</v>
      </c>
      <c r="E124" s="585"/>
      <c r="F124" s="586"/>
      <c r="G124" s="600"/>
      <c r="H124" s="587"/>
      <c r="I124" s="601"/>
      <c r="J124" s="585"/>
      <c r="K124" s="617"/>
      <c r="L124" s="602"/>
      <c r="M124" s="603"/>
      <c r="N124" s="588"/>
      <c r="O124" s="604"/>
      <c r="P124" s="605"/>
      <c r="Q124" s="588"/>
      <c r="R124" s="604"/>
      <c r="S124" s="605"/>
      <c r="T124" s="606"/>
      <c r="U124" s="606"/>
      <c r="V124" s="429" t="str">
        <f t="shared" ref="V124:V128" si="152">AV124</f>
        <v/>
      </c>
      <c r="W124" s="430" t="str">
        <f>AW124</f>
        <v/>
      </c>
      <c r="X124" s="66" t="str">
        <f>IF(AND(ISNUMBER(P124),N124=FixedDim),MAX('Adjustment factors'!$S$16,0.2+0.8*P124),IF(ISTEXT(N124),VLOOKUP(N124,Afactors,2,TRUE),""))</f>
        <v/>
      </c>
      <c r="Y124" s="17" t="str">
        <f>IF(AND(ISNUMBER(S124),Q124=FixedDim),MAX('Adjustment factors'!$S$16,0.2+0.8*S124),IF(ISTEXT(Q124),VLOOKUP(Q124,Afactors,2,TRUE),""))</f>
        <v/>
      </c>
      <c r="Z124" s="297" t="str">
        <f>IF(ISBLANK(T124),"",VLOOKUP(T124,'Adjustment factors'!$R$27:$S$30,2,TRUE))</f>
        <v/>
      </c>
      <c r="AA124" s="297" t="str">
        <f>IF(ISBLANK(U124),"",VLOOKUP(U124,'Adjustment factors'!$R$27:$S$30,2,TRUE))</f>
        <v/>
      </c>
      <c r="AB124" s="480">
        <f t="shared" si="127"/>
        <v>1</v>
      </c>
      <c r="AC124" s="18" t="b">
        <f t="shared" si="81"/>
        <v>0</v>
      </c>
      <c r="AD124" s="18" t="b">
        <f t="shared" si="82"/>
        <v>0</v>
      </c>
      <c r="AE124" s="18" t="b">
        <f>ISNUMBER(CM124)</f>
        <v>0</v>
      </c>
      <c r="AF124" s="17" t="str">
        <f t="shared" si="83"/>
        <v/>
      </c>
      <c r="AG124" s="18" t="str">
        <f t="shared" si="84"/>
        <v/>
      </c>
      <c r="AH124" s="17" t="str">
        <f t="shared" si="85"/>
        <v/>
      </c>
      <c r="AI124" s="297" t="e">
        <f t="shared" si="129"/>
        <v>#VALUE!</v>
      </c>
      <c r="AJ124" s="79" t="e">
        <f t="shared" si="86"/>
        <v>#VALUE!</v>
      </c>
      <c r="AK124" s="17" t="str">
        <f>IF(AD124,(AF124*(AG124+((1-AG124)/2))),"")</f>
        <v/>
      </c>
      <c r="AL124" s="80" t="e">
        <f t="shared" si="87"/>
        <v>#VALUE!</v>
      </c>
      <c r="AM124" s="139" t="b">
        <f t="shared" si="88"/>
        <v>1</v>
      </c>
      <c r="AN124" s="139" t="b">
        <f>AND(COUNTA(E124)&gt;0,ISNUMBER(F124),OR(COUNT(G124:H124)=0,COUNT(G124:H124)=2,AND(ISNUMBER(G124),ISNUMBER(VALUE(LEFT(H124,SUM(LEN(H124)-LEN(SUBSTITUTE(H124,{"0","1","2","3","4","5","6","7","8","9","."},"")))))))),ISNUMBER(I124),ISTEXT(J124))</f>
        <v>0</v>
      </c>
      <c r="AO124" s="19" t="b">
        <f t="shared" si="89"/>
        <v>0</v>
      </c>
      <c r="AP124" s="19" t="b">
        <f t="shared" si="90"/>
        <v>1</v>
      </c>
      <c r="AQ124" s="19" t="b">
        <f>IF(AND(COUNTBLANK(E124:J124)=6,OR(AN125:AN$523)),NOT(AN124))</f>
        <v>0</v>
      </c>
      <c r="AR124" s="19" t="str">
        <f t="shared" si="91"/>
        <v/>
      </c>
      <c r="AS124" s="19" t="b">
        <f t="shared" si="92"/>
        <v>1</v>
      </c>
      <c r="AT124" s="19" t="str">
        <f t="shared" si="93"/>
        <v/>
      </c>
      <c r="AU124" s="19" t="b">
        <f t="shared" si="94"/>
        <v>1</v>
      </c>
      <c r="AV124" s="140" t="str">
        <f>IF(AND(AM124,AN124,AR124,AT124),IF(ISNUMBER(AG124),ROUND(AL124,0),ROUND(AJ124,0)),"")</f>
        <v/>
      </c>
      <c r="AW124" s="19" t="str">
        <f t="shared" si="95"/>
        <v/>
      </c>
      <c r="AX124" s="81">
        <f t="shared" si="96"/>
        <v>0</v>
      </c>
      <c r="AY124" s="81" t="str">
        <f t="shared" si="97"/>
        <v/>
      </c>
      <c r="AZ124" s="307" t="str">
        <f t="shared" si="131"/>
        <v/>
      </c>
      <c r="BA124" s="307" t="str">
        <f>IF(DI124&lt;&gt;"OK",DI124,IF(DJ124&lt;&gt;"OK",DJ124,IF(DK124&lt;&gt;"OK",DK124,IF(DL124&lt;&gt;"OK",DL124,IF(DM124&lt;&gt;"OK",DM124,IF(DN124&lt;&gt;"OK",DN124,IF(DO124&lt;&gt;"OK",DO124,BB124)))))))</f>
        <v/>
      </c>
      <c r="BB124" s="307" t="str">
        <f>IF(DP124&lt;&gt;"OK",DP124,IF(DQ124&lt;&gt;"OK",DQ124,IF(DR124&lt;&gt;"OK",DR124,IF(DS124&lt;&gt;"OK",DS124,IF(DT124&lt;&gt;"OK",DT124,IF(DU124&lt;&gt;"OK",DU124,IF(DV124&lt;&gt;"OK",DV124,IF(DW124&lt;&gt;"OK",DW124,IF(DY124&lt;&gt;"OK",DY124,"")))))))))</f>
        <v/>
      </c>
      <c r="BC124" s="953"/>
      <c r="BD124" s="955"/>
      <c r="BE124" s="308" t="str">
        <f t="shared" si="98"/>
        <v>n/a</v>
      </c>
      <c r="BF124" s="309" t="b">
        <f t="shared" si="99"/>
        <v>0</v>
      </c>
      <c r="BG124" s="310" t="b">
        <f t="shared" si="100"/>
        <v>0</v>
      </c>
      <c r="BH124" s="310" t="b">
        <f t="shared" si="101"/>
        <v>0</v>
      </c>
      <c r="BI124" s="311" t="b">
        <f t="shared" si="102"/>
        <v>0</v>
      </c>
      <c r="BJ124" s="309" t="b">
        <f t="shared" si="103"/>
        <v>0</v>
      </c>
      <c r="BK124" s="310" t="b">
        <f t="shared" si="104"/>
        <v>0</v>
      </c>
      <c r="BL124" s="311" t="b">
        <f t="shared" si="105"/>
        <v>0</v>
      </c>
      <c r="BM124" s="217" t="str">
        <f>IF(AN124,AX124/ADIPLone,"")</f>
        <v/>
      </c>
      <c r="BN124" s="146" t="str">
        <f>IF(AN124,percentage,"")</f>
        <v/>
      </c>
      <c r="BO124" s="147" t="str">
        <f>IF(AN124,MIPDLONE&gt;=ADIPLone,"")</f>
        <v/>
      </c>
      <c r="BP124" s="148" t="str">
        <f>IF(AND(AN124,AR124,AT124),TEXT(BM124,"0%")&amp;" of "&amp;TEXT(BN124*100,"General")&amp;"%","")</f>
        <v/>
      </c>
      <c r="BT124" s="50">
        <f t="shared" si="78"/>
        <v>101</v>
      </c>
      <c r="BU124" s="49" t="str">
        <f t="shared" si="106"/>
        <v>-</v>
      </c>
      <c r="BW124" s="352"/>
      <c r="BX124" s="333"/>
      <c r="BY124" s="333"/>
      <c r="BZ124" s="333"/>
      <c r="CA124" s="333"/>
      <c r="CB124" s="333"/>
      <c r="CC124" s="333"/>
      <c r="CD124" s="333"/>
      <c r="CE124" s="333"/>
      <c r="CF124" s="352"/>
      <c r="CG124" s="353">
        <f t="shared" si="107"/>
        <v>101</v>
      </c>
      <c r="CH124" s="607">
        <f t="shared" si="108"/>
        <v>0</v>
      </c>
      <c r="CI124" s="607">
        <f t="shared" si="109"/>
        <v>0</v>
      </c>
      <c r="CJ124" s="608" t="str">
        <f t="shared" si="110"/>
        <v/>
      </c>
      <c r="CK124" s="609" t="str">
        <f t="shared" si="111"/>
        <v/>
      </c>
      <c r="CL124" s="610" t="str">
        <f>IF(ISBLANK(H124),"",IF(AND(ISNUMBER(F124),ISNUMBER(G124),ISNUMBER(H124)),ROUND(F124/(H124*G124),2),ROUND(F124/(VALUE(LEFT(H124,SUM(LEN(H124)-LEN(SUBSTITUTE(H124,{"0","1","2","3","4","5","6","7","8","9","."},"")))))*G124),2)))</f>
        <v/>
      </c>
      <c r="CM124" s="611" t="str">
        <f>IF(CL124&lt;1.5,ROUND(0.5+CL124/3,2),"")</f>
        <v/>
      </c>
      <c r="CN124" s="611" t="str">
        <f>IF(ISNUMBER(P124),MAX('Adjustment factors'!$S$16,(0.2+0.8*P124)),IF(ISTEXT(N124),VLOOKUP(N124,Afactors,2,FALSE),""))</f>
        <v/>
      </c>
      <c r="CO124" s="611" t="str">
        <f>IF(ISNUMBER(S124),MAX('Adjustment factors'!$S$16,0.2+0.8*S124),IF(ISTEXT(Q124),VLOOKUP(Q124,Afactors,2,FALSE),""))</f>
        <v/>
      </c>
      <c r="CP124" s="611" t="str">
        <f t="shared" si="139"/>
        <v/>
      </c>
      <c r="CQ124" s="612" t="str">
        <f t="shared" si="140"/>
        <v/>
      </c>
      <c r="CR124" s="351"/>
      <c r="CS124" s="351"/>
      <c r="CT124" s="351"/>
      <c r="CU124" s="351"/>
      <c r="CV124" s="352"/>
      <c r="CW124" s="352"/>
      <c r="CX124" s="352"/>
      <c r="CY124" s="352"/>
      <c r="DA124" s="313" t="str">
        <f t="shared" si="112"/>
        <v>OK</v>
      </c>
      <c r="DB124" s="313" t="str">
        <f t="shared" si="113"/>
        <v>OK</v>
      </c>
      <c r="DC124" s="313" t="str">
        <f t="shared" si="114"/>
        <v>OK</v>
      </c>
      <c r="DD124" s="313" t="str">
        <f t="shared" si="115"/>
        <v>OK</v>
      </c>
      <c r="DE124" s="313" t="str">
        <f t="shared" si="116"/>
        <v>OK</v>
      </c>
      <c r="DF124" s="314" t="str">
        <f t="shared" si="117"/>
        <v>OK</v>
      </c>
      <c r="DG124" s="482" t="str">
        <f t="shared" si="141"/>
        <v>OK</v>
      </c>
      <c r="DH124" s="482" t="str">
        <f>IF(OR(AND(T124='Adjustment factors'!$R$28,'Class 3, 5-9'!U124='Adjustment factors'!$R$29),AND('Class 3, 5-9'!T124='Adjustment factors'!$R$29,'Class 3, 5-9'!U124='Adjustment factors'!$R$28)),"Invalid combination of adjustment factors",IF(AND(T124=U124,NOT(ISBLANK(T124)),NOT(ISBLANK(U124))),"Same colour factor selected twice","OK"))</f>
        <v>OK</v>
      </c>
      <c r="DI124" s="313" t="str">
        <f t="shared" si="118"/>
        <v>OK</v>
      </c>
      <c r="DJ124" s="313" t="str">
        <f>"OK"</f>
        <v>OK</v>
      </c>
      <c r="DK124" s="313" t="str">
        <f t="shared" si="119"/>
        <v>OK</v>
      </c>
      <c r="DL124" s="313" t="str">
        <f t="shared" si="120"/>
        <v>OK</v>
      </c>
      <c r="DM124" s="313" t="str">
        <f t="shared" si="121"/>
        <v>OK</v>
      </c>
      <c r="DN124" s="313" t="str">
        <f>IF(ISNUMBER(FIND("NA",$N124)),"Adjustment Factor not applicable","OK")</f>
        <v>OK</v>
      </c>
      <c r="DO124" s="314" t="str">
        <f>"OK"</f>
        <v>OK</v>
      </c>
      <c r="DP124" s="313" t="str">
        <f t="shared" si="122"/>
        <v>OK</v>
      </c>
      <c r="DQ124" s="313" t="str">
        <f t="shared" si="123"/>
        <v>OK</v>
      </c>
      <c r="DR124" s="313" t="str">
        <f>"OK"</f>
        <v>OK</v>
      </c>
      <c r="DS124" s="313" t="str">
        <f t="shared" si="124"/>
        <v>OK</v>
      </c>
      <c r="DT124" s="313" t="str">
        <f t="shared" ref="DT124:DT138" si="153">IF(AND(ISNUMBER(S124),Q124&lt;&gt;FixedDim),"Illuminance turndown is only valid for Fixed Dimming","OK")</f>
        <v>OK</v>
      </c>
      <c r="DU124" s="313" t="str">
        <f t="shared" si="125"/>
        <v>OK</v>
      </c>
      <c r="DV124" s="313" t="str">
        <f>IF(ISNUMBER(FIND("NA",$Q124)),"Adjustment Factor not applicable","OK")</f>
        <v>OK</v>
      </c>
      <c r="DW124" s="314" t="str">
        <f>"OK"</f>
        <v>OK</v>
      </c>
      <c r="DX124" s="315">
        <f>COUNTIF(DA124:DW124,"&lt;&gt;OK")</f>
        <v>0</v>
      </c>
      <c r="DY124" s="316" t="str">
        <f>IF(AQ124,"ROW SKIPPED (OK if intentional)","OK")</f>
        <v>OK</v>
      </c>
    </row>
    <row r="125" spans="1:129" ht="13" hidden="1" x14ac:dyDescent="0.3">
      <c r="A125" s="333"/>
      <c r="B125" s="333"/>
      <c r="C125" s="331" t="str">
        <f t="shared" ref="C125:C134" si="154">BU125</f>
        <v>-</v>
      </c>
      <c r="D125" s="584">
        <f t="shared" si="77"/>
        <v>102</v>
      </c>
      <c r="E125" s="585"/>
      <c r="F125" s="586"/>
      <c r="G125" s="600"/>
      <c r="H125" s="587"/>
      <c r="I125" s="601"/>
      <c r="J125" s="585"/>
      <c r="K125" s="617"/>
      <c r="L125" s="602"/>
      <c r="M125" s="603"/>
      <c r="N125" s="588"/>
      <c r="O125" s="604"/>
      <c r="P125" s="605"/>
      <c r="Q125" s="588"/>
      <c r="R125" s="604"/>
      <c r="S125" s="605"/>
      <c r="T125" s="606"/>
      <c r="U125" s="606"/>
      <c r="V125" s="429" t="str">
        <f t="shared" si="152"/>
        <v/>
      </c>
      <c r="W125" s="430" t="str">
        <f t="shared" ref="W125:W126" si="155">AW125</f>
        <v/>
      </c>
      <c r="X125" s="66" t="str">
        <f>IF(AND(ISNUMBER(P125),N125=FixedDim),MAX('Adjustment factors'!$S$16,0.2+0.8*P125),IF(ISTEXT(N125),VLOOKUP(N125,Afactors,2,TRUE),""))</f>
        <v/>
      </c>
      <c r="Y125" s="17" t="str">
        <f>IF(AND(ISNUMBER(S125),Q125=FixedDim),MAX('Adjustment factors'!$S$16,0.2+0.8*S125),IF(ISTEXT(Q125),VLOOKUP(Q125,Afactors,2,TRUE),""))</f>
        <v/>
      </c>
      <c r="Z125" s="297" t="str">
        <f>IF(ISBLANK(T125),"",VLOOKUP(T125,'Adjustment factors'!$R$27:$S$30,2,TRUE))</f>
        <v/>
      </c>
      <c r="AA125" s="297" t="str">
        <f>IF(ISBLANK(U125),"",VLOOKUP(U125,'Adjustment factors'!$R$27:$S$30,2,TRUE))</f>
        <v/>
      </c>
      <c r="AB125" s="480">
        <f t="shared" si="127"/>
        <v>1</v>
      </c>
      <c r="AC125" s="18" t="b">
        <f t="shared" si="81"/>
        <v>0</v>
      </c>
      <c r="AD125" s="18" t="b">
        <f t="shared" si="82"/>
        <v>0</v>
      </c>
      <c r="AE125" s="18" t="b">
        <f>ISNUMBER(CM125)</f>
        <v>0</v>
      </c>
      <c r="AF125" s="17" t="str">
        <f t="shared" si="83"/>
        <v/>
      </c>
      <c r="AG125" s="18" t="str">
        <f t="shared" si="84"/>
        <v/>
      </c>
      <c r="AH125" s="17" t="str">
        <f>IF(AE125,CK125/CM125,"")</f>
        <v/>
      </c>
      <c r="AI125" s="297" t="e">
        <f t="shared" si="129"/>
        <v>#VALUE!</v>
      </c>
      <c r="AJ125" s="79" t="e">
        <f t="shared" si="86"/>
        <v>#VALUE!</v>
      </c>
      <c r="AK125" s="17" t="str">
        <f>IF(AD125,(AF125*(AG125+((1-AG125)/2))),"")</f>
        <v/>
      </c>
      <c r="AL125" s="80" t="e">
        <f t="shared" si="87"/>
        <v>#VALUE!</v>
      </c>
      <c r="AM125" s="139" t="b">
        <f t="shared" si="88"/>
        <v>1</v>
      </c>
      <c r="AN125" s="139" t="b">
        <f>AND(COUNTA(E125)&gt;0,ISNUMBER(F125),OR(COUNT(G125:H125)=0,COUNT(G125:H125)=2,AND(ISNUMBER(G125),ISNUMBER(VALUE(LEFT(H125,SUM(LEN(H125)-LEN(SUBSTITUTE(H125,{"0","1","2","3","4","5","6","7","8","9","."},"")))))))),ISNUMBER(I125),ISTEXT(J125))</f>
        <v>0</v>
      </c>
      <c r="AO125" s="19" t="b">
        <f t="shared" si="89"/>
        <v>0</v>
      </c>
      <c r="AP125" s="19" t="b">
        <f t="shared" si="90"/>
        <v>1</v>
      </c>
      <c r="AQ125" s="19" t="b">
        <f>IF(AND(COUNTBLANK(E125:J125)=6,OR(AN126:AN$523)),NOT(AN125))</f>
        <v>0</v>
      </c>
      <c r="AR125" s="19" t="str">
        <f t="shared" si="91"/>
        <v/>
      </c>
      <c r="AS125" s="19" t="b">
        <f t="shared" si="92"/>
        <v>1</v>
      </c>
      <c r="AT125" s="19" t="str">
        <f t="shared" si="93"/>
        <v/>
      </c>
      <c r="AU125" s="19" t="b">
        <f t="shared" si="94"/>
        <v>1</v>
      </c>
      <c r="AV125" s="140" t="str">
        <f t="shared" ref="AV125:AV188" si="156">IF(AND(AM125,AN125,AR125,AT125),IF(ISNUMBER(AG125),ROUND(AL125,0),ROUND(AJ125,0)),"")</f>
        <v/>
      </c>
      <c r="AW125" s="19" t="str">
        <f t="shared" si="95"/>
        <v/>
      </c>
      <c r="AX125" s="81">
        <f t="shared" si="96"/>
        <v>0</v>
      </c>
      <c r="AY125" s="81" t="str">
        <f t="shared" si="97"/>
        <v/>
      </c>
      <c r="AZ125" s="307" t="str">
        <f t="shared" si="131"/>
        <v/>
      </c>
      <c r="BA125" s="281" t="str">
        <f t="shared" ref="BA125:BA188" si="157">IF(DI125&lt;&gt;"OK",DI125,IF(DJ125&lt;&gt;"OK",DJ125,IF(DK125&lt;&gt;"OK",DK125,IF(DL125&lt;&gt;"OK",DL125,IF(DM125&lt;&gt;"OK",DM125,IF(DN125&lt;&gt;"OK",DN125,IF(DO125&lt;&gt;"OK",DO125,BB125)))))))</f>
        <v/>
      </c>
      <c r="BB125" s="281" t="str">
        <f t="shared" ref="BB125:BB188" si="158">IF(DP125&lt;&gt;"OK",DP125,IF(DQ125&lt;&gt;"OK",DQ125,IF(DR125&lt;&gt;"OK",DR125,IF(DS125&lt;&gt;"OK",DS125,IF(DT125&lt;&gt;"OK",DT125,IF(DU125&lt;&gt;"OK",DU125,IF(DV125&lt;&gt;"OK",DV125,IF(DW125&lt;&gt;"OK",DW125,IF(DY125&lt;&gt;"OK",DY125,"")))))))))</f>
        <v/>
      </c>
      <c r="BC125" s="953"/>
      <c r="BD125" s="955"/>
      <c r="BE125" s="219" t="str">
        <f t="shared" si="98"/>
        <v>n/a</v>
      </c>
      <c r="BF125" s="215" t="b">
        <f t="shared" si="99"/>
        <v>0</v>
      </c>
      <c r="BG125" s="145" t="b">
        <f t="shared" si="100"/>
        <v>0</v>
      </c>
      <c r="BH125" s="145" t="b">
        <f t="shared" si="101"/>
        <v>0</v>
      </c>
      <c r="BI125" s="216" t="b">
        <f t="shared" si="102"/>
        <v>0</v>
      </c>
      <c r="BJ125" s="215" t="b">
        <f t="shared" si="103"/>
        <v>0</v>
      </c>
      <c r="BK125" s="145" t="b">
        <f t="shared" si="104"/>
        <v>0</v>
      </c>
      <c r="BL125" s="216" t="b">
        <f t="shared" si="105"/>
        <v>0</v>
      </c>
      <c r="BM125" s="217" t="str">
        <f t="shared" ref="BM125:BM188" si="159">IF(AN125,AX125/ADIPLone,"")</f>
        <v/>
      </c>
      <c r="BN125" s="146" t="str">
        <f t="shared" ref="BN125:BN188" si="160">IF(AN125,percentage,"")</f>
        <v/>
      </c>
      <c r="BO125" s="147" t="str">
        <f t="shared" ref="BO125:BO188" si="161">IF(AN125,MIPDLONE&gt;=ADIPLone,"")</f>
        <v/>
      </c>
      <c r="BP125" s="148" t="str">
        <f t="shared" ref="BP125:BP188" si="162">IF(AND(AN125,AR125,AT125),TEXT(BM125,"0%")&amp;" of "&amp;TEXT(BN125*100,"General")&amp;"%","")</f>
        <v/>
      </c>
      <c r="BT125" s="50">
        <f t="shared" si="78"/>
        <v>102</v>
      </c>
      <c r="BU125" s="50" t="str">
        <f t="shared" si="106"/>
        <v>-</v>
      </c>
      <c r="BW125" s="333"/>
      <c r="BX125" s="333"/>
      <c r="BY125" s="333"/>
      <c r="BZ125" s="333"/>
      <c r="CA125" s="333"/>
      <c r="CB125" s="333"/>
      <c r="CC125" s="333"/>
      <c r="CD125" s="333"/>
      <c r="CE125" s="333"/>
      <c r="CF125" s="333"/>
      <c r="CG125" s="354">
        <f t="shared" si="107"/>
        <v>102</v>
      </c>
      <c r="CH125" s="613">
        <f t="shared" si="108"/>
        <v>0</v>
      </c>
      <c r="CI125" s="613">
        <f t="shared" si="109"/>
        <v>0</v>
      </c>
      <c r="CJ125" s="614" t="str">
        <f t="shared" si="110"/>
        <v/>
      </c>
      <c r="CK125" s="615" t="str">
        <f t="shared" si="111"/>
        <v/>
      </c>
      <c r="CL125" s="610" t="str">
        <f>IF(ISBLANK(H125),"",IF(AND(ISNUMBER(F125),ISNUMBER(G125),ISNUMBER(H125)),ROUND(F125/(H125*G125),2),ROUND(F125/(VALUE(LEFT(H125,SUM(LEN(H125)-LEN(SUBSTITUTE(H125,{"0","1","2","3","4","5","6","7","8","9","."},"")))))*G125),2)))</f>
        <v/>
      </c>
      <c r="CM125" s="616" t="str">
        <f t="shared" ref="CM125:CM188" si="163">IF(CL125&lt;1.5,ROUND(0.5+CL125/3,2),"")</f>
        <v/>
      </c>
      <c r="CN125" s="616" t="str">
        <f>IF(ISNUMBER(P125),MAX('Adjustment factors'!$S$16,(0.2+0.8*P125)),IF(ISTEXT(N125),VLOOKUP(N125,Afactors,2,FALSE),""))</f>
        <v/>
      </c>
      <c r="CO125" s="616" t="str">
        <f>IF(ISNUMBER(S125),MAX('Adjustment factors'!$S$16,0.2+0.8*S125),IF(ISTEXT(Q125),VLOOKUP(Q125,Afactors,2,FALSE),""))</f>
        <v/>
      </c>
      <c r="CP125" s="611" t="str">
        <f t="shared" si="139"/>
        <v/>
      </c>
      <c r="CQ125" s="612" t="str">
        <f t="shared" si="140"/>
        <v/>
      </c>
      <c r="CR125" s="340"/>
      <c r="CS125" s="340"/>
      <c r="CT125" s="340"/>
      <c r="CU125" s="340"/>
      <c r="CV125" s="333"/>
      <c r="CW125" s="333"/>
      <c r="CX125" s="333"/>
      <c r="CY125" s="333"/>
      <c r="DA125" s="313" t="str">
        <f t="shared" si="112"/>
        <v>OK</v>
      </c>
      <c r="DB125" s="313" t="str">
        <f t="shared" si="113"/>
        <v>OK</v>
      </c>
      <c r="DC125" s="313" t="str">
        <f t="shared" si="114"/>
        <v>OK</v>
      </c>
      <c r="DD125" s="313" t="str">
        <f t="shared" si="115"/>
        <v>OK</v>
      </c>
      <c r="DE125" s="153" t="str">
        <f t="shared" si="116"/>
        <v>OK</v>
      </c>
      <c r="DF125" s="314" t="str">
        <f t="shared" si="117"/>
        <v>OK</v>
      </c>
      <c r="DG125" s="482" t="str">
        <f t="shared" si="141"/>
        <v>OK</v>
      </c>
      <c r="DH125" s="482" t="str">
        <f>IF(OR(AND(T125='Adjustment factors'!$R$28,'Class 3, 5-9'!U125='Adjustment factors'!$R$29),AND('Class 3, 5-9'!T125='Adjustment factors'!$R$29,'Class 3, 5-9'!U125='Adjustment factors'!$R$28)),"Invalid combination of adjustment factors",IF(AND(T125=U125,NOT(ISBLANK(T125)),NOT(ISBLANK(U125))),"Same colour factor selected twice","OK"))</f>
        <v>OK</v>
      </c>
      <c r="DI125" s="313" t="str">
        <f t="shared" si="118"/>
        <v>OK</v>
      </c>
      <c r="DJ125" s="153" t="str">
        <f t="shared" ref="DJ125:DJ188" si="164">"OK"</f>
        <v>OK</v>
      </c>
      <c r="DK125" s="153" t="str">
        <f t="shared" si="119"/>
        <v>OK</v>
      </c>
      <c r="DL125" s="313" t="str">
        <f t="shared" si="120"/>
        <v>OK</v>
      </c>
      <c r="DM125" s="153" t="str">
        <f t="shared" si="121"/>
        <v>OK</v>
      </c>
      <c r="DN125" s="153" t="str">
        <f t="shared" ref="DN125:DN188" si="165">IF(ISNUMBER(FIND("NA",$N125)),"Adjustment Factor not applicable","OK")</f>
        <v>OK</v>
      </c>
      <c r="DO125" s="154" t="str">
        <f t="shared" ref="DO125:DO188" si="166">"OK"</f>
        <v>OK</v>
      </c>
      <c r="DP125" s="153" t="str">
        <f t="shared" si="122"/>
        <v>OK</v>
      </c>
      <c r="DQ125" s="313" t="str">
        <f t="shared" si="123"/>
        <v>OK</v>
      </c>
      <c r="DR125" s="153" t="str">
        <f t="shared" ref="DR125:DR188" si="167">"OK"</f>
        <v>OK</v>
      </c>
      <c r="DS125" s="153" t="str">
        <f t="shared" si="124"/>
        <v>OK</v>
      </c>
      <c r="DT125" s="313" t="str">
        <f t="shared" si="153"/>
        <v>OK</v>
      </c>
      <c r="DU125" s="153" t="str">
        <f t="shared" si="125"/>
        <v>OK</v>
      </c>
      <c r="DV125" s="153" t="str">
        <f t="shared" ref="DV125:DV188" si="168">IF(ISNUMBER(FIND("NA",$Q125)),"Adjustment Factor not applicable","OK")</f>
        <v>OK</v>
      </c>
      <c r="DW125" s="154" t="str">
        <f t="shared" ref="DW125:DW188" si="169">"OK"</f>
        <v>OK</v>
      </c>
      <c r="DX125" s="157">
        <f t="shared" ref="DX125:DX188" si="170">COUNTIF(DA125:DW125,"&lt;&gt;OK")</f>
        <v>0</v>
      </c>
      <c r="DY125" s="156" t="str">
        <f t="shared" ref="DY125:DY188" si="171">IF(AQ125,"ROW SKIPPED (OK if intentional)","OK")</f>
        <v>OK</v>
      </c>
    </row>
    <row r="126" spans="1:129" ht="13" hidden="1" x14ac:dyDescent="0.3">
      <c r="A126" s="333"/>
      <c r="B126" s="333"/>
      <c r="C126" s="331" t="str">
        <f t="shared" si="154"/>
        <v>-</v>
      </c>
      <c r="D126" s="584">
        <f t="shared" si="77"/>
        <v>103</v>
      </c>
      <c r="E126" s="585"/>
      <c r="F126" s="586"/>
      <c r="G126" s="600"/>
      <c r="H126" s="587"/>
      <c r="I126" s="601"/>
      <c r="J126" s="585"/>
      <c r="K126" s="617"/>
      <c r="L126" s="602"/>
      <c r="M126" s="603"/>
      <c r="N126" s="588"/>
      <c r="O126" s="604"/>
      <c r="P126" s="605"/>
      <c r="Q126" s="588"/>
      <c r="R126" s="604"/>
      <c r="S126" s="605"/>
      <c r="T126" s="606"/>
      <c r="U126" s="606"/>
      <c r="V126" s="429" t="str">
        <f t="shared" si="152"/>
        <v/>
      </c>
      <c r="W126" s="430" t="str">
        <f t="shared" si="155"/>
        <v/>
      </c>
      <c r="X126" s="66" t="str">
        <f>IF(AND(ISNUMBER(P126),N126=FixedDim),MAX('Adjustment factors'!$S$16,0.2+0.8*P126),IF(ISTEXT(N126),VLOOKUP(N126,Afactors,2,TRUE),""))</f>
        <v/>
      </c>
      <c r="Y126" s="17" t="str">
        <f>IF(AND(ISNUMBER(S126),Q126=FixedDim),MAX('Adjustment factors'!$S$16,0.2+0.8*S126),IF(ISTEXT(Q126),VLOOKUP(Q126,Afactors,2,TRUE),""))</f>
        <v/>
      </c>
      <c r="Z126" s="297" t="str">
        <f>IF(ISBLANK(T126),"",VLOOKUP(T126,'Adjustment factors'!$R$27:$S$30,2,TRUE))</f>
        <v/>
      </c>
      <c r="AA126" s="297" t="str">
        <f>IF(ISBLANK(U126),"",VLOOKUP(U126,'Adjustment factors'!$R$27:$S$30,2,TRUE))</f>
        <v/>
      </c>
      <c r="AB126" s="480">
        <f t="shared" si="127"/>
        <v>1</v>
      </c>
      <c r="AC126" s="18" t="b">
        <f t="shared" si="81"/>
        <v>0</v>
      </c>
      <c r="AD126" s="18" t="b">
        <f t="shared" si="82"/>
        <v>0</v>
      </c>
      <c r="AE126" s="18" t="b">
        <f t="shared" ref="AE126:AE189" si="172">ISNUMBER(CM126)</f>
        <v>0</v>
      </c>
      <c r="AF126" s="17" t="str">
        <f t="shared" si="83"/>
        <v/>
      </c>
      <c r="AG126" s="18" t="str">
        <f t="shared" si="84"/>
        <v/>
      </c>
      <c r="AH126" s="17" t="str">
        <f t="shared" ref="AH126:AH189" si="173">IF(AE126,CK126/CM126,"")</f>
        <v/>
      </c>
      <c r="AI126" s="297" t="e">
        <f t="shared" si="129"/>
        <v>#VALUE!</v>
      </c>
      <c r="AJ126" s="79" t="e">
        <f t="shared" si="86"/>
        <v>#VALUE!</v>
      </c>
      <c r="AK126" s="17" t="str">
        <f>IF(AD126,(AF126*(AG126+((1-AG126)/2))),"")</f>
        <v/>
      </c>
      <c r="AL126" s="80" t="e">
        <f t="shared" si="87"/>
        <v>#VALUE!</v>
      </c>
      <c r="AM126" s="139" t="b">
        <f t="shared" si="88"/>
        <v>1</v>
      </c>
      <c r="AN126" s="139" t="b">
        <f>AND(COUNTA(E126)&gt;0,ISNUMBER(F126),OR(COUNT(G126:H126)=0,COUNT(G126:H126)=2,AND(ISNUMBER(G126),ISNUMBER(VALUE(LEFT(H126,SUM(LEN(H126)-LEN(SUBSTITUTE(H126,{"0","1","2","3","4","5","6","7","8","9","."},"")))))))),ISNUMBER(I126),ISTEXT(J126))</f>
        <v>0</v>
      </c>
      <c r="AO126" s="19" t="b">
        <f t="shared" si="89"/>
        <v>0</v>
      </c>
      <c r="AP126" s="19" t="b">
        <f t="shared" si="90"/>
        <v>1</v>
      </c>
      <c r="AQ126" s="19" t="b">
        <f>IF(AND(COUNTBLANK(E126:J126)=6,OR(AN127:AN$523)),NOT(AN126))</f>
        <v>0</v>
      </c>
      <c r="AR126" s="19" t="str">
        <f t="shared" si="91"/>
        <v/>
      </c>
      <c r="AS126" s="19" t="b">
        <f t="shared" si="92"/>
        <v>1</v>
      </c>
      <c r="AT126" s="19" t="str">
        <f t="shared" si="93"/>
        <v/>
      </c>
      <c r="AU126" s="19" t="b">
        <f t="shared" si="94"/>
        <v>1</v>
      </c>
      <c r="AV126" s="140" t="str">
        <f t="shared" si="156"/>
        <v/>
      </c>
      <c r="AW126" s="19" t="str">
        <f t="shared" si="95"/>
        <v/>
      </c>
      <c r="AX126" s="81">
        <f t="shared" si="96"/>
        <v>0</v>
      </c>
      <c r="AY126" s="81" t="str">
        <f t="shared" si="97"/>
        <v/>
      </c>
      <c r="AZ126" s="307" t="str">
        <f t="shared" si="131"/>
        <v/>
      </c>
      <c r="BA126" s="281" t="str">
        <f t="shared" si="157"/>
        <v/>
      </c>
      <c r="BB126" s="281" t="str">
        <f t="shared" si="158"/>
        <v/>
      </c>
      <c r="BC126" s="953"/>
      <c r="BD126" s="955"/>
      <c r="BE126" s="219" t="str">
        <f t="shared" si="98"/>
        <v>n/a</v>
      </c>
      <c r="BF126" s="215" t="b">
        <f t="shared" si="99"/>
        <v>0</v>
      </c>
      <c r="BG126" s="145" t="b">
        <f t="shared" si="100"/>
        <v>0</v>
      </c>
      <c r="BH126" s="145" t="b">
        <f t="shared" si="101"/>
        <v>0</v>
      </c>
      <c r="BI126" s="216" t="b">
        <f t="shared" si="102"/>
        <v>0</v>
      </c>
      <c r="BJ126" s="215" t="b">
        <f t="shared" si="103"/>
        <v>0</v>
      </c>
      <c r="BK126" s="145" t="b">
        <f t="shared" si="104"/>
        <v>0</v>
      </c>
      <c r="BL126" s="216" t="b">
        <f t="shared" si="105"/>
        <v>0</v>
      </c>
      <c r="BM126" s="217" t="str">
        <f t="shared" si="159"/>
        <v/>
      </c>
      <c r="BN126" s="146" t="str">
        <f t="shared" si="160"/>
        <v/>
      </c>
      <c r="BO126" s="147" t="str">
        <f t="shared" si="161"/>
        <v/>
      </c>
      <c r="BP126" s="148" t="str">
        <f t="shared" si="162"/>
        <v/>
      </c>
      <c r="BT126" s="50">
        <f t="shared" si="78"/>
        <v>103</v>
      </c>
      <c r="BU126" s="50" t="str">
        <f t="shared" si="106"/>
        <v>-</v>
      </c>
      <c r="BW126" s="333"/>
      <c r="BX126" s="333"/>
      <c r="BY126" s="333"/>
      <c r="BZ126" s="333"/>
      <c r="CA126" s="333"/>
      <c r="CB126" s="333"/>
      <c r="CC126" s="333"/>
      <c r="CD126" s="333"/>
      <c r="CE126" s="333"/>
      <c r="CF126" s="333"/>
      <c r="CG126" s="354">
        <f t="shared" si="107"/>
        <v>103</v>
      </c>
      <c r="CH126" s="613">
        <f t="shared" si="108"/>
        <v>0</v>
      </c>
      <c r="CI126" s="613">
        <f t="shared" si="109"/>
        <v>0</v>
      </c>
      <c r="CJ126" s="614" t="str">
        <f t="shared" si="110"/>
        <v/>
      </c>
      <c r="CK126" s="615" t="str">
        <f t="shared" si="111"/>
        <v/>
      </c>
      <c r="CL126" s="610" t="str">
        <f>IF(ISBLANK(H126),"",IF(AND(ISNUMBER(F126),ISNUMBER(G126),ISNUMBER(H126)),ROUND(F126/(H126*G126),2),ROUND(F126/(VALUE(LEFT(H126,SUM(LEN(H126)-LEN(SUBSTITUTE(H126,{"0","1","2","3","4","5","6","7","8","9","."},"")))))*G126),2)))</f>
        <v/>
      </c>
      <c r="CM126" s="616" t="str">
        <f t="shared" si="163"/>
        <v/>
      </c>
      <c r="CN126" s="616" t="str">
        <f>IF(ISNUMBER(P126),MAX('Adjustment factors'!$S$16,(0.2+0.8*P126)),IF(ISTEXT(N126),VLOOKUP(N126,Afactors,2,FALSE),""))</f>
        <v/>
      </c>
      <c r="CO126" s="616" t="str">
        <f>IF(ISNUMBER(S126),MAX('Adjustment factors'!$S$16,0.2+0.8*S126),IF(ISTEXT(Q126),VLOOKUP(Q126,Afactors,2,FALSE),""))</f>
        <v/>
      </c>
      <c r="CP126" s="611" t="str">
        <f t="shared" si="139"/>
        <v/>
      </c>
      <c r="CQ126" s="612" t="str">
        <f t="shared" si="140"/>
        <v/>
      </c>
      <c r="CR126" s="340"/>
      <c r="CS126" s="340"/>
      <c r="CT126" s="340"/>
      <c r="CU126" s="340"/>
      <c r="CV126" s="333"/>
      <c r="CW126" s="333"/>
      <c r="CX126" s="333"/>
      <c r="CY126" s="333"/>
      <c r="DA126" s="313" t="str">
        <f t="shared" si="112"/>
        <v>OK</v>
      </c>
      <c r="DB126" s="313" t="str">
        <f t="shared" si="113"/>
        <v>OK</v>
      </c>
      <c r="DC126" s="313" t="str">
        <f t="shared" si="114"/>
        <v>OK</v>
      </c>
      <c r="DD126" s="313" t="str">
        <f t="shared" si="115"/>
        <v>OK</v>
      </c>
      <c r="DE126" s="153" t="str">
        <f t="shared" si="116"/>
        <v>OK</v>
      </c>
      <c r="DF126" s="314" t="str">
        <f t="shared" si="117"/>
        <v>OK</v>
      </c>
      <c r="DG126" s="482" t="str">
        <f t="shared" si="141"/>
        <v>OK</v>
      </c>
      <c r="DH126" s="482" t="str">
        <f>IF(OR(AND(T126='Adjustment factors'!$R$28,'Class 3, 5-9'!U126='Adjustment factors'!$R$29),AND('Class 3, 5-9'!T126='Adjustment factors'!$R$29,'Class 3, 5-9'!U126='Adjustment factors'!$R$28)),"Invalid combination of adjustment factors",IF(AND(T126=U126,NOT(ISBLANK(T126)),NOT(ISBLANK(U126))),"Same colour factor selected twice","OK"))</f>
        <v>OK</v>
      </c>
      <c r="DI126" s="313" t="str">
        <f t="shared" si="118"/>
        <v>OK</v>
      </c>
      <c r="DJ126" s="153" t="str">
        <f t="shared" si="164"/>
        <v>OK</v>
      </c>
      <c r="DK126" s="153" t="str">
        <f t="shared" si="119"/>
        <v>OK</v>
      </c>
      <c r="DL126" s="313" t="str">
        <f t="shared" si="120"/>
        <v>OK</v>
      </c>
      <c r="DM126" s="153" t="str">
        <f t="shared" si="121"/>
        <v>OK</v>
      </c>
      <c r="DN126" s="153" t="str">
        <f t="shared" si="165"/>
        <v>OK</v>
      </c>
      <c r="DO126" s="154" t="str">
        <f t="shared" si="166"/>
        <v>OK</v>
      </c>
      <c r="DP126" s="153" t="str">
        <f t="shared" si="122"/>
        <v>OK</v>
      </c>
      <c r="DQ126" s="313" t="str">
        <f t="shared" si="123"/>
        <v>OK</v>
      </c>
      <c r="DR126" s="153" t="str">
        <f t="shared" si="167"/>
        <v>OK</v>
      </c>
      <c r="DS126" s="153" t="str">
        <f t="shared" si="124"/>
        <v>OK</v>
      </c>
      <c r="DT126" s="313" t="str">
        <f t="shared" si="153"/>
        <v>OK</v>
      </c>
      <c r="DU126" s="153" t="str">
        <f t="shared" si="125"/>
        <v>OK</v>
      </c>
      <c r="DV126" s="153" t="str">
        <f t="shared" si="168"/>
        <v>OK</v>
      </c>
      <c r="DW126" s="154" t="str">
        <f t="shared" si="169"/>
        <v>OK</v>
      </c>
      <c r="DX126" s="157">
        <f t="shared" si="170"/>
        <v>0</v>
      </c>
      <c r="DY126" s="156" t="str">
        <f t="shared" si="171"/>
        <v>OK</v>
      </c>
    </row>
    <row r="127" spans="1:129" ht="13" hidden="1" x14ac:dyDescent="0.3">
      <c r="A127" s="333"/>
      <c r="B127" s="333"/>
      <c r="C127" s="331" t="str">
        <f t="shared" si="154"/>
        <v>-</v>
      </c>
      <c r="D127" s="584">
        <f t="shared" si="77"/>
        <v>104</v>
      </c>
      <c r="E127" s="585"/>
      <c r="F127" s="586"/>
      <c r="G127" s="600"/>
      <c r="H127" s="587"/>
      <c r="I127" s="601"/>
      <c r="J127" s="585"/>
      <c r="K127" s="617"/>
      <c r="L127" s="602"/>
      <c r="M127" s="603"/>
      <c r="N127" s="588"/>
      <c r="O127" s="604"/>
      <c r="P127" s="605"/>
      <c r="Q127" s="588"/>
      <c r="R127" s="604"/>
      <c r="S127" s="605"/>
      <c r="T127" s="606"/>
      <c r="U127" s="606"/>
      <c r="V127" s="429" t="str">
        <f t="shared" si="152"/>
        <v/>
      </c>
      <c r="W127" s="430" t="str">
        <f>AW127</f>
        <v/>
      </c>
      <c r="X127" s="66" t="str">
        <f>IF(AND(ISNUMBER(P127),N127=FixedDim),MAX('Adjustment factors'!$S$16,0.2+0.8*P127),IF(ISTEXT(N127),VLOOKUP(N127,Afactors,2,TRUE),""))</f>
        <v/>
      </c>
      <c r="Y127" s="17" t="str">
        <f>IF(AND(ISNUMBER(S127),Q127=FixedDim),MAX('Adjustment factors'!$S$16,0.2+0.8*S127),IF(ISTEXT(Q127),VLOOKUP(Q127,Afactors,2,TRUE),""))</f>
        <v/>
      </c>
      <c r="Z127" s="297" t="str">
        <f>IF(ISBLANK(T127),"",VLOOKUP(T127,'Adjustment factors'!$R$27:$S$30,2,TRUE))</f>
        <v/>
      </c>
      <c r="AA127" s="297" t="str">
        <f>IF(ISBLANK(U127),"",VLOOKUP(U127,'Adjustment factors'!$R$27:$S$30,2,TRUE))</f>
        <v/>
      </c>
      <c r="AB127" s="480">
        <f t="shared" si="127"/>
        <v>1</v>
      </c>
      <c r="AC127" s="18" t="b">
        <f t="shared" si="81"/>
        <v>0</v>
      </c>
      <c r="AD127" s="18" t="b">
        <f t="shared" si="82"/>
        <v>0</v>
      </c>
      <c r="AE127" s="18" t="b">
        <f t="shared" si="172"/>
        <v>0</v>
      </c>
      <c r="AF127" s="17" t="str">
        <f t="shared" si="83"/>
        <v/>
      </c>
      <c r="AG127" s="18" t="str">
        <f t="shared" si="84"/>
        <v/>
      </c>
      <c r="AH127" s="17" t="str">
        <f t="shared" si="173"/>
        <v/>
      </c>
      <c r="AI127" s="297" t="e">
        <f t="shared" si="129"/>
        <v>#VALUE!</v>
      </c>
      <c r="AJ127" s="79" t="e">
        <f t="shared" si="86"/>
        <v>#VALUE!</v>
      </c>
      <c r="AK127" s="17" t="str">
        <f t="shared" ref="AK127:AK190" si="174">IF(AD127,(AF127*(AG127+((1-AG127)/2))),"")</f>
        <v/>
      </c>
      <c r="AL127" s="80" t="e">
        <f t="shared" si="87"/>
        <v>#VALUE!</v>
      </c>
      <c r="AM127" s="139" t="b">
        <f t="shared" si="88"/>
        <v>1</v>
      </c>
      <c r="AN127" s="139" t="b">
        <f>AND(COUNTA(E127)&gt;0,ISNUMBER(F127),OR(COUNT(G127:H127)=0,COUNT(G127:H127)=2,AND(ISNUMBER(G127),ISNUMBER(VALUE(LEFT(H127,SUM(LEN(H127)-LEN(SUBSTITUTE(H127,{"0","1","2","3","4","5","6","7","8","9","."},"")))))))),ISNUMBER(I127),ISTEXT(J127))</f>
        <v>0</v>
      </c>
      <c r="AO127" s="19" t="b">
        <f t="shared" si="89"/>
        <v>0</v>
      </c>
      <c r="AP127" s="19" t="b">
        <f t="shared" si="90"/>
        <v>1</v>
      </c>
      <c r="AQ127" s="19" t="b">
        <f>IF(AND(COUNTBLANK(E127:J127)=6,OR(AN128:AN$523)),NOT(AN127))</f>
        <v>0</v>
      </c>
      <c r="AR127" s="19" t="str">
        <f t="shared" si="91"/>
        <v/>
      </c>
      <c r="AS127" s="19" t="b">
        <f t="shared" si="92"/>
        <v>1</v>
      </c>
      <c r="AT127" s="19" t="str">
        <f t="shared" si="93"/>
        <v/>
      </c>
      <c r="AU127" s="19" t="b">
        <f t="shared" si="94"/>
        <v>1</v>
      </c>
      <c r="AV127" s="140" t="str">
        <f t="shared" si="156"/>
        <v/>
      </c>
      <c r="AW127" s="19" t="str">
        <f t="shared" si="95"/>
        <v/>
      </c>
      <c r="AX127" s="81">
        <f t="shared" si="96"/>
        <v>0</v>
      </c>
      <c r="AY127" s="81" t="str">
        <f t="shared" si="97"/>
        <v/>
      </c>
      <c r="AZ127" s="307" t="str">
        <f t="shared" si="131"/>
        <v/>
      </c>
      <c r="BA127" s="281" t="str">
        <f t="shared" si="157"/>
        <v/>
      </c>
      <c r="BB127" s="281" t="str">
        <f t="shared" si="158"/>
        <v/>
      </c>
      <c r="BC127" s="953"/>
      <c r="BD127" s="955"/>
      <c r="BE127" s="219" t="str">
        <f t="shared" si="98"/>
        <v>n/a</v>
      </c>
      <c r="BF127" s="215" t="b">
        <f t="shared" si="99"/>
        <v>0</v>
      </c>
      <c r="BG127" s="145" t="b">
        <f t="shared" si="100"/>
        <v>0</v>
      </c>
      <c r="BH127" s="145" t="b">
        <f t="shared" si="101"/>
        <v>0</v>
      </c>
      <c r="BI127" s="216" t="b">
        <f t="shared" si="102"/>
        <v>0</v>
      </c>
      <c r="BJ127" s="215" t="b">
        <f t="shared" si="103"/>
        <v>0</v>
      </c>
      <c r="BK127" s="145" t="b">
        <f t="shared" si="104"/>
        <v>0</v>
      </c>
      <c r="BL127" s="216" t="b">
        <f t="shared" si="105"/>
        <v>0</v>
      </c>
      <c r="BM127" s="217" t="str">
        <f t="shared" si="159"/>
        <v/>
      </c>
      <c r="BN127" s="146" t="str">
        <f t="shared" si="160"/>
        <v/>
      </c>
      <c r="BO127" s="147" t="str">
        <f t="shared" si="161"/>
        <v/>
      </c>
      <c r="BP127" s="148" t="str">
        <f t="shared" si="162"/>
        <v/>
      </c>
      <c r="BT127" s="50">
        <f t="shared" si="78"/>
        <v>104</v>
      </c>
      <c r="BU127" s="50" t="str">
        <f t="shared" si="106"/>
        <v>-</v>
      </c>
      <c r="BW127" s="333"/>
      <c r="BX127" s="333"/>
      <c r="BY127" s="333"/>
      <c r="BZ127" s="333"/>
      <c r="CA127" s="333"/>
      <c r="CB127" s="333"/>
      <c r="CC127" s="333"/>
      <c r="CD127" s="333"/>
      <c r="CE127" s="333"/>
      <c r="CF127" s="333"/>
      <c r="CG127" s="354">
        <f t="shared" si="107"/>
        <v>104</v>
      </c>
      <c r="CH127" s="613">
        <f t="shared" si="108"/>
        <v>0</v>
      </c>
      <c r="CI127" s="613">
        <f t="shared" si="109"/>
        <v>0</v>
      </c>
      <c r="CJ127" s="614" t="str">
        <f t="shared" si="110"/>
        <v/>
      </c>
      <c r="CK127" s="615" t="str">
        <f t="shared" si="111"/>
        <v/>
      </c>
      <c r="CL127" s="610" t="str">
        <f>IF(ISBLANK(H127),"",IF(AND(ISNUMBER(F127),ISNUMBER(G127),ISNUMBER(H127)),ROUND(F127/(H127*G127),2),ROUND(F127/(VALUE(LEFT(H127,SUM(LEN(H127)-LEN(SUBSTITUTE(H127,{"0","1","2","3","4","5","6","7","8","9","."},"")))))*G127),2)))</f>
        <v/>
      </c>
      <c r="CM127" s="616" t="str">
        <f t="shared" si="163"/>
        <v/>
      </c>
      <c r="CN127" s="616" t="str">
        <f>IF(ISNUMBER(P127),MAX('Adjustment factors'!$S$16,(0.2+0.8*P127)),IF(ISTEXT(N127),VLOOKUP(N127,Afactors,2,FALSE),""))</f>
        <v/>
      </c>
      <c r="CO127" s="616" t="str">
        <f>IF(ISNUMBER(S127),MAX('Adjustment factors'!$S$16,0.2+0.8*S127),IF(ISTEXT(Q127),VLOOKUP(Q127,Afactors,2,FALSE),""))</f>
        <v/>
      </c>
      <c r="CP127" s="611" t="str">
        <f t="shared" si="139"/>
        <v/>
      </c>
      <c r="CQ127" s="612" t="str">
        <f t="shared" si="140"/>
        <v/>
      </c>
      <c r="CR127" s="340"/>
      <c r="CS127" s="340"/>
      <c r="CT127" s="340"/>
      <c r="CU127" s="340"/>
      <c r="CV127" s="333"/>
      <c r="CW127" s="333"/>
      <c r="CX127" s="333"/>
      <c r="CY127" s="333"/>
      <c r="DA127" s="313" t="str">
        <f t="shared" si="112"/>
        <v>OK</v>
      </c>
      <c r="DB127" s="313" t="str">
        <f t="shared" si="113"/>
        <v>OK</v>
      </c>
      <c r="DC127" s="313" t="str">
        <f t="shared" si="114"/>
        <v>OK</v>
      </c>
      <c r="DD127" s="313" t="str">
        <f t="shared" si="115"/>
        <v>OK</v>
      </c>
      <c r="DE127" s="153" t="str">
        <f t="shared" si="116"/>
        <v>OK</v>
      </c>
      <c r="DF127" s="314" t="str">
        <f t="shared" si="117"/>
        <v>OK</v>
      </c>
      <c r="DG127" s="482" t="str">
        <f t="shared" si="141"/>
        <v>OK</v>
      </c>
      <c r="DH127" s="482" t="str">
        <f>IF(OR(AND(T127='Adjustment factors'!$R$28,'Class 3, 5-9'!U127='Adjustment factors'!$R$29),AND('Class 3, 5-9'!T127='Adjustment factors'!$R$29,'Class 3, 5-9'!U127='Adjustment factors'!$R$28)),"Invalid combination of adjustment factors",IF(AND(T127=U127,NOT(ISBLANK(T127)),NOT(ISBLANK(U127))),"Same colour factor selected twice","OK"))</f>
        <v>OK</v>
      </c>
      <c r="DI127" s="313" t="str">
        <f t="shared" si="118"/>
        <v>OK</v>
      </c>
      <c r="DJ127" s="153" t="str">
        <f t="shared" si="164"/>
        <v>OK</v>
      </c>
      <c r="DK127" s="153" t="str">
        <f t="shared" si="119"/>
        <v>OK</v>
      </c>
      <c r="DL127" s="313" t="str">
        <f t="shared" si="120"/>
        <v>OK</v>
      </c>
      <c r="DM127" s="153" t="str">
        <f t="shared" si="121"/>
        <v>OK</v>
      </c>
      <c r="DN127" s="153" t="str">
        <f t="shared" si="165"/>
        <v>OK</v>
      </c>
      <c r="DO127" s="154" t="str">
        <f t="shared" si="166"/>
        <v>OK</v>
      </c>
      <c r="DP127" s="153" t="str">
        <f t="shared" si="122"/>
        <v>OK</v>
      </c>
      <c r="DQ127" s="313" t="str">
        <f t="shared" si="123"/>
        <v>OK</v>
      </c>
      <c r="DR127" s="153" t="str">
        <f t="shared" si="167"/>
        <v>OK</v>
      </c>
      <c r="DS127" s="153" t="str">
        <f t="shared" si="124"/>
        <v>OK</v>
      </c>
      <c r="DT127" s="313" t="str">
        <f t="shared" si="153"/>
        <v>OK</v>
      </c>
      <c r="DU127" s="153" t="str">
        <f t="shared" si="125"/>
        <v>OK</v>
      </c>
      <c r="DV127" s="153" t="str">
        <f t="shared" si="168"/>
        <v>OK</v>
      </c>
      <c r="DW127" s="154" t="str">
        <f t="shared" si="169"/>
        <v>OK</v>
      </c>
      <c r="DX127" s="157">
        <f t="shared" si="170"/>
        <v>0</v>
      </c>
      <c r="DY127" s="156" t="str">
        <f t="shared" si="171"/>
        <v>OK</v>
      </c>
    </row>
    <row r="128" spans="1:129" ht="13" hidden="1" x14ac:dyDescent="0.3">
      <c r="A128" s="333"/>
      <c r="B128" s="333"/>
      <c r="C128" s="331" t="str">
        <f t="shared" si="154"/>
        <v>-</v>
      </c>
      <c r="D128" s="584">
        <f t="shared" si="77"/>
        <v>105</v>
      </c>
      <c r="E128" s="585"/>
      <c r="F128" s="586"/>
      <c r="G128" s="600"/>
      <c r="H128" s="587"/>
      <c r="I128" s="601"/>
      <c r="J128" s="585"/>
      <c r="K128" s="617"/>
      <c r="L128" s="602"/>
      <c r="M128" s="603"/>
      <c r="N128" s="588"/>
      <c r="O128" s="604"/>
      <c r="P128" s="605"/>
      <c r="Q128" s="588"/>
      <c r="R128" s="604"/>
      <c r="S128" s="605"/>
      <c r="T128" s="606"/>
      <c r="U128" s="606"/>
      <c r="V128" s="429" t="str">
        <f t="shared" si="152"/>
        <v/>
      </c>
      <c r="W128" s="430" t="str">
        <f t="shared" ref="W128:W191" si="175">AW128</f>
        <v/>
      </c>
      <c r="X128" s="66" t="str">
        <f>IF(AND(ISNUMBER(P128),N128=FixedDim),MAX('Adjustment factors'!$S$16,0.2+0.8*P128),IF(ISTEXT(N128),VLOOKUP(N128,Afactors,2,TRUE),""))</f>
        <v/>
      </c>
      <c r="Y128" s="17" t="str">
        <f>IF(AND(ISNUMBER(S128),Q128=FixedDim),MAX('Adjustment factors'!$S$16,0.2+0.8*S128),IF(ISTEXT(Q128),VLOOKUP(Q128,Afactors,2,TRUE),""))</f>
        <v/>
      </c>
      <c r="Z128" s="297" t="str">
        <f>IF(ISBLANK(T128),"",VLOOKUP(T128,'Adjustment factors'!$R$27:$S$30,2,TRUE))</f>
        <v/>
      </c>
      <c r="AA128" s="297" t="str">
        <f>IF(ISBLANK(U128),"",VLOOKUP(U128,'Adjustment factors'!$R$27:$S$30,2,TRUE))</f>
        <v/>
      </c>
      <c r="AB128" s="480">
        <f t="shared" si="127"/>
        <v>1</v>
      </c>
      <c r="AC128" s="18" t="b">
        <f t="shared" si="81"/>
        <v>0</v>
      </c>
      <c r="AD128" s="18" t="b">
        <f t="shared" si="82"/>
        <v>0</v>
      </c>
      <c r="AE128" s="18" t="b">
        <f t="shared" si="172"/>
        <v>0</v>
      </c>
      <c r="AF128" s="17" t="str">
        <f t="shared" si="83"/>
        <v/>
      </c>
      <c r="AG128" s="18" t="str">
        <f t="shared" si="84"/>
        <v/>
      </c>
      <c r="AH128" s="17" t="str">
        <f t="shared" si="173"/>
        <v/>
      </c>
      <c r="AI128" s="297" t="e">
        <f t="shared" si="129"/>
        <v>#VALUE!</v>
      </c>
      <c r="AJ128" s="79" t="e">
        <f t="shared" si="86"/>
        <v>#VALUE!</v>
      </c>
      <c r="AK128" s="17" t="str">
        <f t="shared" si="174"/>
        <v/>
      </c>
      <c r="AL128" s="80" t="e">
        <f t="shared" si="87"/>
        <v>#VALUE!</v>
      </c>
      <c r="AM128" s="139" t="b">
        <f t="shared" si="88"/>
        <v>1</v>
      </c>
      <c r="AN128" s="139" t="b">
        <f>AND(COUNTA(E128)&gt;0,ISNUMBER(F128),OR(COUNT(G128:H128)=0,COUNT(G128:H128)=2,AND(ISNUMBER(G128),ISNUMBER(VALUE(LEFT(H128,SUM(LEN(H128)-LEN(SUBSTITUTE(H128,{"0","1","2","3","4","5","6","7","8","9","."},"")))))))),ISNUMBER(I128),ISTEXT(J128))</f>
        <v>0</v>
      </c>
      <c r="AO128" s="19" t="b">
        <f t="shared" si="89"/>
        <v>0</v>
      </c>
      <c r="AP128" s="19" t="b">
        <f t="shared" si="90"/>
        <v>1</v>
      </c>
      <c r="AQ128" s="19" t="b">
        <f>IF(AND(COUNTBLANK(E128:J128)=6,OR(AN129:AN$523)),NOT(AN128))</f>
        <v>0</v>
      </c>
      <c r="AR128" s="19" t="str">
        <f t="shared" si="91"/>
        <v/>
      </c>
      <c r="AS128" s="19" t="b">
        <f t="shared" si="92"/>
        <v>1</v>
      </c>
      <c r="AT128" s="19" t="str">
        <f t="shared" si="93"/>
        <v/>
      </c>
      <c r="AU128" s="19" t="b">
        <f t="shared" si="94"/>
        <v>1</v>
      </c>
      <c r="AV128" s="140" t="str">
        <f t="shared" si="156"/>
        <v/>
      </c>
      <c r="AW128" s="19" t="str">
        <f t="shared" si="95"/>
        <v/>
      </c>
      <c r="AX128" s="81">
        <f t="shared" si="96"/>
        <v>0</v>
      </c>
      <c r="AY128" s="81" t="str">
        <f t="shared" si="97"/>
        <v/>
      </c>
      <c r="AZ128" s="307" t="str">
        <f t="shared" si="131"/>
        <v/>
      </c>
      <c r="BA128" s="281" t="str">
        <f t="shared" si="157"/>
        <v/>
      </c>
      <c r="BB128" s="281" t="str">
        <f t="shared" si="158"/>
        <v/>
      </c>
      <c r="BC128" s="953"/>
      <c r="BD128" s="955"/>
      <c r="BE128" s="219" t="str">
        <f t="shared" si="98"/>
        <v>n/a</v>
      </c>
      <c r="BF128" s="215" t="b">
        <f t="shared" si="99"/>
        <v>0</v>
      </c>
      <c r="BG128" s="145" t="b">
        <f t="shared" si="100"/>
        <v>0</v>
      </c>
      <c r="BH128" s="145" t="b">
        <f t="shared" si="101"/>
        <v>0</v>
      </c>
      <c r="BI128" s="216" t="b">
        <f t="shared" si="102"/>
        <v>0</v>
      </c>
      <c r="BJ128" s="215" t="b">
        <f t="shared" si="103"/>
        <v>0</v>
      </c>
      <c r="BK128" s="145" t="b">
        <f t="shared" si="104"/>
        <v>0</v>
      </c>
      <c r="BL128" s="216" t="b">
        <f t="shared" si="105"/>
        <v>0</v>
      </c>
      <c r="BM128" s="217" t="str">
        <f t="shared" si="159"/>
        <v/>
      </c>
      <c r="BN128" s="146" t="str">
        <f t="shared" si="160"/>
        <v/>
      </c>
      <c r="BO128" s="147" t="str">
        <f t="shared" si="161"/>
        <v/>
      </c>
      <c r="BP128" s="148" t="str">
        <f t="shared" si="162"/>
        <v/>
      </c>
      <c r="BT128" s="50">
        <f t="shared" si="78"/>
        <v>105</v>
      </c>
      <c r="BU128" s="50" t="str">
        <f t="shared" si="106"/>
        <v>-</v>
      </c>
      <c r="BW128" s="333"/>
      <c r="BX128" s="333"/>
      <c r="BY128" s="333"/>
      <c r="BZ128" s="333"/>
      <c r="CA128" s="333"/>
      <c r="CB128" s="333"/>
      <c r="CC128" s="333"/>
      <c r="CD128" s="333"/>
      <c r="CE128" s="333"/>
      <c r="CF128" s="333"/>
      <c r="CG128" s="354">
        <f t="shared" si="107"/>
        <v>105</v>
      </c>
      <c r="CH128" s="613">
        <f t="shared" si="108"/>
        <v>0</v>
      </c>
      <c r="CI128" s="613">
        <f t="shared" si="109"/>
        <v>0</v>
      </c>
      <c r="CJ128" s="614" t="str">
        <f t="shared" si="110"/>
        <v/>
      </c>
      <c r="CK128" s="615" t="str">
        <f t="shared" si="111"/>
        <v/>
      </c>
      <c r="CL128" s="610" t="str">
        <f>IF(ISBLANK(H128),"",IF(AND(ISNUMBER(F128),ISNUMBER(G128),ISNUMBER(H128)),ROUND(F128/(H128*G128),2),ROUND(F128/(VALUE(LEFT(H128,SUM(LEN(H128)-LEN(SUBSTITUTE(H128,{"0","1","2","3","4","5","6","7","8","9","."},"")))))*G128),2)))</f>
        <v/>
      </c>
      <c r="CM128" s="616" t="str">
        <f t="shared" si="163"/>
        <v/>
      </c>
      <c r="CN128" s="616" t="str">
        <f>IF(ISNUMBER(P128),MAX('Adjustment factors'!$S$16,(0.2+0.8*P128)),IF(ISTEXT(N128),VLOOKUP(N128,Afactors,2,FALSE),""))</f>
        <v/>
      </c>
      <c r="CO128" s="616" t="str">
        <f>IF(ISNUMBER(S128),MAX('Adjustment factors'!$S$16,0.2+0.8*S128),IF(ISTEXT(Q128),VLOOKUP(Q128,Afactors,2,FALSE),""))</f>
        <v/>
      </c>
      <c r="CP128" s="611" t="str">
        <f t="shared" si="139"/>
        <v/>
      </c>
      <c r="CQ128" s="612" t="str">
        <f t="shared" si="140"/>
        <v/>
      </c>
      <c r="CR128" s="340"/>
      <c r="CS128" s="340"/>
      <c r="CT128" s="340"/>
      <c r="CU128" s="340"/>
      <c r="CV128" s="333"/>
      <c r="CW128" s="333"/>
      <c r="CX128" s="333"/>
      <c r="CY128" s="333"/>
      <c r="DA128" s="313" t="str">
        <f t="shared" si="112"/>
        <v>OK</v>
      </c>
      <c r="DB128" s="313" t="str">
        <f t="shared" si="113"/>
        <v>OK</v>
      </c>
      <c r="DC128" s="313" t="str">
        <f t="shared" si="114"/>
        <v>OK</v>
      </c>
      <c r="DD128" s="313" t="str">
        <f t="shared" si="115"/>
        <v>OK</v>
      </c>
      <c r="DE128" s="153" t="str">
        <f t="shared" si="116"/>
        <v>OK</v>
      </c>
      <c r="DF128" s="314" t="str">
        <f t="shared" si="117"/>
        <v>OK</v>
      </c>
      <c r="DG128" s="482" t="str">
        <f t="shared" si="141"/>
        <v>OK</v>
      </c>
      <c r="DH128" s="482" t="str">
        <f>IF(OR(AND(T128='Adjustment factors'!$R$28,'Class 3, 5-9'!U128='Adjustment factors'!$R$29),AND('Class 3, 5-9'!T128='Adjustment factors'!$R$29,'Class 3, 5-9'!U128='Adjustment factors'!$R$28)),"Invalid combination of adjustment factors",IF(AND(T128=U128,NOT(ISBLANK(T128)),NOT(ISBLANK(U128))),"Same colour factor selected twice","OK"))</f>
        <v>OK</v>
      </c>
      <c r="DI128" s="313" t="str">
        <f t="shared" si="118"/>
        <v>OK</v>
      </c>
      <c r="DJ128" s="153" t="str">
        <f t="shared" si="164"/>
        <v>OK</v>
      </c>
      <c r="DK128" s="153" t="str">
        <f t="shared" si="119"/>
        <v>OK</v>
      </c>
      <c r="DL128" s="313" t="str">
        <f t="shared" si="120"/>
        <v>OK</v>
      </c>
      <c r="DM128" s="153" t="str">
        <f t="shared" si="121"/>
        <v>OK</v>
      </c>
      <c r="DN128" s="153" t="str">
        <f t="shared" si="165"/>
        <v>OK</v>
      </c>
      <c r="DO128" s="154" t="str">
        <f t="shared" si="166"/>
        <v>OK</v>
      </c>
      <c r="DP128" s="153" t="str">
        <f t="shared" si="122"/>
        <v>OK</v>
      </c>
      <c r="DQ128" s="313" t="str">
        <f t="shared" si="123"/>
        <v>OK</v>
      </c>
      <c r="DR128" s="153" t="str">
        <f t="shared" si="167"/>
        <v>OK</v>
      </c>
      <c r="DS128" s="153" t="str">
        <f t="shared" si="124"/>
        <v>OK</v>
      </c>
      <c r="DT128" s="313" t="str">
        <f t="shared" si="153"/>
        <v>OK</v>
      </c>
      <c r="DU128" s="153" t="str">
        <f t="shared" si="125"/>
        <v>OK</v>
      </c>
      <c r="DV128" s="153" t="str">
        <f t="shared" si="168"/>
        <v>OK</v>
      </c>
      <c r="DW128" s="154" t="str">
        <f t="shared" si="169"/>
        <v>OK</v>
      </c>
      <c r="DX128" s="157">
        <f t="shared" si="170"/>
        <v>0</v>
      </c>
      <c r="DY128" s="156" t="str">
        <f t="shared" si="171"/>
        <v>OK</v>
      </c>
    </row>
    <row r="129" spans="1:129" ht="13" hidden="1" x14ac:dyDescent="0.3">
      <c r="A129" s="333"/>
      <c r="B129" s="333"/>
      <c r="C129" s="331" t="str">
        <f t="shared" si="154"/>
        <v>-</v>
      </c>
      <c r="D129" s="584">
        <f t="shared" ref="D129:D192" si="176">D128+1</f>
        <v>106</v>
      </c>
      <c r="E129" s="585"/>
      <c r="F129" s="586"/>
      <c r="G129" s="600"/>
      <c r="H129" s="587"/>
      <c r="I129" s="601"/>
      <c r="J129" s="585"/>
      <c r="K129" s="617"/>
      <c r="L129" s="602"/>
      <c r="M129" s="603"/>
      <c r="N129" s="588"/>
      <c r="O129" s="604"/>
      <c r="P129" s="605"/>
      <c r="Q129" s="588"/>
      <c r="R129" s="604"/>
      <c r="S129" s="605"/>
      <c r="T129" s="606"/>
      <c r="U129" s="606"/>
      <c r="V129" s="429" t="str">
        <f>AV129</f>
        <v/>
      </c>
      <c r="W129" s="430" t="str">
        <f t="shared" si="175"/>
        <v/>
      </c>
      <c r="X129" s="66" t="str">
        <f>IF(AND(ISNUMBER(P129),N129=FixedDim),MAX('Adjustment factors'!$S$16,0.2+0.8*P129),IF(ISTEXT(N129),VLOOKUP(N129,Afactors,2,TRUE),""))</f>
        <v/>
      </c>
      <c r="Y129" s="17" t="str">
        <f>IF(AND(ISNUMBER(S129),Q129=FixedDim),MAX('Adjustment factors'!$S$16,0.2+0.8*S129),IF(ISTEXT(Q129),VLOOKUP(Q129,Afactors,2,TRUE),""))</f>
        <v/>
      </c>
      <c r="Z129" s="297" t="str">
        <f>IF(ISBLANK(T129),"",VLOOKUP(T129,'Adjustment factors'!$R$27:$S$30,2,TRUE))</f>
        <v/>
      </c>
      <c r="AA129" s="297" t="str">
        <f>IF(ISBLANK(U129),"",VLOOKUP(U129,'Adjustment factors'!$R$27:$S$30,2,TRUE))</f>
        <v/>
      </c>
      <c r="AB129" s="480">
        <f t="shared" si="127"/>
        <v>1</v>
      </c>
      <c r="AC129" s="18" t="b">
        <f t="shared" si="81"/>
        <v>0</v>
      </c>
      <c r="AD129" s="18" t="b">
        <f t="shared" si="82"/>
        <v>0</v>
      </c>
      <c r="AE129" s="18" t="b">
        <f t="shared" si="172"/>
        <v>0</v>
      </c>
      <c r="AF129" s="17" t="str">
        <f t="shared" si="83"/>
        <v/>
      </c>
      <c r="AG129" s="18" t="str">
        <f t="shared" si="84"/>
        <v/>
      </c>
      <c r="AH129" s="17" t="str">
        <f t="shared" si="173"/>
        <v/>
      </c>
      <c r="AI129" s="297" t="e">
        <f t="shared" si="129"/>
        <v>#VALUE!</v>
      </c>
      <c r="AJ129" s="79" t="e">
        <f t="shared" si="86"/>
        <v>#VALUE!</v>
      </c>
      <c r="AK129" s="17" t="str">
        <f t="shared" si="174"/>
        <v/>
      </c>
      <c r="AL129" s="80" t="e">
        <f t="shared" si="87"/>
        <v>#VALUE!</v>
      </c>
      <c r="AM129" s="139" t="b">
        <f t="shared" si="88"/>
        <v>1</v>
      </c>
      <c r="AN129" s="139" t="b">
        <f>AND(COUNTA(E129)&gt;0,ISNUMBER(F129),OR(COUNT(G129:H129)=0,COUNT(G129:H129)=2,AND(ISNUMBER(G129),ISNUMBER(VALUE(LEFT(H129,SUM(LEN(H129)-LEN(SUBSTITUTE(H129,{"0","1","2","3","4","5","6","7","8","9","."},"")))))))),ISNUMBER(I129),ISTEXT(J129))</f>
        <v>0</v>
      </c>
      <c r="AO129" s="19" t="b">
        <f t="shared" si="89"/>
        <v>0</v>
      </c>
      <c r="AP129" s="19" t="b">
        <f t="shared" si="90"/>
        <v>1</v>
      </c>
      <c r="AQ129" s="19" t="b">
        <f>IF(AND(COUNTBLANK(E129:J129)=6,OR(AN130:AN$523)),NOT(AN129))</f>
        <v>0</v>
      </c>
      <c r="AR129" s="19" t="str">
        <f t="shared" si="91"/>
        <v/>
      </c>
      <c r="AS129" s="19" t="b">
        <f t="shared" si="92"/>
        <v>1</v>
      </c>
      <c r="AT129" s="19" t="str">
        <f t="shared" si="93"/>
        <v/>
      </c>
      <c r="AU129" s="19" t="b">
        <f t="shared" si="94"/>
        <v>1</v>
      </c>
      <c r="AV129" s="140" t="str">
        <f t="shared" si="156"/>
        <v/>
      </c>
      <c r="AW129" s="19" t="str">
        <f t="shared" si="95"/>
        <v/>
      </c>
      <c r="AX129" s="81">
        <f t="shared" si="96"/>
        <v>0</v>
      </c>
      <c r="AY129" s="81" t="str">
        <f t="shared" si="97"/>
        <v/>
      </c>
      <c r="AZ129" s="307" t="str">
        <f t="shared" si="131"/>
        <v/>
      </c>
      <c r="BA129" s="281" t="str">
        <f t="shared" si="157"/>
        <v/>
      </c>
      <c r="BB129" s="281" t="str">
        <f t="shared" si="158"/>
        <v/>
      </c>
      <c r="BC129" s="953"/>
      <c r="BD129" s="955"/>
      <c r="BE129" s="219" t="str">
        <f t="shared" si="98"/>
        <v>n/a</v>
      </c>
      <c r="BF129" s="215" t="b">
        <f t="shared" si="99"/>
        <v>0</v>
      </c>
      <c r="BG129" s="145" t="b">
        <f t="shared" si="100"/>
        <v>0</v>
      </c>
      <c r="BH129" s="145" t="b">
        <f t="shared" si="101"/>
        <v>0</v>
      </c>
      <c r="BI129" s="216" t="b">
        <f t="shared" si="102"/>
        <v>0</v>
      </c>
      <c r="BJ129" s="215" t="b">
        <f t="shared" si="103"/>
        <v>0</v>
      </c>
      <c r="BK129" s="145" t="b">
        <f t="shared" si="104"/>
        <v>0</v>
      </c>
      <c r="BL129" s="216" t="b">
        <f t="shared" si="105"/>
        <v>0</v>
      </c>
      <c r="BM129" s="217" t="str">
        <f t="shared" si="159"/>
        <v/>
      </c>
      <c r="BN129" s="146" t="str">
        <f t="shared" si="160"/>
        <v/>
      </c>
      <c r="BO129" s="147" t="str">
        <f t="shared" si="161"/>
        <v/>
      </c>
      <c r="BP129" s="148" t="str">
        <f t="shared" si="162"/>
        <v/>
      </c>
      <c r="BT129" s="50">
        <f t="shared" ref="BT129:BT192" si="177">BT128+1</f>
        <v>106</v>
      </c>
      <c r="BU129" s="50" t="str">
        <f>IF(RowsPreferredOne&gt;=BT129,RowsPreferredOne,"-")</f>
        <v>-</v>
      </c>
      <c r="BW129" s="333"/>
      <c r="BX129" s="333"/>
      <c r="BY129" s="333"/>
      <c r="BZ129" s="333"/>
      <c r="CA129" s="333"/>
      <c r="CB129" s="333"/>
      <c r="CC129" s="333"/>
      <c r="CD129" s="333"/>
      <c r="CE129" s="333"/>
      <c r="CF129" s="333"/>
      <c r="CG129" s="354">
        <f t="shared" si="107"/>
        <v>106</v>
      </c>
      <c r="CH129" s="613">
        <f t="shared" si="108"/>
        <v>0</v>
      </c>
      <c r="CI129" s="613">
        <f t="shared" si="109"/>
        <v>0</v>
      </c>
      <c r="CJ129" s="614" t="str">
        <f t="shared" si="110"/>
        <v/>
      </c>
      <c r="CK129" s="615" t="str">
        <f t="shared" si="111"/>
        <v/>
      </c>
      <c r="CL129" s="610" t="str">
        <f>IF(ISBLANK(H129),"",IF(AND(ISNUMBER(F129),ISNUMBER(G129),ISNUMBER(H129)),ROUND(F129/(H129*G129),2),ROUND(F129/(VALUE(LEFT(H129,SUM(LEN(H129)-LEN(SUBSTITUTE(H129,{"0","1","2","3","4","5","6","7","8","9","."},"")))))*G129),2)))</f>
        <v/>
      </c>
      <c r="CM129" s="616" t="str">
        <f t="shared" si="163"/>
        <v/>
      </c>
      <c r="CN129" s="616" t="str">
        <f>IF(ISNUMBER(P129),MAX('Adjustment factors'!$S$16,(0.2+0.8*P129)),IF(ISTEXT(N129),VLOOKUP(N129,Afactors,2,FALSE),""))</f>
        <v/>
      </c>
      <c r="CO129" s="616" t="str">
        <f>IF(ISNUMBER(S129),MAX('Adjustment factors'!$S$16,0.2+0.8*S129),IF(ISTEXT(Q129),VLOOKUP(Q129,Afactors,2,FALSE),""))</f>
        <v/>
      </c>
      <c r="CP129" s="611" t="str">
        <f t="shared" si="139"/>
        <v/>
      </c>
      <c r="CQ129" s="612" t="str">
        <f t="shared" si="140"/>
        <v/>
      </c>
      <c r="CR129" s="340"/>
      <c r="CS129" s="416"/>
      <c r="CT129" s="416"/>
      <c r="CU129" s="340"/>
      <c r="CV129" s="333"/>
      <c r="CW129" s="333"/>
      <c r="CX129" s="333"/>
      <c r="CY129" s="333"/>
      <c r="DA129" s="313" t="str">
        <f t="shared" si="112"/>
        <v>OK</v>
      </c>
      <c r="DB129" s="313" t="str">
        <f t="shared" si="113"/>
        <v>OK</v>
      </c>
      <c r="DC129" s="313" t="str">
        <f t="shared" si="114"/>
        <v>OK</v>
      </c>
      <c r="DD129" s="313" t="str">
        <f t="shared" si="115"/>
        <v>OK</v>
      </c>
      <c r="DE129" s="153" t="str">
        <f t="shared" si="116"/>
        <v>OK</v>
      </c>
      <c r="DF129" s="314" t="str">
        <f t="shared" si="117"/>
        <v>OK</v>
      </c>
      <c r="DG129" s="482" t="str">
        <f t="shared" si="141"/>
        <v>OK</v>
      </c>
      <c r="DH129" s="482" t="str">
        <f>IF(OR(AND(T129='Adjustment factors'!$R$28,'Class 3, 5-9'!U129='Adjustment factors'!$R$29),AND('Class 3, 5-9'!T129='Adjustment factors'!$R$29,'Class 3, 5-9'!U129='Adjustment factors'!$R$28)),"Invalid combination of adjustment factors",IF(AND(T129=U129,NOT(ISBLANK(T129)),NOT(ISBLANK(U129))),"Same colour factor selected twice","OK"))</f>
        <v>OK</v>
      </c>
      <c r="DI129" s="313" t="str">
        <f t="shared" si="118"/>
        <v>OK</v>
      </c>
      <c r="DJ129" s="153" t="str">
        <f t="shared" si="164"/>
        <v>OK</v>
      </c>
      <c r="DK129" s="153" t="str">
        <f t="shared" si="119"/>
        <v>OK</v>
      </c>
      <c r="DL129" s="313" t="str">
        <f t="shared" si="120"/>
        <v>OK</v>
      </c>
      <c r="DM129" s="153" t="str">
        <f t="shared" si="121"/>
        <v>OK</v>
      </c>
      <c r="DN129" s="153" t="str">
        <f t="shared" si="165"/>
        <v>OK</v>
      </c>
      <c r="DO129" s="154" t="str">
        <f t="shared" si="166"/>
        <v>OK</v>
      </c>
      <c r="DP129" s="153" t="str">
        <f t="shared" si="122"/>
        <v>OK</v>
      </c>
      <c r="DQ129" s="313" t="str">
        <f t="shared" si="123"/>
        <v>OK</v>
      </c>
      <c r="DR129" s="153" t="str">
        <f t="shared" si="167"/>
        <v>OK</v>
      </c>
      <c r="DS129" s="153" t="str">
        <f t="shared" si="124"/>
        <v>OK</v>
      </c>
      <c r="DT129" s="313" t="str">
        <f t="shared" si="153"/>
        <v>OK</v>
      </c>
      <c r="DU129" s="153" t="str">
        <f t="shared" si="125"/>
        <v>OK</v>
      </c>
      <c r="DV129" s="153" t="str">
        <f t="shared" si="168"/>
        <v>OK</v>
      </c>
      <c r="DW129" s="154" t="str">
        <f t="shared" si="169"/>
        <v>OK</v>
      </c>
      <c r="DX129" s="157">
        <f t="shared" si="170"/>
        <v>0</v>
      </c>
      <c r="DY129" s="156" t="str">
        <f t="shared" si="171"/>
        <v>OK</v>
      </c>
    </row>
    <row r="130" spans="1:129" ht="13" hidden="1" x14ac:dyDescent="0.3">
      <c r="A130" s="333"/>
      <c r="B130" s="333"/>
      <c r="C130" s="331" t="str">
        <f t="shared" si="154"/>
        <v>-</v>
      </c>
      <c r="D130" s="584">
        <f t="shared" si="176"/>
        <v>107</v>
      </c>
      <c r="E130" s="585"/>
      <c r="F130" s="586"/>
      <c r="G130" s="600"/>
      <c r="H130" s="587"/>
      <c r="I130" s="601"/>
      <c r="J130" s="585"/>
      <c r="K130" s="617"/>
      <c r="L130" s="602"/>
      <c r="M130" s="603"/>
      <c r="N130" s="588"/>
      <c r="O130" s="604"/>
      <c r="P130" s="605"/>
      <c r="Q130" s="588"/>
      <c r="R130" s="604"/>
      <c r="S130" s="605"/>
      <c r="T130" s="606"/>
      <c r="U130" s="606"/>
      <c r="V130" s="429" t="str">
        <f t="shared" ref="V130:V193" si="178">AV130</f>
        <v/>
      </c>
      <c r="W130" s="430" t="str">
        <f t="shared" si="175"/>
        <v/>
      </c>
      <c r="X130" s="66" t="str">
        <f>IF(AND(ISNUMBER(P130),N130=FixedDim),MAX('Adjustment factors'!$S$16,0.2+0.8*P130),IF(ISTEXT(N130),VLOOKUP(N130,Afactors,2,TRUE),""))</f>
        <v/>
      </c>
      <c r="Y130" s="17" t="str">
        <f>IF(AND(ISNUMBER(S130),Q130=FixedDim),MAX('Adjustment factors'!$S$16,0.2+0.8*S130),IF(ISTEXT(Q130),VLOOKUP(Q130,Afactors,2,TRUE),""))</f>
        <v/>
      </c>
      <c r="Z130" s="297" t="str">
        <f>IF(ISBLANK(T130),"",VLOOKUP(T130,'Adjustment factors'!$R$27:$S$30,2,TRUE))</f>
        <v/>
      </c>
      <c r="AA130" s="297" t="str">
        <f>IF(ISBLANK(U130),"",VLOOKUP(U130,'Adjustment factors'!$R$27:$S$30,2,TRUE))</f>
        <v/>
      </c>
      <c r="AB130" s="480">
        <f t="shared" si="127"/>
        <v>1</v>
      </c>
      <c r="AC130" s="18" t="b">
        <f t="shared" si="81"/>
        <v>0</v>
      </c>
      <c r="AD130" s="18" t="b">
        <f t="shared" si="82"/>
        <v>0</v>
      </c>
      <c r="AE130" s="18" t="b">
        <f t="shared" si="172"/>
        <v>0</v>
      </c>
      <c r="AF130" s="17" t="str">
        <f t="shared" si="83"/>
        <v/>
      </c>
      <c r="AG130" s="18" t="str">
        <f t="shared" si="84"/>
        <v/>
      </c>
      <c r="AH130" s="17" t="str">
        <f t="shared" si="173"/>
        <v/>
      </c>
      <c r="AI130" s="297" t="e">
        <f t="shared" si="129"/>
        <v>#VALUE!</v>
      </c>
      <c r="AJ130" s="79" t="e">
        <f t="shared" si="86"/>
        <v>#VALUE!</v>
      </c>
      <c r="AK130" s="17" t="str">
        <f t="shared" si="174"/>
        <v/>
      </c>
      <c r="AL130" s="80" t="e">
        <f t="shared" si="87"/>
        <v>#VALUE!</v>
      </c>
      <c r="AM130" s="139" t="b">
        <f t="shared" si="88"/>
        <v>1</v>
      </c>
      <c r="AN130" s="139" t="b">
        <f>AND(COUNTA(E130)&gt;0,ISNUMBER(F130),OR(COUNT(G130:H130)=0,COUNT(G130:H130)=2,AND(ISNUMBER(G130),ISNUMBER(VALUE(LEFT(H130,SUM(LEN(H130)-LEN(SUBSTITUTE(H130,{"0","1","2","3","4","5","6","7","8","9","."},"")))))))),ISNUMBER(I130),ISTEXT(J130))</f>
        <v>0</v>
      </c>
      <c r="AO130" s="19" t="b">
        <f t="shared" si="89"/>
        <v>0</v>
      </c>
      <c r="AP130" s="19" t="b">
        <f t="shared" si="90"/>
        <v>1</v>
      </c>
      <c r="AQ130" s="19" t="b">
        <f>IF(AND(COUNTBLANK(E130:J130)=6,OR(AN131:AN$523)),NOT(AN130))</f>
        <v>0</v>
      </c>
      <c r="AR130" s="19" t="str">
        <f t="shared" si="91"/>
        <v/>
      </c>
      <c r="AS130" s="19" t="b">
        <f t="shared" si="92"/>
        <v>1</v>
      </c>
      <c r="AT130" s="19" t="str">
        <f t="shared" si="93"/>
        <v/>
      </c>
      <c r="AU130" s="19" t="b">
        <f t="shared" si="94"/>
        <v>1</v>
      </c>
      <c r="AV130" s="140" t="str">
        <f t="shared" si="156"/>
        <v/>
      </c>
      <c r="AW130" s="19" t="str">
        <f t="shared" si="95"/>
        <v/>
      </c>
      <c r="AX130" s="81">
        <f t="shared" si="96"/>
        <v>0</v>
      </c>
      <c r="AY130" s="81" t="str">
        <f t="shared" si="97"/>
        <v/>
      </c>
      <c r="AZ130" s="307" t="str">
        <f t="shared" si="131"/>
        <v/>
      </c>
      <c r="BA130" s="281" t="str">
        <f t="shared" si="157"/>
        <v/>
      </c>
      <c r="BB130" s="281" t="str">
        <f t="shared" si="158"/>
        <v/>
      </c>
      <c r="BC130" s="953"/>
      <c r="BD130" s="955"/>
      <c r="BE130" s="219" t="str">
        <f t="shared" si="98"/>
        <v>n/a</v>
      </c>
      <c r="BF130" s="215" t="b">
        <f t="shared" si="99"/>
        <v>0</v>
      </c>
      <c r="BG130" s="145" t="b">
        <f t="shared" si="100"/>
        <v>0</v>
      </c>
      <c r="BH130" s="145" t="b">
        <f t="shared" si="101"/>
        <v>0</v>
      </c>
      <c r="BI130" s="216" t="b">
        <f t="shared" si="102"/>
        <v>0</v>
      </c>
      <c r="BJ130" s="215" t="b">
        <f t="shared" si="103"/>
        <v>0</v>
      </c>
      <c r="BK130" s="145" t="b">
        <f t="shared" si="104"/>
        <v>0</v>
      </c>
      <c r="BL130" s="216" t="b">
        <f t="shared" si="105"/>
        <v>0</v>
      </c>
      <c r="BM130" s="217" t="str">
        <f t="shared" si="159"/>
        <v/>
      </c>
      <c r="BN130" s="146" t="str">
        <f t="shared" si="160"/>
        <v/>
      </c>
      <c r="BO130" s="147" t="str">
        <f t="shared" si="161"/>
        <v/>
      </c>
      <c r="BP130" s="148" t="str">
        <f t="shared" si="162"/>
        <v/>
      </c>
      <c r="BT130" s="50">
        <f t="shared" si="177"/>
        <v>107</v>
      </c>
      <c r="BU130" s="50" t="str">
        <f t="shared" ref="BU130:BU132" si="179">IF(RowsPreferredOne&gt;=BT130,RowsPreferredOne,"-")</f>
        <v>-</v>
      </c>
      <c r="BW130" s="333"/>
      <c r="BX130" s="333"/>
      <c r="BY130" s="333"/>
      <c r="BZ130" s="333"/>
      <c r="CA130" s="333"/>
      <c r="CB130" s="333"/>
      <c r="CC130" s="333"/>
      <c r="CD130" s="333"/>
      <c r="CE130" s="333"/>
      <c r="CF130" s="333"/>
      <c r="CG130" s="354">
        <f t="shared" si="107"/>
        <v>107</v>
      </c>
      <c r="CH130" s="613">
        <f t="shared" si="108"/>
        <v>0</v>
      </c>
      <c r="CI130" s="613">
        <f t="shared" si="109"/>
        <v>0</v>
      </c>
      <c r="CJ130" s="614" t="str">
        <f t="shared" si="110"/>
        <v/>
      </c>
      <c r="CK130" s="615" t="str">
        <f t="shared" si="111"/>
        <v/>
      </c>
      <c r="CL130" s="610" t="str">
        <f>IF(ISBLANK(H130),"",IF(AND(ISNUMBER(F130),ISNUMBER(G130),ISNUMBER(H130)),ROUND(F130/(H130*G130),2),ROUND(F130/(VALUE(LEFT(H130,SUM(LEN(H130)-LEN(SUBSTITUTE(H130,{"0","1","2","3","4","5","6","7","8","9","."},"")))))*G130),2)))</f>
        <v/>
      </c>
      <c r="CM130" s="616" t="str">
        <f t="shared" si="163"/>
        <v/>
      </c>
      <c r="CN130" s="616" t="str">
        <f>IF(ISNUMBER(P130),MAX('Adjustment factors'!$S$16,(0.2+0.8*P130)),IF(ISTEXT(N130),VLOOKUP(N130,Afactors,2,FALSE),""))</f>
        <v/>
      </c>
      <c r="CO130" s="616" t="str">
        <f>IF(ISNUMBER(S130),MAX('Adjustment factors'!$S$16,0.2+0.8*S130),IF(ISTEXT(Q130),VLOOKUP(Q130,Afactors,2,FALSE),""))</f>
        <v/>
      </c>
      <c r="CP130" s="611" t="str">
        <f t="shared" si="139"/>
        <v/>
      </c>
      <c r="CQ130" s="612" t="str">
        <f t="shared" si="140"/>
        <v/>
      </c>
      <c r="CR130" s="340"/>
      <c r="CS130" s="340"/>
      <c r="CT130" s="340"/>
      <c r="CU130" s="340"/>
      <c r="CV130" s="333"/>
      <c r="CW130" s="333"/>
      <c r="CX130" s="333"/>
      <c r="CY130" s="333"/>
      <c r="DA130" s="313" t="str">
        <f t="shared" si="112"/>
        <v>OK</v>
      </c>
      <c r="DB130" s="313" t="str">
        <f t="shared" si="113"/>
        <v>OK</v>
      </c>
      <c r="DC130" s="313" t="str">
        <f t="shared" si="114"/>
        <v>OK</v>
      </c>
      <c r="DD130" s="313" t="str">
        <f t="shared" si="115"/>
        <v>OK</v>
      </c>
      <c r="DE130" s="153" t="str">
        <f t="shared" si="116"/>
        <v>OK</v>
      </c>
      <c r="DF130" s="314" t="str">
        <f t="shared" si="117"/>
        <v>OK</v>
      </c>
      <c r="DG130" s="482" t="str">
        <f t="shared" si="141"/>
        <v>OK</v>
      </c>
      <c r="DH130" s="482" t="str">
        <f>IF(OR(AND(T130='Adjustment factors'!$R$28,'Class 3, 5-9'!U130='Adjustment factors'!$R$29),AND('Class 3, 5-9'!T130='Adjustment factors'!$R$29,'Class 3, 5-9'!U130='Adjustment factors'!$R$28)),"Invalid combination of adjustment factors",IF(AND(T130=U130,NOT(ISBLANK(T130)),NOT(ISBLANK(U130))),"Same colour factor selected twice","OK"))</f>
        <v>OK</v>
      </c>
      <c r="DI130" s="313" t="str">
        <f t="shared" si="118"/>
        <v>OK</v>
      </c>
      <c r="DJ130" s="153" t="str">
        <f t="shared" si="164"/>
        <v>OK</v>
      </c>
      <c r="DK130" s="153" t="str">
        <f t="shared" si="119"/>
        <v>OK</v>
      </c>
      <c r="DL130" s="313" t="str">
        <f t="shared" si="120"/>
        <v>OK</v>
      </c>
      <c r="DM130" s="153" t="str">
        <f t="shared" si="121"/>
        <v>OK</v>
      </c>
      <c r="DN130" s="153" t="str">
        <f t="shared" si="165"/>
        <v>OK</v>
      </c>
      <c r="DO130" s="154" t="str">
        <f t="shared" si="166"/>
        <v>OK</v>
      </c>
      <c r="DP130" s="153" t="str">
        <f t="shared" si="122"/>
        <v>OK</v>
      </c>
      <c r="DQ130" s="313" t="str">
        <f t="shared" si="123"/>
        <v>OK</v>
      </c>
      <c r="DR130" s="153" t="str">
        <f t="shared" si="167"/>
        <v>OK</v>
      </c>
      <c r="DS130" s="153" t="str">
        <f t="shared" si="124"/>
        <v>OK</v>
      </c>
      <c r="DT130" s="313" t="str">
        <f t="shared" si="153"/>
        <v>OK</v>
      </c>
      <c r="DU130" s="153" t="str">
        <f t="shared" si="125"/>
        <v>OK</v>
      </c>
      <c r="DV130" s="153" t="str">
        <f t="shared" si="168"/>
        <v>OK</v>
      </c>
      <c r="DW130" s="154" t="str">
        <f t="shared" si="169"/>
        <v>OK</v>
      </c>
      <c r="DX130" s="157">
        <f t="shared" si="170"/>
        <v>0</v>
      </c>
      <c r="DY130" s="156" t="str">
        <f t="shared" si="171"/>
        <v>OK</v>
      </c>
    </row>
    <row r="131" spans="1:129" ht="13" hidden="1" x14ac:dyDescent="0.3">
      <c r="A131" s="333"/>
      <c r="B131" s="333"/>
      <c r="C131" s="331" t="str">
        <f t="shared" si="154"/>
        <v>-</v>
      </c>
      <c r="D131" s="584">
        <f t="shared" si="176"/>
        <v>108</v>
      </c>
      <c r="E131" s="585"/>
      <c r="F131" s="586"/>
      <c r="G131" s="600"/>
      <c r="H131" s="587"/>
      <c r="I131" s="601"/>
      <c r="J131" s="585"/>
      <c r="K131" s="617"/>
      <c r="L131" s="602"/>
      <c r="M131" s="603"/>
      <c r="N131" s="588"/>
      <c r="O131" s="604"/>
      <c r="P131" s="605"/>
      <c r="Q131" s="588"/>
      <c r="R131" s="604"/>
      <c r="S131" s="605"/>
      <c r="T131" s="606"/>
      <c r="U131" s="606"/>
      <c r="V131" s="429" t="str">
        <f t="shared" si="178"/>
        <v/>
      </c>
      <c r="W131" s="430" t="str">
        <f t="shared" si="175"/>
        <v/>
      </c>
      <c r="X131" s="66" t="str">
        <f>IF(AND(ISNUMBER(P131),N131=FixedDim),MAX('Adjustment factors'!$S$16,0.2+0.8*P131),IF(ISTEXT(N131),VLOOKUP(N131,Afactors,2,TRUE),""))</f>
        <v/>
      </c>
      <c r="Y131" s="17" t="str">
        <f>IF(AND(ISNUMBER(S131),Q131=FixedDim),MAX('Adjustment factors'!$S$16,0.2+0.8*S131),IF(ISTEXT(Q131),VLOOKUP(Q131,Afactors,2,TRUE),""))</f>
        <v/>
      </c>
      <c r="Z131" s="297" t="str">
        <f>IF(ISBLANK(T131),"",VLOOKUP(T131,'Adjustment factors'!$R$27:$S$30,2,TRUE))</f>
        <v/>
      </c>
      <c r="AA131" s="297" t="str">
        <f>IF(ISBLANK(U131),"",VLOOKUP(U131,'Adjustment factors'!$R$27:$S$30,2,TRUE))</f>
        <v/>
      </c>
      <c r="AB131" s="480">
        <f t="shared" si="127"/>
        <v>1</v>
      </c>
      <c r="AC131" s="18" t="b">
        <f t="shared" si="81"/>
        <v>0</v>
      </c>
      <c r="AD131" s="18" t="b">
        <f t="shared" si="82"/>
        <v>0</v>
      </c>
      <c r="AE131" s="18" t="b">
        <f t="shared" si="172"/>
        <v>0</v>
      </c>
      <c r="AF131" s="17" t="str">
        <f t="shared" si="83"/>
        <v/>
      </c>
      <c r="AG131" s="18" t="str">
        <f t="shared" si="84"/>
        <v/>
      </c>
      <c r="AH131" s="17" t="str">
        <f t="shared" si="173"/>
        <v/>
      </c>
      <c r="AI131" s="297" t="e">
        <f t="shared" si="129"/>
        <v>#VALUE!</v>
      </c>
      <c r="AJ131" s="79" t="e">
        <f t="shared" si="86"/>
        <v>#VALUE!</v>
      </c>
      <c r="AK131" s="17" t="str">
        <f t="shared" si="174"/>
        <v/>
      </c>
      <c r="AL131" s="80" t="e">
        <f t="shared" si="87"/>
        <v>#VALUE!</v>
      </c>
      <c r="AM131" s="139" t="b">
        <f t="shared" si="88"/>
        <v>1</v>
      </c>
      <c r="AN131" s="139" t="b">
        <f>AND(COUNTA(E131)&gt;0,ISNUMBER(F131),OR(COUNT(G131:H131)=0,COUNT(G131:H131)=2,AND(ISNUMBER(G131),ISNUMBER(VALUE(LEFT(H131,SUM(LEN(H131)-LEN(SUBSTITUTE(H131,{"0","1","2","3","4","5","6","7","8","9","."},"")))))))),ISNUMBER(I131),ISTEXT(J131))</f>
        <v>0</v>
      </c>
      <c r="AO131" s="19" t="b">
        <f t="shared" si="89"/>
        <v>0</v>
      </c>
      <c r="AP131" s="19" t="b">
        <f t="shared" si="90"/>
        <v>1</v>
      </c>
      <c r="AQ131" s="19" t="b">
        <f>IF(AND(COUNTBLANK(E131:J131)=6,OR(AN132:AN$523)),NOT(AN131))</f>
        <v>0</v>
      </c>
      <c r="AR131" s="19" t="str">
        <f t="shared" si="91"/>
        <v/>
      </c>
      <c r="AS131" s="19" t="b">
        <f t="shared" si="92"/>
        <v>1</v>
      </c>
      <c r="AT131" s="19" t="str">
        <f t="shared" si="93"/>
        <v/>
      </c>
      <c r="AU131" s="19" t="b">
        <f t="shared" si="94"/>
        <v>1</v>
      </c>
      <c r="AV131" s="140" t="str">
        <f t="shared" si="156"/>
        <v/>
      </c>
      <c r="AW131" s="19" t="str">
        <f t="shared" si="95"/>
        <v/>
      </c>
      <c r="AX131" s="81">
        <f t="shared" si="96"/>
        <v>0</v>
      </c>
      <c r="AY131" s="81" t="str">
        <f t="shared" si="97"/>
        <v/>
      </c>
      <c r="AZ131" s="307" t="str">
        <f t="shared" si="131"/>
        <v/>
      </c>
      <c r="BA131" s="281" t="str">
        <f t="shared" si="157"/>
        <v/>
      </c>
      <c r="BB131" s="281" t="str">
        <f t="shared" si="158"/>
        <v/>
      </c>
      <c r="BC131" s="953"/>
      <c r="BD131" s="955"/>
      <c r="BE131" s="219" t="str">
        <f t="shared" si="98"/>
        <v>n/a</v>
      </c>
      <c r="BF131" s="215" t="b">
        <f t="shared" si="99"/>
        <v>0</v>
      </c>
      <c r="BG131" s="145" t="b">
        <f t="shared" si="100"/>
        <v>0</v>
      </c>
      <c r="BH131" s="145" t="b">
        <f t="shared" si="101"/>
        <v>0</v>
      </c>
      <c r="BI131" s="216" t="b">
        <f t="shared" si="102"/>
        <v>0</v>
      </c>
      <c r="BJ131" s="215" t="b">
        <f t="shared" si="103"/>
        <v>0</v>
      </c>
      <c r="BK131" s="145" t="b">
        <f t="shared" si="104"/>
        <v>0</v>
      </c>
      <c r="BL131" s="216" t="b">
        <f t="shared" si="105"/>
        <v>0</v>
      </c>
      <c r="BM131" s="217" t="str">
        <f t="shared" si="159"/>
        <v/>
      </c>
      <c r="BN131" s="146" t="str">
        <f t="shared" si="160"/>
        <v/>
      </c>
      <c r="BO131" s="147" t="str">
        <f t="shared" si="161"/>
        <v/>
      </c>
      <c r="BP131" s="148" t="str">
        <f t="shared" si="162"/>
        <v/>
      </c>
      <c r="BT131" s="50">
        <f t="shared" si="177"/>
        <v>108</v>
      </c>
      <c r="BU131" s="50" t="str">
        <f t="shared" si="179"/>
        <v>-</v>
      </c>
      <c r="BW131" s="333"/>
      <c r="BX131" s="333"/>
      <c r="BY131" s="333"/>
      <c r="BZ131" s="333"/>
      <c r="CA131" s="333"/>
      <c r="CB131" s="333"/>
      <c r="CC131" s="333"/>
      <c r="CD131" s="333"/>
      <c r="CE131" s="333"/>
      <c r="CF131" s="333"/>
      <c r="CG131" s="354">
        <f t="shared" si="107"/>
        <v>108</v>
      </c>
      <c r="CH131" s="613">
        <f t="shared" si="108"/>
        <v>0</v>
      </c>
      <c r="CI131" s="613">
        <f t="shared" si="109"/>
        <v>0</v>
      </c>
      <c r="CJ131" s="614" t="str">
        <f t="shared" si="110"/>
        <v/>
      </c>
      <c r="CK131" s="615" t="str">
        <f t="shared" si="111"/>
        <v/>
      </c>
      <c r="CL131" s="610" t="str">
        <f>IF(ISBLANK(H131),"",IF(AND(ISNUMBER(F131),ISNUMBER(G131),ISNUMBER(H131)),ROUND(F131/(H131*G131),2),ROUND(F131/(VALUE(LEFT(H131,SUM(LEN(H131)-LEN(SUBSTITUTE(H131,{"0","1","2","3","4","5","6","7","8","9","."},"")))))*G131),2)))</f>
        <v/>
      </c>
      <c r="CM131" s="616" t="str">
        <f t="shared" si="163"/>
        <v/>
      </c>
      <c r="CN131" s="616" t="str">
        <f>IF(ISNUMBER(P131),MAX('Adjustment factors'!$S$16,(0.2+0.8*P131)),IF(ISTEXT(N131),VLOOKUP(N131,Afactors,2,FALSE),""))</f>
        <v/>
      </c>
      <c r="CO131" s="616" t="str">
        <f>IF(ISNUMBER(S131),MAX('Adjustment factors'!$S$16,0.2+0.8*S131),IF(ISTEXT(Q131),VLOOKUP(Q131,Afactors,2,FALSE),""))</f>
        <v/>
      </c>
      <c r="CP131" s="611" t="str">
        <f t="shared" si="139"/>
        <v/>
      </c>
      <c r="CQ131" s="612" t="str">
        <f t="shared" si="140"/>
        <v/>
      </c>
      <c r="CR131" s="340"/>
      <c r="CS131" s="340"/>
      <c r="CT131" s="340"/>
      <c r="CU131" s="340"/>
      <c r="CV131" s="333"/>
      <c r="CW131" s="333"/>
      <c r="CX131" s="333"/>
      <c r="CY131" s="333"/>
      <c r="DA131" s="313" t="str">
        <f t="shared" si="112"/>
        <v>OK</v>
      </c>
      <c r="DB131" s="313" t="str">
        <f t="shared" si="113"/>
        <v>OK</v>
      </c>
      <c r="DC131" s="313" t="str">
        <f t="shared" si="114"/>
        <v>OK</v>
      </c>
      <c r="DD131" s="313" t="str">
        <f t="shared" si="115"/>
        <v>OK</v>
      </c>
      <c r="DE131" s="153" t="str">
        <f t="shared" si="116"/>
        <v>OK</v>
      </c>
      <c r="DF131" s="314" t="str">
        <f t="shared" si="117"/>
        <v>OK</v>
      </c>
      <c r="DG131" s="482" t="str">
        <f t="shared" si="141"/>
        <v>OK</v>
      </c>
      <c r="DH131" s="482" t="str">
        <f>IF(OR(AND(T131='Adjustment factors'!$R$28,'Class 3, 5-9'!U131='Adjustment factors'!$R$29),AND('Class 3, 5-9'!T131='Adjustment factors'!$R$29,'Class 3, 5-9'!U131='Adjustment factors'!$R$28)),"Invalid combination of adjustment factors",IF(AND(T131=U131,NOT(ISBLANK(T131)),NOT(ISBLANK(U131))),"Same colour factor selected twice","OK"))</f>
        <v>OK</v>
      </c>
      <c r="DI131" s="313" t="str">
        <f t="shared" si="118"/>
        <v>OK</v>
      </c>
      <c r="DJ131" s="153" t="str">
        <f t="shared" si="164"/>
        <v>OK</v>
      </c>
      <c r="DK131" s="153" t="str">
        <f t="shared" si="119"/>
        <v>OK</v>
      </c>
      <c r="DL131" s="313" t="str">
        <f t="shared" si="120"/>
        <v>OK</v>
      </c>
      <c r="DM131" s="153" t="str">
        <f t="shared" si="121"/>
        <v>OK</v>
      </c>
      <c r="DN131" s="153" t="str">
        <f t="shared" si="165"/>
        <v>OK</v>
      </c>
      <c r="DO131" s="154" t="str">
        <f t="shared" si="166"/>
        <v>OK</v>
      </c>
      <c r="DP131" s="153" t="str">
        <f t="shared" si="122"/>
        <v>OK</v>
      </c>
      <c r="DQ131" s="313" t="str">
        <f t="shared" si="123"/>
        <v>OK</v>
      </c>
      <c r="DR131" s="153" t="str">
        <f t="shared" si="167"/>
        <v>OK</v>
      </c>
      <c r="DS131" s="153" t="str">
        <f t="shared" si="124"/>
        <v>OK</v>
      </c>
      <c r="DT131" s="313" t="str">
        <f t="shared" si="153"/>
        <v>OK</v>
      </c>
      <c r="DU131" s="153" t="str">
        <f t="shared" si="125"/>
        <v>OK</v>
      </c>
      <c r="DV131" s="153" t="str">
        <f t="shared" si="168"/>
        <v>OK</v>
      </c>
      <c r="DW131" s="154" t="str">
        <f t="shared" si="169"/>
        <v>OK</v>
      </c>
      <c r="DX131" s="157">
        <f t="shared" si="170"/>
        <v>0</v>
      </c>
      <c r="DY131" s="156" t="str">
        <f t="shared" si="171"/>
        <v>OK</v>
      </c>
    </row>
    <row r="132" spans="1:129" ht="13" hidden="1" x14ac:dyDescent="0.3">
      <c r="A132" s="333"/>
      <c r="B132" s="333"/>
      <c r="C132" s="331" t="str">
        <f t="shared" si="154"/>
        <v>-</v>
      </c>
      <c r="D132" s="584">
        <f t="shared" si="176"/>
        <v>109</v>
      </c>
      <c r="E132" s="585"/>
      <c r="F132" s="586"/>
      <c r="G132" s="600"/>
      <c r="H132" s="587"/>
      <c r="I132" s="601"/>
      <c r="J132" s="585"/>
      <c r="K132" s="617"/>
      <c r="L132" s="602"/>
      <c r="M132" s="603"/>
      <c r="N132" s="588"/>
      <c r="O132" s="604"/>
      <c r="P132" s="605"/>
      <c r="Q132" s="588"/>
      <c r="R132" s="604"/>
      <c r="S132" s="605"/>
      <c r="T132" s="606"/>
      <c r="U132" s="606"/>
      <c r="V132" s="429" t="str">
        <f t="shared" si="178"/>
        <v/>
      </c>
      <c r="W132" s="430" t="str">
        <f t="shared" si="175"/>
        <v/>
      </c>
      <c r="X132" s="66" t="str">
        <f>IF(AND(ISNUMBER(P132),N132=FixedDim),MAX('Adjustment factors'!$S$16,0.2+0.8*P132),IF(ISTEXT(N132),VLOOKUP(N132,Afactors,2,TRUE),""))</f>
        <v/>
      </c>
      <c r="Y132" s="17" t="str">
        <f>IF(AND(ISNUMBER(S132),Q132=FixedDim),MAX('Adjustment factors'!$S$16,0.2+0.8*S132),IF(ISTEXT(Q132),VLOOKUP(Q132,Afactors,2,TRUE),""))</f>
        <v/>
      </c>
      <c r="Z132" s="297" t="str">
        <f>IF(ISBLANK(T132),"",VLOOKUP(T132,'Adjustment factors'!$R$27:$S$30,2,TRUE))</f>
        <v/>
      </c>
      <c r="AA132" s="297" t="str">
        <f>IF(ISBLANK(U132),"",VLOOKUP(U132,'Adjustment factors'!$R$27:$S$30,2,TRUE))</f>
        <v/>
      </c>
      <c r="AB132" s="480">
        <f t="shared" si="127"/>
        <v>1</v>
      </c>
      <c r="AC132" s="18" t="b">
        <f t="shared" si="81"/>
        <v>0</v>
      </c>
      <c r="AD132" s="18" t="b">
        <f t="shared" si="82"/>
        <v>0</v>
      </c>
      <c r="AE132" s="18" t="b">
        <f t="shared" si="172"/>
        <v>0</v>
      </c>
      <c r="AF132" s="17" t="str">
        <f t="shared" si="83"/>
        <v/>
      </c>
      <c r="AG132" s="18" t="str">
        <f t="shared" si="84"/>
        <v/>
      </c>
      <c r="AH132" s="17" t="str">
        <f t="shared" si="173"/>
        <v/>
      </c>
      <c r="AI132" s="297" t="e">
        <f t="shared" si="129"/>
        <v>#VALUE!</v>
      </c>
      <c r="AJ132" s="79" t="e">
        <f t="shared" si="86"/>
        <v>#VALUE!</v>
      </c>
      <c r="AK132" s="17" t="str">
        <f t="shared" si="174"/>
        <v/>
      </c>
      <c r="AL132" s="80" t="e">
        <f t="shared" si="87"/>
        <v>#VALUE!</v>
      </c>
      <c r="AM132" s="139" t="b">
        <f t="shared" si="88"/>
        <v>1</v>
      </c>
      <c r="AN132" s="139" t="b">
        <f>AND(COUNTA(E132)&gt;0,ISNUMBER(F132),OR(COUNT(G132:H132)=0,COUNT(G132:H132)=2,AND(ISNUMBER(G132),ISNUMBER(VALUE(LEFT(H132,SUM(LEN(H132)-LEN(SUBSTITUTE(H132,{"0","1","2","3","4","5","6","7","8","9","."},"")))))))),ISNUMBER(I132),ISTEXT(J132))</f>
        <v>0</v>
      </c>
      <c r="AO132" s="19" t="b">
        <f t="shared" si="89"/>
        <v>0</v>
      </c>
      <c r="AP132" s="19" t="b">
        <f t="shared" si="90"/>
        <v>1</v>
      </c>
      <c r="AQ132" s="19" t="b">
        <f>IF(AND(COUNTBLANK(E132:J132)=6,OR(AN133:AN$523)),NOT(AN132))</f>
        <v>0</v>
      </c>
      <c r="AR132" s="19" t="str">
        <f t="shared" si="91"/>
        <v/>
      </c>
      <c r="AS132" s="19" t="b">
        <f t="shared" si="92"/>
        <v>1</v>
      </c>
      <c r="AT132" s="19" t="str">
        <f t="shared" si="93"/>
        <v/>
      </c>
      <c r="AU132" s="19" t="b">
        <f t="shared" si="94"/>
        <v>1</v>
      </c>
      <c r="AV132" s="140" t="str">
        <f t="shared" si="156"/>
        <v/>
      </c>
      <c r="AW132" s="19" t="str">
        <f t="shared" si="95"/>
        <v/>
      </c>
      <c r="AX132" s="81">
        <f t="shared" si="96"/>
        <v>0</v>
      </c>
      <c r="AY132" s="81" t="str">
        <f t="shared" si="97"/>
        <v/>
      </c>
      <c r="AZ132" s="307" t="str">
        <f t="shared" si="131"/>
        <v/>
      </c>
      <c r="BA132" s="281" t="str">
        <f t="shared" si="157"/>
        <v/>
      </c>
      <c r="BB132" s="281" t="str">
        <f t="shared" si="158"/>
        <v/>
      </c>
      <c r="BC132" s="953"/>
      <c r="BD132" s="955"/>
      <c r="BE132" s="219" t="str">
        <f t="shared" si="98"/>
        <v>n/a</v>
      </c>
      <c r="BF132" s="215" t="b">
        <f t="shared" si="99"/>
        <v>0</v>
      </c>
      <c r="BG132" s="145" t="b">
        <f t="shared" si="100"/>
        <v>0</v>
      </c>
      <c r="BH132" s="145" t="b">
        <f t="shared" si="101"/>
        <v>0</v>
      </c>
      <c r="BI132" s="216" t="b">
        <f t="shared" si="102"/>
        <v>0</v>
      </c>
      <c r="BJ132" s="215" t="b">
        <f t="shared" si="103"/>
        <v>0</v>
      </c>
      <c r="BK132" s="145" t="b">
        <f t="shared" si="104"/>
        <v>0</v>
      </c>
      <c r="BL132" s="216" t="b">
        <f t="shared" si="105"/>
        <v>0</v>
      </c>
      <c r="BM132" s="217" t="str">
        <f t="shared" si="159"/>
        <v/>
      </c>
      <c r="BN132" s="146" t="str">
        <f t="shared" si="160"/>
        <v/>
      </c>
      <c r="BO132" s="147" t="str">
        <f t="shared" si="161"/>
        <v/>
      </c>
      <c r="BP132" s="148" t="str">
        <f t="shared" si="162"/>
        <v/>
      </c>
      <c r="BT132" s="50">
        <f t="shared" si="177"/>
        <v>109</v>
      </c>
      <c r="BU132" s="50" t="str">
        <f t="shared" si="179"/>
        <v>-</v>
      </c>
      <c r="BW132" s="333"/>
      <c r="BX132" s="333"/>
      <c r="BY132" s="333"/>
      <c r="BZ132" s="333"/>
      <c r="CA132" s="333"/>
      <c r="CB132" s="333"/>
      <c r="CC132" s="333"/>
      <c r="CD132" s="333"/>
      <c r="CE132" s="333"/>
      <c r="CF132" s="333"/>
      <c r="CG132" s="354">
        <f t="shared" si="107"/>
        <v>109</v>
      </c>
      <c r="CH132" s="613">
        <f t="shared" si="108"/>
        <v>0</v>
      </c>
      <c r="CI132" s="613">
        <f t="shared" si="109"/>
        <v>0</v>
      </c>
      <c r="CJ132" s="614" t="str">
        <f t="shared" si="110"/>
        <v/>
      </c>
      <c r="CK132" s="615" t="str">
        <f t="shared" si="111"/>
        <v/>
      </c>
      <c r="CL132" s="610" t="str">
        <f>IF(ISBLANK(H132),"",IF(AND(ISNUMBER(F132),ISNUMBER(G132),ISNUMBER(H132)),ROUND(F132/(H132*G132),2),ROUND(F132/(VALUE(LEFT(H132,SUM(LEN(H132)-LEN(SUBSTITUTE(H132,{"0","1","2","3","4","5","6","7","8","9","."},"")))))*G132),2)))</f>
        <v/>
      </c>
      <c r="CM132" s="616" t="str">
        <f t="shared" si="163"/>
        <v/>
      </c>
      <c r="CN132" s="616" t="str">
        <f>IF(ISNUMBER(P132),MAX('Adjustment factors'!$S$16,(0.2+0.8*P132)),IF(ISTEXT(N132),VLOOKUP(N132,Afactors,2,FALSE),""))</f>
        <v/>
      </c>
      <c r="CO132" s="616" t="str">
        <f>IF(ISNUMBER(S132),MAX('Adjustment factors'!$S$16,0.2+0.8*S132),IF(ISTEXT(Q132),VLOOKUP(Q132,Afactors,2,FALSE),""))</f>
        <v/>
      </c>
      <c r="CP132" s="611" t="str">
        <f t="shared" si="139"/>
        <v/>
      </c>
      <c r="CQ132" s="612" t="str">
        <f t="shared" si="140"/>
        <v/>
      </c>
      <c r="CR132" s="340"/>
      <c r="CS132" s="340"/>
      <c r="CT132" s="340"/>
      <c r="CU132" s="340"/>
      <c r="CV132" s="333"/>
      <c r="CW132" s="333"/>
      <c r="CX132" s="333"/>
      <c r="CY132" s="333"/>
      <c r="DA132" s="313" t="str">
        <f t="shared" si="112"/>
        <v>OK</v>
      </c>
      <c r="DB132" s="313" t="str">
        <f t="shared" si="113"/>
        <v>OK</v>
      </c>
      <c r="DC132" s="313" t="str">
        <f t="shared" si="114"/>
        <v>OK</v>
      </c>
      <c r="DD132" s="313" t="str">
        <f t="shared" si="115"/>
        <v>OK</v>
      </c>
      <c r="DE132" s="153" t="str">
        <f t="shared" si="116"/>
        <v>OK</v>
      </c>
      <c r="DF132" s="314" t="str">
        <f t="shared" si="117"/>
        <v>OK</v>
      </c>
      <c r="DG132" s="482" t="str">
        <f t="shared" si="141"/>
        <v>OK</v>
      </c>
      <c r="DH132" s="482" t="str">
        <f>IF(OR(AND(T132='Adjustment factors'!$R$28,'Class 3, 5-9'!U132='Adjustment factors'!$R$29),AND('Class 3, 5-9'!T132='Adjustment factors'!$R$29,'Class 3, 5-9'!U132='Adjustment factors'!$R$28)),"Invalid combination of adjustment factors",IF(AND(T132=U132,NOT(ISBLANK(T132)),NOT(ISBLANK(U132))),"Same colour factor selected twice","OK"))</f>
        <v>OK</v>
      </c>
      <c r="DI132" s="313" t="str">
        <f t="shared" si="118"/>
        <v>OK</v>
      </c>
      <c r="DJ132" s="153" t="str">
        <f t="shared" si="164"/>
        <v>OK</v>
      </c>
      <c r="DK132" s="153" t="str">
        <f t="shared" si="119"/>
        <v>OK</v>
      </c>
      <c r="DL132" s="313" t="str">
        <f t="shared" si="120"/>
        <v>OK</v>
      </c>
      <c r="DM132" s="153" t="str">
        <f t="shared" si="121"/>
        <v>OK</v>
      </c>
      <c r="DN132" s="153" t="str">
        <f t="shared" si="165"/>
        <v>OK</v>
      </c>
      <c r="DO132" s="154" t="str">
        <f t="shared" si="166"/>
        <v>OK</v>
      </c>
      <c r="DP132" s="153" t="str">
        <f t="shared" si="122"/>
        <v>OK</v>
      </c>
      <c r="DQ132" s="313" t="str">
        <f t="shared" si="123"/>
        <v>OK</v>
      </c>
      <c r="DR132" s="153" t="str">
        <f t="shared" si="167"/>
        <v>OK</v>
      </c>
      <c r="DS132" s="153" t="str">
        <f t="shared" si="124"/>
        <v>OK</v>
      </c>
      <c r="DT132" s="313" t="str">
        <f t="shared" si="153"/>
        <v>OK</v>
      </c>
      <c r="DU132" s="153" t="str">
        <f t="shared" si="125"/>
        <v>OK</v>
      </c>
      <c r="DV132" s="153" t="str">
        <f t="shared" si="168"/>
        <v>OK</v>
      </c>
      <c r="DW132" s="154" t="str">
        <f t="shared" si="169"/>
        <v>OK</v>
      </c>
      <c r="DX132" s="157">
        <f t="shared" si="170"/>
        <v>0</v>
      </c>
      <c r="DY132" s="156" t="str">
        <f t="shared" si="171"/>
        <v>OK</v>
      </c>
    </row>
    <row r="133" spans="1:129" ht="13" hidden="1" x14ac:dyDescent="0.3">
      <c r="A133" s="333"/>
      <c r="B133" s="333"/>
      <c r="C133" s="331" t="str">
        <f t="shared" si="154"/>
        <v>-</v>
      </c>
      <c r="D133" s="584">
        <f t="shared" si="176"/>
        <v>110</v>
      </c>
      <c r="E133" s="585"/>
      <c r="F133" s="586"/>
      <c r="G133" s="600"/>
      <c r="H133" s="587"/>
      <c r="I133" s="601"/>
      <c r="J133" s="585"/>
      <c r="K133" s="617"/>
      <c r="L133" s="602"/>
      <c r="M133" s="603"/>
      <c r="N133" s="588"/>
      <c r="O133" s="604"/>
      <c r="P133" s="605"/>
      <c r="Q133" s="588"/>
      <c r="R133" s="604"/>
      <c r="S133" s="605"/>
      <c r="T133" s="606"/>
      <c r="U133" s="606"/>
      <c r="V133" s="429" t="str">
        <f t="shared" si="178"/>
        <v/>
      </c>
      <c r="W133" s="430" t="str">
        <f t="shared" si="175"/>
        <v/>
      </c>
      <c r="X133" s="66" t="str">
        <f>IF(AND(ISNUMBER(P133),N133=FixedDim),MAX('Adjustment factors'!$S$16,0.2+0.8*P133),IF(ISTEXT(N133),VLOOKUP(N133,Afactors,2,TRUE),""))</f>
        <v/>
      </c>
      <c r="Y133" s="17" t="str">
        <f>IF(AND(ISNUMBER(S133),Q133=FixedDim),MAX('Adjustment factors'!$S$16,0.2+0.8*S133),IF(ISTEXT(Q133),VLOOKUP(Q133,Afactors,2,TRUE),""))</f>
        <v/>
      </c>
      <c r="Z133" s="297" t="str">
        <f>IF(ISBLANK(T133),"",VLOOKUP(T133,'Adjustment factors'!$R$27:$S$30,2,TRUE))</f>
        <v/>
      </c>
      <c r="AA133" s="297" t="str">
        <f>IF(ISBLANK(U133),"",VLOOKUP(U133,'Adjustment factors'!$R$27:$S$30,2,TRUE))</f>
        <v/>
      </c>
      <c r="AB133" s="480">
        <f t="shared" si="127"/>
        <v>1</v>
      </c>
      <c r="AC133" s="18" t="b">
        <f t="shared" si="81"/>
        <v>0</v>
      </c>
      <c r="AD133" s="18" t="b">
        <f t="shared" si="82"/>
        <v>0</v>
      </c>
      <c r="AE133" s="18" t="b">
        <f t="shared" si="172"/>
        <v>0</v>
      </c>
      <c r="AF133" s="17" t="str">
        <f t="shared" si="83"/>
        <v/>
      </c>
      <c r="AG133" s="18" t="str">
        <f t="shared" si="84"/>
        <v/>
      </c>
      <c r="AH133" s="17" t="str">
        <f t="shared" si="173"/>
        <v/>
      </c>
      <c r="AI133" s="297" t="e">
        <f t="shared" si="129"/>
        <v>#VALUE!</v>
      </c>
      <c r="AJ133" s="79" t="e">
        <f t="shared" si="86"/>
        <v>#VALUE!</v>
      </c>
      <c r="AK133" s="17" t="str">
        <f t="shared" si="174"/>
        <v/>
      </c>
      <c r="AL133" s="80" t="e">
        <f t="shared" si="87"/>
        <v>#VALUE!</v>
      </c>
      <c r="AM133" s="139" t="b">
        <f t="shared" si="88"/>
        <v>1</v>
      </c>
      <c r="AN133" s="139" t="b">
        <f>AND(COUNTA(E133)&gt;0,ISNUMBER(F133),OR(COUNT(G133:H133)=0,COUNT(G133:H133)=2,AND(ISNUMBER(G133),ISNUMBER(VALUE(LEFT(H133,SUM(LEN(H133)-LEN(SUBSTITUTE(H133,{"0","1","2","3","4","5","6","7","8","9","."},"")))))))),ISNUMBER(I133),ISTEXT(J133))</f>
        <v>0</v>
      </c>
      <c r="AO133" s="19" t="b">
        <f t="shared" si="89"/>
        <v>0</v>
      </c>
      <c r="AP133" s="19" t="b">
        <f t="shared" si="90"/>
        <v>1</v>
      </c>
      <c r="AQ133" s="19" t="b">
        <f>IF(AND(COUNTBLANK(E133:J133)=6,OR(AN134:AN$523)),NOT(AN133))</f>
        <v>0</v>
      </c>
      <c r="AR133" s="19" t="str">
        <f t="shared" si="91"/>
        <v/>
      </c>
      <c r="AS133" s="19" t="b">
        <f t="shared" si="92"/>
        <v>1</v>
      </c>
      <c r="AT133" s="19" t="str">
        <f t="shared" si="93"/>
        <v/>
      </c>
      <c r="AU133" s="19" t="b">
        <f t="shared" si="94"/>
        <v>1</v>
      </c>
      <c r="AV133" s="140" t="str">
        <f t="shared" si="156"/>
        <v/>
      </c>
      <c r="AW133" s="19" t="str">
        <f t="shared" si="95"/>
        <v/>
      </c>
      <c r="AX133" s="81">
        <f t="shared" si="96"/>
        <v>0</v>
      </c>
      <c r="AY133" s="81" t="str">
        <f t="shared" si="97"/>
        <v/>
      </c>
      <c r="AZ133" s="307" t="str">
        <f t="shared" si="131"/>
        <v/>
      </c>
      <c r="BA133" s="281" t="str">
        <f t="shared" si="157"/>
        <v/>
      </c>
      <c r="BB133" s="281" t="str">
        <f t="shared" si="158"/>
        <v/>
      </c>
      <c r="BC133" s="953"/>
      <c r="BD133" s="955"/>
      <c r="BE133" s="219" t="str">
        <f t="shared" si="98"/>
        <v>n/a</v>
      </c>
      <c r="BF133" s="215" t="b">
        <f t="shared" si="99"/>
        <v>0</v>
      </c>
      <c r="BG133" s="145" t="b">
        <f t="shared" si="100"/>
        <v>0</v>
      </c>
      <c r="BH133" s="145" t="b">
        <f t="shared" si="101"/>
        <v>0</v>
      </c>
      <c r="BI133" s="216" t="b">
        <f t="shared" si="102"/>
        <v>0</v>
      </c>
      <c r="BJ133" s="215" t="b">
        <f t="shared" si="103"/>
        <v>0</v>
      </c>
      <c r="BK133" s="145" t="b">
        <f t="shared" si="104"/>
        <v>0</v>
      </c>
      <c r="BL133" s="216" t="b">
        <f t="shared" si="105"/>
        <v>0</v>
      </c>
      <c r="BM133" s="217" t="str">
        <f t="shared" si="159"/>
        <v/>
      </c>
      <c r="BN133" s="146" t="str">
        <f t="shared" si="160"/>
        <v/>
      </c>
      <c r="BO133" s="147" t="str">
        <f t="shared" si="161"/>
        <v/>
      </c>
      <c r="BP133" s="148" t="str">
        <f t="shared" si="162"/>
        <v/>
      </c>
      <c r="BT133" s="50">
        <f t="shared" si="177"/>
        <v>110</v>
      </c>
      <c r="BU133" s="50" t="str">
        <f>IF(RowsPreferredOne&gt;=BT133,RowsPreferredOne,"-")</f>
        <v>-</v>
      </c>
      <c r="BW133" s="333"/>
      <c r="BX133" s="333"/>
      <c r="BY133" s="333"/>
      <c r="BZ133" s="333"/>
      <c r="CA133" s="333"/>
      <c r="CB133" s="333"/>
      <c r="CC133" s="333"/>
      <c r="CD133" s="333"/>
      <c r="CE133" s="333"/>
      <c r="CF133" s="333"/>
      <c r="CG133" s="354">
        <f t="shared" si="107"/>
        <v>110</v>
      </c>
      <c r="CH133" s="613">
        <f t="shared" si="108"/>
        <v>0</v>
      </c>
      <c r="CI133" s="613">
        <f t="shared" si="109"/>
        <v>0</v>
      </c>
      <c r="CJ133" s="614" t="str">
        <f t="shared" si="110"/>
        <v/>
      </c>
      <c r="CK133" s="615" t="str">
        <f t="shared" si="111"/>
        <v/>
      </c>
      <c r="CL133" s="610" t="str">
        <f>IF(ISBLANK(H133),"",IF(AND(ISNUMBER(F133),ISNUMBER(G133),ISNUMBER(H133)),ROUND(F133/(H133*G133),2),ROUND(F133/(VALUE(LEFT(H133,SUM(LEN(H133)-LEN(SUBSTITUTE(H133,{"0","1","2","3","4","5","6","7","8","9","."},"")))))*G133),2)))</f>
        <v/>
      </c>
      <c r="CM133" s="616" t="str">
        <f t="shared" si="163"/>
        <v/>
      </c>
      <c r="CN133" s="616" t="str">
        <f>IF(ISNUMBER(P133),MAX('Adjustment factors'!$S$16,(0.2+0.8*P133)),IF(ISTEXT(N133),VLOOKUP(N133,Afactors,2,FALSE),""))</f>
        <v/>
      </c>
      <c r="CO133" s="616" t="str">
        <f>IF(ISNUMBER(S133),MAX('Adjustment factors'!$S$16,0.2+0.8*S133),IF(ISTEXT(Q133),VLOOKUP(Q133,Afactors,2,FALSE),""))</f>
        <v/>
      </c>
      <c r="CP133" s="611" t="str">
        <f t="shared" si="139"/>
        <v/>
      </c>
      <c r="CQ133" s="612" t="str">
        <f t="shared" si="140"/>
        <v/>
      </c>
      <c r="CR133" s="340"/>
      <c r="CS133" s="340"/>
      <c r="CT133" s="340"/>
      <c r="CU133" s="340"/>
      <c r="CV133" s="333"/>
      <c r="CW133" s="333"/>
      <c r="CX133" s="333"/>
      <c r="CY133" s="333"/>
      <c r="DA133" s="313" t="str">
        <f t="shared" si="112"/>
        <v>OK</v>
      </c>
      <c r="DB133" s="313" t="str">
        <f t="shared" si="113"/>
        <v>OK</v>
      </c>
      <c r="DC133" s="313" t="str">
        <f t="shared" si="114"/>
        <v>OK</v>
      </c>
      <c r="DD133" s="313" t="str">
        <f t="shared" si="115"/>
        <v>OK</v>
      </c>
      <c r="DE133" s="153" t="str">
        <f t="shared" si="116"/>
        <v>OK</v>
      </c>
      <c r="DF133" s="314" t="str">
        <f t="shared" si="117"/>
        <v>OK</v>
      </c>
      <c r="DG133" s="482" t="str">
        <f t="shared" si="141"/>
        <v>OK</v>
      </c>
      <c r="DH133" s="482" t="str">
        <f>IF(OR(AND(T133='Adjustment factors'!$R$28,'Class 3, 5-9'!U133='Adjustment factors'!$R$29),AND('Class 3, 5-9'!T133='Adjustment factors'!$R$29,'Class 3, 5-9'!U133='Adjustment factors'!$R$28)),"Invalid combination of adjustment factors",IF(AND(T133=U133,NOT(ISBLANK(T133)),NOT(ISBLANK(U133))),"Same colour factor selected twice","OK"))</f>
        <v>OK</v>
      </c>
      <c r="DI133" s="313" t="str">
        <f t="shared" si="118"/>
        <v>OK</v>
      </c>
      <c r="DJ133" s="153" t="str">
        <f t="shared" si="164"/>
        <v>OK</v>
      </c>
      <c r="DK133" s="153" t="str">
        <f t="shared" si="119"/>
        <v>OK</v>
      </c>
      <c r="DL133" s="313" t="str">
        <f t="shared" si="120"/>
        <v>OK</v>
      </c>
      <c r="DM133" s="153" t="str">
        <f t="shared" si="121"/>
        <v>OK</v>
      </c>
      <c r="DN133" s="153" t="str">
        <f t="shared" si="165"/>
        <v>OK</v>
      </c>
      <c r="DO133" s="154" t="str">
        <f t="shared" si="166"/>
        <v>OK</v>
      </c>
      <c r="DP133" s="153" t="str">
        <f t="shared" si="122"/>
        <v>OK</v>
      </c>
      <c r="DQ133" s="313" t="str">
        <f t="shared" si="123"/>
        <v>OK</v>
      </c>
      <c r="DR133" s="153" t="str">
        <f t="shared" si="167"/>
        <v>OK</v>
      </c>
      <c r="DS133" s="153" t="str">
        <f t="shared" si="124"/>
        <v>OK</v>
      </c>
      <c r="DT133" s="313" t="str">
        <f t="shared" si="153"/>
        <v>OK</v>
      </c>
      <c r="DU133" s="153" t="str">
        <f t="shared" si="125"/>
        <v>OK</v>
      </c>
      <c r="DV133" s="153" t="str">
        <f t="shared" si="168"/>
        <v>OK</v>
      </c>
      <c r="DW133" s="154" t="str">
        <f t="shared" si="169"/>
        <v>OK</v>
      </c>
      <c r="DX133" s="157">
        <f t="shared" si="170"/>
        <v>0</v>
      </c>
      <c r="DY133" s="156" t="str">
        <f t="shared" si="171"/>
        <v>OK</v>
      </c>
    </row>
    <row r="134" spans="1:129" ht="13" hidden="1" x14ac:dyDescent="0.3">
      <c r="A134" s="333"/>
      <c r="B134" s="333"/>
      <c r="C134" s="331" t="str">
        <f t="shared" si="154"/>
        <v>-</v>
      </c>
      <c r="D134" s="584">
        <f t="shared" si="176"/>
        <v>111</v>
      </c>
      <c r="E134" s="585"/>
      <c r="F134" s="586"/>
      <c r="G134" s="600"/>
      <c r="H134" s="587"/>
      <c r="I134" s="601"/>
      <c r="J134" s="585"/>
      <c r="K134" s="617"/>
      <c r="L134" s="602"/>
      <c r="M134" s="603"/>
      <c r="N134" s="588"/>
      <c r="O134" s="604"/>
      <c r="P134" s="605"/>
      <c r="Q134" s="588"/>
      <c r="R134" s="604"/>
      <c r="S134" s="605"/>
      <c r="T134" s="606"/>
      <c r="U134" s="606"/>
      <c r="V134" s="429" t="str">
        <f t="shared" si="178"/>
        <v/>
      </c>
      <c r="W134" s="430" t="str">
        <f t="shared" si="175"/>
        <v/>
      </c>
      <c r="X134" s="66" t="str">
        <f>IF(AND(ISNUMBER(P134),N134=FixedDim),MAX('Adjustment factors'!$S$16,0.2+0.8*P134),IF(ISTEXT(N134),VLOOKUP(N134,Afactors,2,TRUE),""))</f>
        <v/>
      </c>
      <c r="Y134" s="17" t="str">
        <f>IF(AND(ISNUMBER(S134),Q134=FixedDim),MAX('Adjustment factors'!$S$16,0.2+0.8*S134),IF(ISTEXT(Q134),VLOOKUP(Q134,Afactors,2,TRUE),""))</f>
        <v/>
      </c>
      <c r="Z134" s="297" t="str">
        <f>IF(ISBLANK(T134),"",VLOOKUP(T134,'Adjustment factors'!$R$27:$S$30,2,TRUE))</f>
        <v/>
      </c>
      <c r="AA134" s="297" t="str">
        <f>IF(ISBLANK(U134),"",VLOOKUP(U134,'Adjustment factors'!$R$27:$S$30,2,TRUE))</f>
        <v/>
      </c>
      <c r="AB134" s="480">
        <f t="shared" si="127"/>
        <v>1</v>
      </c>
      <c r="AC134" s="18" t="b">
        <f t="shared" si="81"/>
        <v>0</v>
      </c>
      <c r="AD134" s="18" t="b">
        <f t="shared" si="82"/>
        <v>0</v>
      </c>
      <c r="AE134" s="18" t="b">
        <f t="shared" si="172"/>
        <v>0</v>
      </c>
      <c r="AF134" s="17" t="str">
        <f t="shared" si="83"/>
        <v/>
      </c>
      <c r="AG134" s="18" t="str">
        <f t="shared" si="84"/>
        <v/>
      </c>
      <c r="AH134" s="17" t="str">
        <f t="shared" si="173"/>
        <v/>
      </c>
      <c r="AI134" s="297" t="e">
        <f t="shared" si="129"/>
        <v>#VALUE!</v>
      </c>
      <c r="AJ134" s="79" t="e">
        <f t="shared" si="86"/>
        <v>#VALUE!</v>
      </c>
      <c r="AK134" s="17" t="str">
        <f t="shared" si="174"/>
        <v/>
      </c>
      <c r="AL134" s="80" t="e">
        <f t="shared" si="87"/>
        <v>#VALUE!</v>
      </c>
      <c r="AM134" s="139" t="b">
        <f t="shared" si="88"/>
        <v>1</v>
      </c>
      <c r="AN134" s="139" t="b">
        <f>AND(COUNTA(E134)&gt;0,ISNUMBER(F134),OR(COUNT(G134:H134)=0,COUNT(G134:H134)=2,AND(ISNUMBER(G134),ISNUMBER(VALUE(LEFT(H134,SUM(LEN(H134)-LEN(SUBSTITUTE(H134,{"0","1","2","3","4","5","6","7","8","9","."},"")))))))),ISNUMBER(I134),ISTEXT(J134))</f>
        <v>0</v>
      </c>
      <c r="AO134" s="19" t="b">
        <f t="shared" si="89"/>
        <v>0</v>
      </c>
      <c r="AP134" s="19" t="b">
        <f t="shared" si="90"/>
        <v>1</v>
      </c>
      <c r="AQ134" s="19" t="b">
        <f>IF(AND(COUNTBLANK(E134:J134)=6,OR(AN135:AN$523)),NOT(AN134))</f>
        <v>0</v>
      </c>
      <c r="AR134" s="19" t="str">
        <f t="shared" si="91"/>
        <v/>
      </c>
      <c r="AS134" s="19" t="b">
        <f t="shared" si="92"/>
        <v>1</v>
      </c>
      <c r="AT134" s="19" t="str">
        <f t="shared" si="93"/>
        <v/>
      </c>
      <c r="AU134" s="19" t="b">
        <f t="shared" si="94"/>
        <v>1</v>
      </c>
      <c r="AV134" s="140" t="str">
        <f t="shared" si="156"/>
        <v/>
      </c>
      <c r="AW134" s="19" t="str">
        <f t="shared" si="95"/>
        <v/>
      </c>
      <c r="AX134" s="81">
        <f t="shared" si="96"/>
        <v>0</v>
      </c>
      <c r="AY134" s="81" t="str">
        <f t="shared" si="97"/>
        <v/>
      </c>
      <c r="AZ134" s="307" t="str">
        <f t="shared" si="131"/>
        <v/>
      </c>
      <c r="BA134" s="281" t="str">
        <f t="shared" si="157"/>
        <v/>
      </c>
      <c r="BB134" s="281" t="str">
        <f t="shared" si="158"/>
        <v/>
      </c>
      <c r="BC134" s="953"/>
      <c r="BD134" s="955"/>
      <c r="BE134" s="219" t="str">
        <f t="shared" si="98"/>
        <v>n/a</v>
      </c>
      <c r="BF134" s="215" t="b">
        <f t="shared" si="99"/>
        <v>0</v>
      </c>
      <c r="BG134" s="145" t="b">
        <f t="shared" si="100"/>
        <v>0</v>
      </c>
      <c r="BH134" s="145" t="b">
        <f t="shared" si="101"/>
        <v>0</v>
      </c>
      <c r="BI134" s="216" t="b">
        <f t="shared" si="102"/>
        <v>0</v>
      </c>
      <c r="BJ134" s="215" t="b">
        <f t="shared" si="103"/>
        <v>0</v>
      </c>
      <c r="BK134" s="145" t="b">
        <f t="shared" si="104"/>
        <v>0</v>
      </c>
      <c r="BL134" s="216" t="b">
        <f t="shared" si="105"/>
        <v>0</v>
      </c>
      <c r="BM134" s="217" t="str">
        <f t="shared" si="159"/>
        <v/>
      </c>
      <c r="BN134" s="146" t="str">
        <f t="shared" si="160"/>
        <v/>
      </c>
      <c r="BO134" s="147" t="str">
        <f t="shared" si="161"/>
        <v/>
      </c>
      <c r="BP134" s="148" t="str">
        <f t="shared" si="162"/>
        <v/>
      </c>
      <c r="BT134" s="50">
        <f t="shared" si="177"/>
        <v>111</v>
      </c>
      <c r="BU134" s="50" t="str">
        <f t="shared" ref="BU134:BU197" si="180">IF(RowsPreferredOne&gt;=BT134,RowsPreferredOne,"-")</f>
        <v>-</v>
      </c>
      <c r="BW134" s="333"/>
      <c r="BX134" s="333"/>
      <c r="BY134" s="333"/>
      <c r="BZ134" s="333"/>
      <c r="CA134" s="333"/>
      <c r="CB134" s="333"/>
      <c r="CC134" s="333"/>
      <c r="CD134" s="333"/>
      <c r="CE134" s="333"/>
      <c r="CF134" s="333"/>
      <c r="CG134" s="354">
        <f t="shared" si="107"/>
        <v>111</v>
      </c>
      <c r="CH134" s="613">
        <f t="shared" si="108"/>
        <v>0</v>
      </c>
      <c r="CI134" s="613">
        <f t="shared" si="109"/>
        <v>0</v>
      </c>
      <c r="CJ134" s="614" t="str">
        <f t="shared" si="110"/>
        <v/>
      </c>
      <c r="CK134" s="615" t="str">
        <f t="shared" si="111"/>
        <v/>
      </c>
      <c r="CL134" s="610" t="str">
        <f>IF(ISBLANK(H134),"",IF(AND(ISNUMBER(F134),ISNUMBER(G134),ISNUMBER(H134)),ROUND(F134/(H134*G134),2),ROUND(F134/(VALUE(LEFT(H134,SUM(LEN(H134)-LEN(SUBSTITUTE(H134,{"0","1","2","3","4","5","6","7","8","9","."},"")))))*G134),2)))</f>
        <v/>
      </c>
      <c r="CM134" s="616" t="str">
        <f t="shared" si="163"/>
        <v/>
      </c>
      <c r="CN134" s="616" t="str">
        <f>IF(ISNUMBER(P134),MAX('Adjustment factors'!$S$16,(0.2+0.8*P134)),IF(ISTEXT(N134),VLOOKUP(N134,Afactors,2,FALSE),""))</f>
        <v/>
      </c>
      <c r="CO134" s="616" t="str">
        <f>IF(ISNUMBER(S134),MAX('Adjustment factors'!$S$16,0.2+0.8*S134),IF(ISTEXT(Q134),VLOOKUP(Q134,Afactors,2,FALSE),""))</f>
        <v/>
      </c>
      <c r="CP134" s="611" t="str">
        <f t="shared" si="139"/>
        <v/>
      </c>
      <c r="CQ134" s="612" t="str">
        <f t="shared" si="140"/>
        <v/>
      </c>
      <c r="CR134" s="340"/>
      <c r="CS134" s="340"/>
      <c r="CT134" s="340"/>
      <c r="CU134" s="340"/>
      <c r="CV134" s="333"/>
      <c r="CW134" s="333"/>
      <c r="CX134" s="333"/>
      <c r="CY134" s="333"/>
      <c r="DA134" s="313" t="str">
        <f t="shared" si="112"/>
        <v>OK</v>
      </c>
      <c r="DB134" s="313" t="str">
        <f t="shared" si="113"/>
        <v>OK</v>
      </c>
      <c r="DC134" s="313" t="str">
        <f t="shared" si="114"/>
        <v>OK</v>
      </c>
      <c r="DD134" s="313" t="str">
        <f t="shared" si="115"/>
        <v>OK</v>
      </c>
      <c r="DE134" s="153" t="str">
        <f t="shared" si="116"/>
        <v>OK</v>
      </c>
      <c r="DF134" s="314" t="str">
        <f t="shared" si="117"/>
        <v>OK</v>
      </c>
      <c r="DG134" s="482" t="str">
        <f t="shared" si="141"/>
        <v>OK</v>
      </c>
      <c r="DH134" s="482" t="str">
        <f>IF(OR(AND(T134='Adjustment factors'!$R$28,'Class 3, 5-9'!U134='Adjustment factors'!$R$29),AND('Class 3, 5-9'!T134='Adjustment factors'!$R$29,'Class 3, 5-9'!U134='Adjustment factors'!$R$28)),"Invalid combination of adjustment factors",IF(AND(T134=U134,NOT(ISBLANK(T134)),NOT(ISBLANK(U134))),"Same colour factor selected twice","OK"))</f>
        <v>OK</v>
      </c>
      <c r="DI134" s="313" t="str">
        <f t="shared" si="118"/>
        <v>OK</v>
      </c>
      <c r="DJ134" s="153" t="str">
        <f t="shared" si="164"/>
        <v>OK</v>
      </c>
      <c r="DK134" s="153" t="str">
        <f t="shared" si="119"/>
        <v>OK</v>
      </c>
      <c r="DL134" s="313" t="str">
        <f t="shared" si="120"/>
        <v>OK</v>
      </c>
      <c r="DM134" s="153" t="str">
        <f t="shared" si="121"/>
        <v>OK</v>
      </c>
      <c r="DN134" s="153" t="str">
        <f t="shared" si="165"/>
        <v>OK</v>
      </c>
      <c r="DO134" s="154" t="str">
        <f t="shared" si="166"/>
        <v>OK</v>
      </c>
      <c r="DP134" s="153" t="str">
        <f t="shared" si="122"/>
        <v>OK</v>
      </c>
      <c r="DQ134" s="313" t="str">
        <f t="shared" si="123"/>
        <v>OK</v>
      </c>
      <c r="DR134" s="153" t="str">
        <f t="shared" si="167"/>
        <v>OK</v>
      </c>
      <c r="DS134" s="153" t="str">
        <f t="shared" si="124"/>
        <v>OK</v>
      </c>
      <c r="DT134" s="313" t="str">
        <f t="shared" si="153"/>
        <v>OK</v>
      </c>
      <c r="DU134" s="153" t="str">
        <f t="shared" si="125"/>
        <v>OK</v>
      </c>
      <c r="DV134" s="153" t="str">
        <f t="shared" si="168"/>
        <v>OK</v>
      </c>
      <c r="DW134" s="154" t="str">
        <f t="shared" si="169"/>
        <v>OK</v>
      </c>
      <c r="DX134" s="157">
        <f t="shared" si="170"/>
        <v>0</v>
      </c>
      <c r="DY134" s="156" t="str">
        <f t="shared" si="171"/>
        <v>OK</v>
      </c>
    </row>
    <row r="135" spans="1:129" ht="13" hidden="1" x14ac:dyDescent="0.3">
      <c r="A135" s="333"/>
      <c r="B135" s="333"/>
      <c r="C135" s="331" t="str">
        <f>BU135</f>
        <v>-</v>
      </c>
      <c r="D135" s="584">
        <f t="shared" si="176"/>
        <v>112</v>
      </c>
      <c r="E135" s="585"/>
      <c r="F135" s="586"/>
      <c r="G135" s="600"/>
      <c r="H135" s="587"/>
      <c r="I135" s="601"/>
      <c r="J135" s="585"/>
      <c r="K135" s="617"/>
      <c r="L135" s="602"/>
      <c r="M135" s="603"/>
      <c r="N135" s="588"/>
      <c r="O135" s="604"/>
      <c r="P135" s="605"/>
      <c r="Q135" s="588"/>
      <c r="R135" s="604"/>
      <c r="S135" s="605"/>
      <c r="T135" s="606"/>
      <c r="U135" s="606"/>
      <c r="V135" s="429" t="str">
        <f t="shared" si="178"/>
        <v/>
      </c>
      <c r="W135" s="430" t="str">
        <f t="shared" si="175"/>
        <v/>
      </c>
      <c r="X135" s="66" t="str">
        <f>IF(AND(ISNUMBER(P135),N135=FixedDim),MAX('Adjustment factors'!$S$16,0.2+0.8*P135),IF(ISTEXT(N135),VLOOKUP(N135,Afactors,2,TRUE),""))</f>
        <v/>
      </c>
      <c r="Y135" s="17" t="str">
        <f>IF(AND(ISNUMBER(S135),Q135=FixedDim),MAX('Adjustment factors'!$S$16,0.2+0.8*S135),IF(ISTEXT(Q135),VLOOKUP(Q135,Afactors,2,TRUE),""))</f>
        <v/>
      </c>
      <c r="Z135" s="297" t="str">
        <f>IF(ISBLANK(T135),"",VLOOKUP(T135,'Adjustment factors'!$R$27:$S$30,2,TRUE))</f>
        <v/>
      </c>
      <c r="AA135" s="297" t="str">
        <f>IF(ISBLANK(U135),"",VLOOKUP(U135,'Adjustment factors'!$R$27:$S$30,2,TRUE))</f>
        <v/>
      </c>
      <c r="AB135" s="480">
        <f t="shared" si="127"/>
        <v>1</v>
      </c>
      <c r="AC135" s="18" t="b">
        <f t="shared" si="81"/>
        <v>0</v>
      </c>
      <c r="AD135" s="18" t="b">
        <f t="shared" si="82"/>
        <v>0</v>
      </c>
      <c r="AE135" s="18" t="b">
        <f t="shared" si="172"/>
        <v>0</v>
      </c>
      <c r="AF135" s="17" t="str">
        <f t="shared" si="83"/>
        <v/>
      </c>
      <c r="AG135" s="18" t="str">
        <f t="shared" si="84"/>
        <v/>
      </c>
      <c r="AH135" s="17" t="str">
        <f t="shared" si="173"/>
        <v/>
      </c>
      <c r="AI135" s="297" t="e">
        <f t="shared" si="129"/>
        <v>#VALUE!</v>
      </c>
      <c r="AJ135" s="79" t="e">
        <f t="shared" si="86"/>
        <v>#VALUE!</v>
      </c>
      <c r="AK135" s="17" t="str">
        <f t="shared" si="174"/>
        <v/>
      </c>
      <c r="AL135" s="80" t="e">
        <f t="shared" si="87"/>
        <v>#VALUE!</v>
      </c>
      <c r="AM135" s="139" t="b">
        <f t="shared" si="88"/>
        <v>1</v>
      </c>
      <c r="AN135" s="139" t="b">
        <f>AND(COUNTA(E135)&gt;0,ISNUMBER(F135),OR(COUNT(G135:H135)=0,COUNT(G135:H135)=2,AND(ISNUMBER(G135),ISNUMBER(VALUE(LEFT(H135,SUM(LEN(H135)-LEN(SUBSTITUTE(H135,{"0","1","2","3","4","5","6","7","8","9","."},"")))))))),ISNUMBER(I135),ISTEXT(J135))</f>
        <v>0</v>
      </c>
      <c r="AO135" s="19" t="b">
        <f t="shared" si="89"/>
        <v>0</v>
      </c>
      <c r="AP135" s="19" t="b">
        <f t="shared" si="90"/>
        <v>1</v>
      </c>
      <c r="AQ135" s="19" t="b">
        <f>IF(AND(COUNTBLANK(E135:J135)=6,OR(AN136:AN$523)),NOT(AN135))</f>
        <v>0</v>
      </c>
      <c r="AR135" s="19" t="str">
        <f t="shared" si="91"/>
        <v/>
      </c>
      <c r="AS135" s="19" t="b">
        <f t="shared" si="92"/>
        <v>1</v>
      </c>
      <c r="AT135" s="19" t="str">
        <f t="shared" si="93"/>
        <v/>
      </c>
      <c r="AU135" s="19" t="b">
        <f t="shared" si="94"/>
        <v>1</v>
      </c>
      <c r="AV135" s="140" t="str">
        <f t="shared" si="156"/>
        <v/>
      </c>
      <c r="AW135" s="19" t="str">
        <f t="shared" si="95"/>
        <v/>
      </c>
      <c r="AX135" s="81">
        <f t="shared" si="96"/>
        <v>0</v>
      </c>
      <c r="AY135" s="81" t="str">
        <f t="shared" si="97"/>
        <v/>
      </c>
      <c r="AZ135" s="307" t="str">
        <f t="shared" si="131"/>
        <v/>
      </c>
      <c r="BA135" s="281" t="str">
        <f t="shared" si="157"/>
        <v/>
      </c>
      <c r="BB135" s="281" t="str">
        <f t="shared" si="158"/>
        <v/>
      </c>
      <c r="BC135" s="953"/>
      <c r="BD135" s="955"/>
      <c r="BE135" s="219" t="str">
        <f t="shared" si="98"/>
        <v>n/a</v>
      </c>
      <c r="BF135" s="215" t="b">
        <f t="shared" si="99"/>
        <v>0</v>
      </c>
      <c r="BG135" s="145" t="b">
        <f t="shared" si="100"/>
        <v>0</v>
      </c>
      <c r="BH135" s="145" t="b">
        <f t="shared" si="101"/>
        <v>0</v>
      </c>
      <c r="BI135" s="216" t="b">
        <f t="shared" si="102"/>
        <v>0</v>
      </c>
      <c r="BJ135" s="215" t="b">
        <f t="shared" si="103"/>
        <v>0</v>
      </c>
      <c r="BK135" s="145" t="b">
        <f t="shared" si="104"/>
        <v>0</v>
      </c>
      <c r="BL135" s="216" t="b">
        <f t="shared" si="105"/>
        <v>0</v>
      </c>
      <c r="BM135" s="217" t="str">
        <f t="shared" si="159"/>
        <v/>
      </c>
      <c r="BN135" s="146" t="str">
        <f t="shared" si="160"/>
        <v/>
      </c>
      <c r="BO135" s="147" t="str">
        <f t="shared" si="161"/>
        <v/>
      </c>
      <c r="BP135" s="148" t="str">
        <f t="shared" si="162"/>
        <v/>
      </c>
      <c r="BT135" s="50">
        <f t="shared" si="177"/>
        <v>112</v>
      </c>
      <c r="BU135" s="50" t="str">
        <f t="shared" si="180"/>
        <v>-</v>
      </c>
      <c r="BW135" s="333"/>
      <c r="BX135" s="333"/>
      <c r="BY135" s="333"/>
      <c r="BZ135" s="333"/>
      <c r="CA135" s="333"/>
      <c r="CB135" s="333"/>
      <c r="CC135" s="333"/>
      <c r="CD135" s="333"/>
      <c r="CE135" s="333"/>
      <c r="CF135" s="333"/>
      <c r="CG135" s="354">
        <f t="shared" si="107"/>
        <v>112</v>
      </c>
      <c r="CH135" s="613">
        <f t="shared" si="108"/>
        <v>0</v>
      </c>
      <c r="CI135" s="613">
        <f t="shared" si="109"/>
        <v>0</v>
      </c>
      <c r="CJ135" s="614" t="str">
        <f t="shared" si="110"/>
        <v/>
      </c>
      <c r="CK135" s="615" t="str">
        <f t="shared" si="111"/>
        <v/>
      </c>
      <c r="CL135" s="610" t="str">
        <f>IF(ISBLANK(H135),"",IF(AND(ISNUMBER(F135),ISNUMBER(G135),ISNUMBER(H135)),ROUND(F135/(H135*G135),2),ROUND(F135/(VALUE(LEFT(H135,SUM(LEN(H135)-LEN(SUBSTITUTE(H135,{"0","1","2","3","4","5","6","7","8","9","."},"")))))*G135),2)))</f>
        <v/>
      </c>
      <c r="CM135" s="616" t="str">
        <f t="shared" si="163"/>
        <v/>
      </c>
      <c r="CN135" s="616" t="str">
        <f>IF(ISNUMBER(P135),MAX('Adjustment factors'!$S$16,(0.2+0.8*P135)),IF(ISTEXT(N135),VLOOKUP(N135,Afactors,2,FALSE),""))</f>
        <v/>
      </c>
      <c r="CO135" s="616" t="str">
        <f>IF(ISNUMBER(S135),MAX('Adjustment factors'!$S$16,0.2+0.8*S135),IF(ISTEXT(Q135),VLOOKUP(Q135,Afactors,2,FALSE),""))</f>
        <v/>
      </c>
      <c r="CP135" s="611" t="str">
        <f t="shared" si="139"/>
        <v/>
      </c>
      <c r="CQ135" s="612" t="str">
        <f t="shared" si="140"/>
        <v/>
      </c>
      <c r="CR135" s="340"/>
      <c r="CS135" s="340"/>
      <c r="CT135" s="340"/>
      <c r="CU135" s="340"/>
      <c r="CV135" s="333"/>
      <c r="CW135" s="333"/>
      <c r="CX135" s="333"/>
      <c r="CY135" s="333"/>
      <c r="DA135" s="313" t="str">
        <f t="shared" si="112"/>
        <v>OK</v>
      </c>
      <c r="DB135" s="313" t="str">
        <f t="shared" si="113"/>
        <v>OK</v>
      </c>
      <c r="DC135" s="313" t="str">
        <f t="shared" si="114"/>
        <v>OK</v>
      </c>
      <c r="DD135" s="313" t="str">
        <f t="shared" si="115"/>
        <v>OK</v>
      </c>
      <c r="DE135" s="153" t="str">
        <f t="shared" si="116"/>
        <v>OK</v>
      </c>
      <c r="DF135" s="314" t="str">
        <f t="shared" si="117"/>
        <v>OK</v>
      </c>
      <c r="DG135" s="482" t="str">
        <f t="shared" si="141"/>
        <v>OK</v>
      </c>
      <c r="DH135" s="482" t="str">
        <f>IF(OR(AND(T135='Adjustment factors'!$R$28,'Class 3, 5-9'!U135='Adjustment factors'!$R$29),AND('Class 3, 5-9'!T135='Adjustment factors'!$R$29,'Class 3, 5-9'!U135='Adjustment factors'!$R$28)),"Invalid combination of adjustment factors",IF(AND(T135=U135,NOT(ISBLANK(T135)),NOT(ISBLANK(U135))),"Same colour factor selected twice","OK"))</f>
        <v>OK</v>
      </c>
      <c r="DI135" s="313" t="str">
        <f t="shared" si="118"/>
        <v>OK</v>
      </c>
      <c r="DJ135" s="153" t="str">
        <f t="shared" si="164"/>
        <v>OK</v>
      </c>
      <c r="DK135" s="153" t="str">
        <f t="shared" si="119"/>
        <v>OK</v>
      </c>
      <c r="DL135" s="313" t="str">
        <f t="shared" si="120"/>
        <v>OK</v>
      </c>
      <c r="DM135" s="153" t="str">
        <f t="shared" si="121"/>
        <v>OK</v>
      </c>
      <c r="DN135" s="153" t="str">
        <f t="shared" si="165"/>
        <v>OK</v>
      </c>
      <c r="DO135" s="154" t="str">
        <f t="shared" si="166"/>
        <v>OK</v>
      </c>
      <c r="DP135" s="153" t="str">
        <f t="shared" si="122"/>
        <v>OK</v>
      </c>
      <c r="DQ135" s="313" t="str">
        <f t="shared" si="123"/>
        <v>OK</v>
      </c>
      <c r="DR135" s="153" t="str">
        <f t="shared" si="167"/>
        <v>OK</v>
      </c>
      <c r="DS135" s="153" t="str">
        <f t="shared" si="124"/>
        <v>OK</v>
      </c>
      <c r="DT135" s="313" t="str">
        <f t="shared" si="153"/>
        <v>OK</v>
      </c>
      <c r="DU135" s="153" t="str">
        <f t="shared" si="125"/>
        <v>OK</v>
      </c>
      <c r="DV135" s="153" t="str">
        <f t="shared" si="168"/>
        <v>OK</v>
      </c>
      <c r="DW135" s="154" t="str">
        <f t="shared" si="169"/>
        <v>OK</v>
      </c>
      <c r="DX135" s="157">
        <f t="shared" si="170"/>
        <v>0</v>
      </c>
      <c r="DY135" s="156" t="str">
        <f t="shared" si="171"/>
        <v>OK</v>
      </c>
    </row>
    <row r="136" spans="1:129" ht="13" hidden="1" x14ac:dyDescent="0.3">
      <c r="A136" s="333"/>
      <c r="B136" s="333"/>
      <c r="C136" s="331" t="str">
        <f t="shared" ref="C136:C199" si="181">BU136</f>
        <v>-</v>
      </c>
      <c r="D136" s="584">
        <f t="shared" si="176"/>
        <v>113</v>
      </c>
      <c r="E136" s="585"/>
      <c r="F136" s="586"/>
      <c r="G136" s="600"/>
      <c r="H136" s="587"/>
      <c r="I136" s="601"/>
      <c r="J136" s="585"/>
      <c r="K136" s="617"/>
      <c r="L136" s="602"/>
      <c r="M136" s="603"/>
      <c r="N136" s="588"/>
      <c r="O136" s="604"/>
      <c r="P136" s="605"/>
      <c r="Q136" s="588"/>
      <c r="R136" s="604"/>
      <c r="S136" s="605"/>
      <c r="T136" s="606"/>
      <c r="U136" s="606"/>
      <c r="V136" s="429" t="str">
        <f t="shared" si="178"/>
        <v/>
      </c>
      <c r="W136" s="430" t="str">
        <f t="shared" si="175"/>
        <v/>
      </c>
      <c r="X136" s="66" t="str">
        <f>IF(AND(ISNUMBER(P136),N136=FixedDim),MAX('Adjustment factors'!$S$16,0.2+0.8*P136),IF(ISTEXT(N136),VLOOKUP(N136,Afactors,2,TRUE),""))</f>
        <v/>
      </c>
      <c r="Y136" s="17" t="str">
        <f>IF(AND(ISNUMBER(S136),Q136=FixedDim),MAX('Adjustment factors'!$S$16,0.2+0.8*S136),IF(ISTEXT(Q136),VLOOKUP(Q136,Afactors,2,TRUE),""))</f>
        <v/>
      </c>
      <c r="Z136" s="297" t="str">
        <f>IF(ISBLANK(T136),"",VLOOKUP(T136,'Adjustment factors'!$R$27:$S$30,2,TRUE))</f>
        <v/>
      </c>
      <c r="AA136" s="297" t="str">
        <f>IF(ISBLANK(U136),"",VLOOKUP(U136,'Adjustment factors'!$R$27:$S$30,2,TRUE))</f>
        <v/>
      </c>
      <c r="AB136" s="480">
        <f t="shared" si="127"/>
        <v>1</v>
      </c>
      <c r="AC136" s="18" t="b">
        <f t="shared" si="81"/>
        <v>0</v>
      </c>
      <c r="AD136" s="18" t="b">
        <f t="shared" si="82"/>
        <v>0</v>
      </c>
      <c r="AE136" s="18" t="b">
        <f t="shared" si="172"/>
        <v>0</v>
      </c>
      <c r="AF136" s="17" t="str">
        <f t="shared" si="83"/>
        <v/>
      </c>
      <c r="AG136" s="18" t="str">
        <f t="shared" si="84"/>
        <v/>
      </c>
      <c r="AH136" s="17" t="str">
        <f t="shared" si="173"/>
        <v/>
      </c>
      <c r="AI136" s="297" t="e">
        <f t="shared" si="129"/>
        <v>#VALUE!</v>
      </c>
      <c r="AJ136" s="79" t="e">
        <f t="shared" si="86"/>
        <v>#VALUE!</v>
      </c>
      <c r="AK136" s="17" t="str">
        <f t="shared" si="174"/>
        <v/>
      </c>
      <c r="AL136" s="80" t="e">
        <f t="shared" si="87"/>
        <v>#VALUE!</v>
      </c>
      <c r="AM136" s="139" t="b">
        <f t="shared" si="88"/>
        <v>1</v>
      </c>
      <c r="AN136" s="139" t="b">
        <f>AND(COUNTA(E136)&gt;0,ISNUMBER(F136),OR(COUNT(G136:H136)=0,COUNT(G136:H136)=2,AND(ISNUMBER(G136),ISNUMBER(VALUE(LEFT(H136,SUM(LEN(H136)-LEN(SUBSTITUTE(H136,{"0","1","2","3","4","5","6","7","8","9","."},"")))))))),ISNUMBER(I136),ISTEXT(J136))</f>
        <v>0</v>
      </c>
      <c r="AO136" s="19" t="b">
        <f t="shared" si="89"/>
        <v>0</v>
      </c>
      <c r="AP136" s="19" t="b">
        <f t="shared" si="90"/>
        <v>1</v>
      </c>
      <c r="AQ136" s="19" t="b">
        <f>IF(AND(COUNTBLANK(E136:J136)=6,OR(AN137:AN$523)),NOT(AN136))</f>
        <v>0</v>
      </c>
      <c r="AR136" s="19" t="str">
        <f t="shared" si="91"/>
        <v/>
      </c>
      <c r="AS136" s="19" t="b">
        <f t="shared" si="92"/>
        <v>1</v>
      </c>
      <c r="AT136" s="19" t="str">
        <f t="shared" si="93"/>
        <v/>
      </c>
      <c r="AU136" s="19" t="b">
        <f t="shared" si="94"/>
        <v>1</v>
      </c>
      <c r="AV136" s="140" t="str">
        <f t="shared" si="156"/>
        <v/>
      </c>
      <c r="AW136" s="19" t="str">
        <f t="shared" si="95"/>
        <v/>
      </c>
      <c r="AX136" s="81">
        <f t="shared" si="96"/>
        <v>0</v>
      </c>
      <c r="AY136" s="81" t="str">
        <f t="shared" si="97"/>
        <v/>
      </c>
      <c r="AZ136" s="307" t="str">
        <f t="shared" si="131"/>
        <v/>
      </c>
      <c r="BA136" s="281" t="str">
        <f t="shared" si="157"/>
        <v/>
      </c>
      <c r="BB136" s="281" t="str">
        <f t="shared" si="158"/>
        <v/>
      </c>
      <c r="BC136" s="953"/>
      <c r="BD136" s="955"/>
      <c r="BE136" s="219" t="str">
        <f t="shared" si="98"/>
        <v>n/a</v>
      </c>
      <c r="BF136" s="215" t="b">
        <f t="shared" si="99"/>
        <v>0</v>
      </c>
      <c r="BG136" s="145" t="b">
        <f t="shared" si="100"/>
        <v>0</v>
      </c>
      <c r="BH136" s="145" t="b">
        <f t="shared" si="101"/>
        <v>0</v>
      </c>
      <c r="BI136" s="216" t="b">
        <f t="shared" si="102"/>
        <v>0</v>
      </c>
      <c r="BJ136" s="215" t="b">
        <f t="shared" si="103"/>
        <v>0</v>
      </c>
      <c r="BK136" s="145" t="b">
        <f t="shared" si="104"/>
        <v>0</v>
      </c>
      <c r="BL136" s="216" t="b">
        <f t="shared" si="105"/>
        <v>0</v>
      </c>
      <c r="BM136" s="217" t="str">
        <f t="shared" si="159"/>
        <v/>
      </c>
      <c r="BN136" s="146" t="str">
        <f t="shared" si="160"/>
        <v/>
      </c>
      <c r="BO136" s="147" t="str">
        <f t="shared" si="161"/>
        <v/>
      </c>
      <c r="BP136" s="148" t="str">
        <f t="shared" si="162"/>
        <v/>
      </c>
      <c r="BT136" s="50">
        <f t="shared" si="177"/>
        <v>113</v>
      </c>
      <c r="BU136" s="50" t="str">
        <f t="shared" si="180"/>
        <v>-</v>
      </c>
      <c r="BW136" s="333"/>
      <c r="BX136" s="333"/>
      <c r="BY136" s="333"/>
      <c r="BZ136" s="333"/>
      <c r="CA136" s="333"/>
      <c r="CB136" s="333"/>
      <c r="CC136" s="333"/>
      <c r="CD136" s="333"/>
      <c r="CE136" s="333"/>
      <c r="CF136" s="333"/>
      <c r="CG136" s="354">
        <f t="shared" si="107"/>
        <v>113</v>
      </c>
      <c r="CH136" s="613">
        <f t="shared" si="108"/>
        <v>0</v>
      </c>
      <c r="CI136" s="613">
        <f t="shared" si="109"/>
        <v>0</v>
      </c>
      <c r="CJ136" s="614" t="str">
        <f t="shared" si="110"/>
        <v/>
      </c>
      <c r="CK136" s="615" t="str">
        <f t="shared" si="111"/>
        <v/>
      </c>
      <c r="CL136" s="610" t="str">
        <f>IF(ISBLANK(H136),"",IF(AND(ISNUMBER(F136),ISNUMBER(G136),ISNUMBER(H136)),ROUND(F136/(H136*G136),2),ROUND(F136/(VALUE(LEFT(H136,SUM(LEN(H136)-LEN(SUBSTITUTE(H136,{"0","1","2","3","4","5","6","7","8","9","."},"")))))*G136),2)))</f>
        <v/>
      </c>
      <c r="CM136" s="616" t="str">
        <f t="shared" si="163"/>
        <v/>
      </c>
      <c r="CN136" s="616" t="str">
        <f>IF(ISNUMBER(P136),MAX('Adjustment factors'!$S$16,(0.2+0.8*P136)),IF(ISTEXT(N136),VLOOKUP(N136,Afactors,2,FALSE),""))</f>
        <v/>
      </c>
      <c r="CO136" s="616" t="str">
        <f>IF(ISNUMBER(S136),MAX('Adjustment factors'!$S$16,0.2+0.8*S136),IF(ISTEXT(Q136),VLOOKUP(Q136,Afactors,2,FALSE),""))</f>
        <v/>
      </c>
      <c r="CP136" s="611" t="str">
        <f t="shared" si="139"/>
        <v/>
      </c>
      <c r="CQ136" s="612" t="str">
        <f t="shared" si="140"/>
        <v/>
      </c>
      <c r="CR136" s="340"/>
      <c r="CS136" s="340"/>
      <c r="CT136" s="340"/>
      <c r="CU136" s="340"/>
      <c r="CV136" s="333"/>
      <c r="CW136" s="333"/>
      <c r="CX136" s="333"/>
      <c r="CY136" s="333"/>
      <c r="DA136" s="313" t="str">
        <f t="shared" si="112"/>
        <v>OK</v>
      </c>
      <c r="DB136" s="313" t="str">
        <f t="shared" si="113"/>
        <v>OK</v>
      </c>
      <c r="DC136" s="313" t="str">
        <f t="shared" si="114"/>
        <v>OK</v>
      </c>
      <c r="DD136" s="313" t="str">
        <f t="shared" si="115"/>
        <v>OK</v>
      </c>
      <c r="DE136" s="153" t="str">
        <f t="shared" si="116"/>
        <v>OK</v>
      </c>
      <c r="DF136" s="314" t="str">
        <f t="shared" si="117"/>
        <v>OK</v>
      </c>
      <c r="DG136" s="482" t="str">
        <f t="shared" si="141"/>
        <v>OK</v>
      </c>
      <c r="DH136" s="482" t="str">
        <f>IF(OR(AND(T136='Adjustment factors'!$R$28,'Class 3, 5-9'!U136='Adjustment factors'!$R$29),AND('Class 3, 5-9'!T136='Adjustment factors'!$R$29,'Class 3, 5-9'!U136='Adjustment factors'!$R$28)),"Invalid combination of adjustment factors",IF(AND(T136=U136,NOT(ISBLANK(T136)),NOT(ISBLANK(U136))),"Same colour factor selected twice","OK"))</f>
        <v>OK</v>
      </c>
      <c r="DI136" s="313" t="str">
        <f t="shared" si="118"/>
        <v>OK</v>
      </c>
      <c r="DJ136" s="153" t="str">
        <f t="shared" si="164"/>
        <v>OK</v>
      </c>
      <c r="DK136" s="153" t="str">
        <f t="shared" si="119"/>
        <v>OK</v>
      </c>
      <c r="DL136" s="313" t="str">
        <f t="shared" si="120"/>
        <v>OK</v>
      </c>
      <c r="DM136" s="153" t="str">
        <f t="shared" si="121"/>
        <v>OK</v>
      </c>
      <c r="DN136" s="153" t="str">
        <f t="shared" si="165"/>
        <v>OK</v>
      </c>
      <c r="DO136" s="154" t="str">
        <f t="shared" si="166"/>
        <v>OK</v>
      </c>
      <c r="DP136" s="153" t="str">
        <f t="shared" si="122"/>
        <v>OK</v>
      </c>
      <c r="DQ136" s="313" t="str">
        <f t="shared" si="123"/>
        <v>OK</v>
      </c>
      <c r="DR136" s="153" t="str">
        <f t="shared" si="167"/>
        <v>OK</v>
      </c>
      <c r="DS136" s="153" t="str">
        <f t="shared" si="124"/>
        <v>OK</v>
      </c>
      <c r="DT136" s="313" t="str">
        <f t="shared" si="153"/>
        <v>OK</v>
      </c>
      <c r="DU136" s="153" t="str">
        <f t="shared" si="125"/>
        <v>OK</v>
      </c>
      <c r="DV136" s="153" t="str">
        <f t="shared" si="168"/>
        <v>OK</v>
      </c>
      <c r="DW136" s="154" t="str">
        <f t="shared" si="169"/>
        <v>OK</v>
      </c>
      <c r="DX136" s="157">
        <f t="shared" si="170"/>
        <v>0</v>
      </c>
      <c r="DY136" s="156" t="str">
        <f t="shared" si="171"/>
        <v>OK</v>
      </c>
    </row>
    <row r="137" spans="1:129" ht="13" hidden="1" x14ac:dyDescent="0.3">
      <c r="A137" s="333"/>
      <c r="B137" s="333"/>
      <c r="C137" s="331" t="str">
        <f t="shared" si="181"/>
        <v>-</v>
      </c>
      <c r="D137" s="584">
        <f t="shared" si="176"/>
        <v>114</v>
      </c>
      <c r="E137" s="585"/>
      <c r="F137" s="586"/>
      <c r="G137" s="600"/>
      <c r="H137" s="587"/>
      <c r="I137" s="601"/>
      <c r="J137" s="585"/>
      <c r="K137" s="617"/>
      <c r="L137" s="602"/>
      <c r="M137" s="603"/>
      <c r="N137" s="588"/>
      <c r="O137" s="604"/>
      <c r="P137" s="605"/>
      <c r="Q137" s="588"/>
      <c r="R137" s="604"/>
      <c r="S137" s="605"/>
      <c r="T137" s="606"/>
      <c r="U137" s="606"/>
      <c r="V137" s="429" t="str">
        <f t="shared" si="178"/>
        <v/>
      </c>
      <c r="W137" s="430" t="str">
        <f t="shared" si="175"/>
        <v/>
      </c>
      <c r="X137" s="66" t="str">
        <f>IF(AND(ISNUMBER(P137),N137=FixedDim),MAX('Adjustment factors'!$S$16,0.2+0.8*P137),IF(ISTEXT(N137),VLOOKUP(N137,Afactors,2,TRUE),""))</f>
        <v/>
      </c>
      <c r="Y137" s="17" t="str">
        <f>IF(AND(ISNUMBER(S137),Q137=FixedDim),MAX('Adjustment factors'!$S$16,0.2+0.8*S137),IF(ISTEXT(Q137),VLOOKUP(Q137,Afactors,2,TRUE),""))</f>
        <v/>
      </c>
      <c r="Z137" s="297" t="str">
        <f>IF(ISBLANK(T137),"",VLOOKUP(T137,'Adjustment factors'!$R$27:$S$30,2,TRUE))</f>
        <v/>
      </c>
      <c r="AA137" s="297" t="str">
        <f>IF(ISBLANK(U137),"",VLOOKUP(U137,'Adjustment factors'!$R$27:$S$30,2,TRUE))</f>
        <v/>
      </c>
      <c r="AB137" s="480">
        <f t="shared" si="127"/>
        <v>1</v>
      </c>
      <c r="AC137" s="18" t="b">
        <f t="shared" si="81"/>
        <v>0</v>
      </c>
      <c r="AD137" s="18" t="b">
        <f t="shared" si="82"/>
        <v>0</v>
      </c>
      <c r="AE137" s="18" t="b">
        <f t="shared" si="172"/>
        <v>0</v>
      </c>
      <c r="AF137" s="17" t="str">
        <f t="shared" si="83"/>
        <v/>
      </c>
      <c r="AG137" s="18" t="str">
        <f t="shared" si="84"/>
        <v/>
      </c>
      <c r="AH137" s="17" t="str">
        <f t="shared" si="173"/>
        <v/>
      </c>
      <c r="AI137" s="297" t="e">
        <f t="shared" si="129"/>
        <v>#VALUE!</v>
      </c>
      <c r="AJ137" s="79" t="e">
        <f t="shared" si="86"/>
        <v>#VALUE!</v>
      </c>
      <c r="AK137" s="17" t="str">
        <f t="shared" si="174"/>
        <v/>
      </c>
      <c r="AL137" s="80" t="e">
        <f t="shared" si="87"/>
        <v>#VALUE!</v>
      </c>
      <c r="AM137" s="139" t="b">
        <f t="shared" si="88"/>
        <v>1</v>
      </c>
      <c r="AN137" s="139" t="b">
        <f>AND(COUNTA(E137)&gt;0,ISNUMBER(F137),OR(COUNT(G137:H137)=0,COUNT(G137:H137)=2,AND(ISNUMBER(G137),ISNUMBER(VALUE(LEFT(H137,SUM(LEN(H137)-LEN(SUBSTITUTE(H137,{"0","1","2","3","4","5","6","7","8","9","."},"")))))))),ISNUMBER(I137),ISTEXT(J137))</f>
        <v>0</v>
      </c>
      <c r="AO137" s="19" t="b">
        <f t="shared" si="89"/>
        <v>0</v>
      </c>
      <c r="AP137" s="19" t="b">
        <f t="shared" si="90"/>
        <v>1</v>
      </c>
      <c r="AQ137" s="19" t="b">
        <f>IF(AND(COUNTBLANK(E137:J137)=6,OR(AN138:AN$523)),NOT(AN137))</f>
        <v>0</v>
      </c>
      <c r="AR137" s="19" t="str">
        <f t="shared" si="91"/>
        <v/>
      </c>
      <c r="AS137" s="19" t="b">
        <f t="shared" si="92"/>
        <v>1</v>
      </c>
      <c r="AT137" s="19" t="str">
        <f t="shared" si="93"/>
        <v/>
      </c>
      <c r="AU137" s="19" t="b">
        <f t="shared" si="94"/>
        <v>1</v>
      </c>
      <c r="AV137" s="140" t="str">
        <f t="shared" si="156"/>
        <v/>
      </c>
      <c r="AW137" s="19" t="str">
        <f t="shared" si="95"/>
        <v/>
      </c>
      <c r="AX137" s="81">
        <f t="shared" si="96"/>
        <v>0</v>
      </c>
      <c r="AY137" s="81" t="str">
        <f t="shared" si="97"/>
        <v/>
      </c>
      <c r="AZ137" s="307" t="str">
        <f t="shared" si="131"/>
        <v/>
      </c>
      <c r="BA137" s="281" t="str">
        <f t="shared" si="157"/>
        <v/>
      </c>
      <c r="BB137" s="281" t="str">
        <f t="shared" si="158"/>
        <v/>
      </c>
      <c r="BC137" s="953"/>
      <c r="BD137" s="955"/>
      <c r="BE137" s="219" t="str">
        <f t="shared" si="98"/>
        <v>n/a</v>
      </c>
      <c r="BF137" s="215" t="b">
        <f t="shared" si="99"/>
        <v>0</v>
      </c>
      <c r="BG137" s="145" t="b">
        <f t="shared" si="100"/>
        <v>0</v>
      </c>
      <c r="BH137" s="145" t="b">
        <f t="shared" si="101"/>
        <v>0</v>
      </c>
      <c r="BI137" s="216" t="b">
        <f t="shared" si="102"/>
        <v>0</v>
      </c>
      <c r="BJ137" s="215" t="b">
        <f t="shared" si="103"/>
        <v>0</v>
      </c>
      <c r="BK137" s="145" t="b">
        <f t="shared" si="104"/>
        <v>0</v>
      </c>
      <c r="BL137" s="216" t="b">
        <f t="shared" si="105"/>
        <v>0</v>
      </c>
      <c r="BM137" s="217" t="str">
        <f t="shared" si="159"/>
        <v/>
      </c>
      <c r="BN137" s="146" t="str">
        <f t="shared" si="160"/>
        <v/>
      </c>
      <c r="BO137" s="147" t="str">
        <f t="shared" si="161"/>
        <v/>
      </c>
      <c r="BP137" s="148" t="str">
        <f t="shared" si="162"/>
        <v/>
      </c>
      <c r="BT137" s="50">
        <f t="shared" si="177"/>
        <v>114</v>
      </c>
      <c r="BU137" s="50" t="str">
        <f t="shared" si="180"/>
        <v>-</v>
      </c>
      <c r="BW137" s="333"/>
      <c r="BX137" s="333"/>
      <c r="BY137" s="333"/>
      <c r="BZ137" s="333"/>
      <c r="CA137" s="333"/>
      <c r="CB137" s="333"/>
      <c r="CC137" s="333"/>
      <c r="CD137" s="333"/>
      <c r="CE137" s="333"/>
      <c r="CF137" s="333"/>
      <c r="CG137" s="354">
        <f t="shared" si="107"/>
        <v>114</v>
      </c>
      <c r="CH137" s="613">
        <f t="shared" si="108"/>
        <v>0</v>
      </c>
      <c r="CI137" s="613">
        <f t="shared" si="109"/>
        <v>0</v>
      </c>
      <c r="CJ137" s="614" t="str">
        <f t="shared" si="110"/>
        <v/>
      </c>
      <c r="CK137" s="615" t="str">
        <f t="shared" si="111"/>
        <v/>
      </c>
      <c r="CL137" s="610" t="str">
        <f>IF(ISBLANK(H137),"",IF(AND(ISNUMBER(F137),ISNUMBER(G137),ISNUMBER(H137)),ROUND(F137/(H137*G137),2),ROUND(F137/(VALUE(LEFT(H137,SUM(LEN(H137)-LEN(SUBSTITUTE(H137,{"0","1","2","3","4","5","6","7","8","9","."},"")))))*G137),2)))</f>
        <v/>
      </c>
      <c r="CM137" s="616" t="str">
        <f t="shared" si="163"/>
        <v/>
      </c>
      <c r="CN137" s="616" t="str">
        <f>IF(ISNUMBER(P137),MAX('Adjustment factors'!$S$16,(0.2+0.8*P137)),IF(ISTEXT(N137),VLOOKUP(N137,Afactors,2,FALSE),""))</f>
        <v/>
      </c>
      <c r="CO137" s="616" t="str">
        <f>IF(ISNUMBER(S137),MAX('Adjustment factors'!$S$16,0.2+0.8*S137),IF(ISTEXT(Q137),VLOOKUP(Q137,Afactors,2,FALSE),""))</f>
        <v/>
      </c>
      <c r="CP137" s="611" t="str">
        <f t="shared" si="139"/>
        <v/>
      </c>
      <c r="CQ137" s="612" t="str">
        <f t="shared" si="140"/>
        <v/>
      </c>
      <c r="CR137" s="340"/>
      <c r="CS137" s="340"/>
      <c r="CT137" s="340"/>
      <c r="CU137" s="340"/>
      <c r="CV137" s="333"/>
      <c r="CW137" s="333"/>
      <c r="CX137" s="333"/>
      <c r="CY137" s="333"/>
      <c r="DA137" s="313" t="str">
        <f t="shared" si="112"/>
        <v>OK</v>
      </c>
      <c r="DB137" s="313" t="str">
        <f t="shared" si="113"/>
        <v>OK</v>
      </c>
      <c r="DC137" s="313" t="str">
        <f t="shared" si="114"/>
        <v>OK</v>
      </c>
      <c r="DD137" s="313" t="str">
        <f t="shared" si="115"/>
        <v>OK</v>
      </c>
      <c r="DE137" s="153" t="str">
        <f t="shared" si="116"/>
        <v>OK</v>
      </c>
      <c r="DF137" s="314" t="str">
        <f t="shared" si="117"/>
        <v>OK</v>
      </c>
      <c r="DG137" s="482" t="str">
        <f t="shared" si="141"/>
        <v>OK</v>
      </c>
      <c r="DH137" s="482" t="str">
        <f>IF(OR(AND(T137='Adjustment factors'!$R$28,'Class 3, 5-9'!U137='Adjustment factors'!$R$29),AND('Class 3, 5-9'!T137='Adjustment factors'!$R$29,'Class 3, 5-9'!U137='Adjustment factors'!$R$28)),"Invalid combination of adjustment factors",IF(AND(T137=U137,NOT(ISBLANK(T137)),NOT(ISBLANK(U137))),"Same colour factor selected twice","OK"))</f>
        <v>OK</v>
      </c>
      <c r="DI137" s="313" t="str">
        <f t="shared" si="118"/>
        <v>OK</v>
      </c>
      <c r="DJ137" s="153" t="str">
        <f t="shared" si="164"/>
        <v>OK</v>
      </c>
      <c r="DK137" s="153" t="str">
        <f t="shared" si="119"/>
        <v>OK</v>
      </c>
      <c r="DL137" s="313" t="str">
        <f t="shared" si="120"/>
        <v>OK</v>
      </c>
      <c r="DM137" s="153" t="str">
        <f t="shared" si="121"/>
        <v>OK</v>
      </c>
      <c r="DN137" s="153" t="str">
        <f t="shared" si="165"/>
        <v>OK</v>
      </c>
      <c r="DO137" s="154" t="str">
        <f t="shared" si="166"/>
        <v>OK</v>
      </c>
      <c r="DP137" s="153" t="str">
        <f t="shared" si="122"/>
        <v>OK</v>
      </c>
      <c r="DQ137" s="313" t="str">
        <f t="shared" si="123"/>
        <v>OK</v>
      </c>
      <c r="DR137" s="153" t="str">
        <f t="shared" si="167"/>
        <v>OK</v>
      </c>
      <c r="DS137" s="153" t="str">
        <f t="shared" si="124"/>
        <v>OK</v>
      </c>
      <c r="DT137" s="313" t="str">
        <f t="shared" si="153"/>
        <v>OK</v>
      </c>
      <c r="DU137" s="153" t="str">
        <f t="shared" si="125"/>
        <v>OK</v>
      </c>
      <c r="DV137" s="153" t="str">
        <f t="shared" si="168"/>
        <v>OK</v>
      </c>
      <c r="DW137" s="154" t="str">
        <f t="shared" si="169"/>
        <v>OK</v>
      </c>
      <c r="DX137" s="157">
        <f t="shared" si="170"/>
        <v>0</v>
      </c>
      <c r="DY137" s="156" t="str">
        <f t="shared" si="171"/>
        <v>OK</v>
      </c>
    </row>
    <row r="138" spans="1:129" ht="13" hidden="1" x14ac:dyDescent="0.3">
      <c r="A138" s="333"/>
      <c r="B138" s="333"/>
      <c r="C138" s="331" t="str">
        <f t="shared" si="181"/>
        <v>-</v>
      </c>
      <c r="D138" s="584">
        <f t="shared" si="176"/>
        <v>115</v>
      </c>
      <c r="E138" s="585"/>
      <c r="F138" s="586"/>
      <c r="G138" s="600"/>
      <c r="H138" s="587"/>
      <c r="I138" s="601"/>
      <c r="J138" s="585"/>
      <c r="K138" s="617"/>
      <c r="L138" s="602"/>
      <c r="M138" s="603"/>
      <c r="N138" s="588"/>
      <c r="O138" s="604"/>
      <c r="P138" s="605"/>
      <c r="Q138" s="588"/>
      <c r="R138" s="604"/>
      <c r="S138" s="605"/>
      <c r="T138" s="606"/>
      <c r="U138" s="606"/>
      <c r="V138" s="429" t="str">
        <f t="shared" si="178"/>
        <v/>
      </c>
      <c r="W138" s="430" t="str">
        <f t="shared" si="175"/>
        <v/>
      </c>
      <c r="X138" s="66" t="str">
        <f>IF(AND(ISNUMBER(P138),N138=FixedDim),MAX('Adjustment factors'!$S$16,0.2+0.8*P138),IF(ISTEXT(N138),VLOOKUP(N138,Afactors,2,TRUE),""))</f>
        <v/>
      </c>
      <c r="Y138" s="17" t="str">
        <f>IF(AND(ISNUMBER(S138),Q138=FixedDim),MAX('Adjustment factors'!$S$16,0.2+0.8*S138),IF(ISTEXT(Q138),VLOOKUP(Q138,Afactors,2,TRUE),""))</f>
        <v/>
      </c>
      <c r="Z138" s="297" t="str">
        <f>IF(ISBLANK(T138),"",VLOOKUP(T138,'Adjustment factors'!$R$27:$S$30,2,TRUE))</f>
        <v/>
      </c>
      <c r="AA138" s="297" t="str">
        <f>IF(ISBLANK(U138),"",VLOOKUP(U138,'Adjustment factors'!$R$27:$S$30,2,TRUE))</f>
        <v/>
      </c>
      <c r="AB138" s="480">
        <f t="shared" si="127"/>
        <v>1</v>
      </c>
      <c r="AC138" s="18" t="b">
        <f t="shared" si="81"/>
        <v>0</v>
      </c>
      <c r="AD138" s="18" t="b">
        <f t="shared" si="82"/>
        <v>0</v>
      </c>
      <c r="AE138" s="18" t="b">
        <f t="shared" si="172"/>
        <v>0</v>
      </c>
      <c r="AF138" s="17" t="str">
        <f t="shared" si="83"/>
        <v/>
      </c>
      <c r="AG138" s="18" t="str">
        <f t="shared" si="84"/>
        <v/>
      </c>
      <c r="AH138" s="17" t="str">
        <f t="shared" si="173"/>
        <v/>
      </c>
      <c r="AI138" s="297" t="e">
        <f t="shared" si="129"/>
        <v>#VALUE!</v>
      </c>
      <c r="AJ138" s="79" t="e">
        <f t="shared" si="86"/>
        <v>#VALUE!</v>
      </c>
      <c r="AK138" s="17" t="str">
        <f t="shared" si="174"/>
        <v/>
      </c>
      <c r="AL138" s="80" t="e">
        <f t="shared" si="87"/>
        <v>#VALUE!</v>
      </c>
      <c r="AM138" s="139" t="b">
        <f t="shared" si="88"/>
        <v>1</v>
      </c>
      <c r="AN138" s="139" t="b">
        <f>AND(COUNTA(E138)&gt;0,ISNUMBER(F138),OR(COUNT(G138:H138)=0,COUNT(G138:H138)=2,AND(ISNUMBER(G138),ISNUMBER(VALUE(LEFT(H138,SUM(LEN(H138)-LEN(SUBSTITUTE(H138,{"0","1","2","3","4","5","6","7","8","9","."},"")))))))),ISNUMBER(I138),ISTEXT(J138))</f>
        <v>0</v>
      </c>
      <c r="AO138" s="19" t="b">
        <f t="shared" si="89"/>
        <v>0</v>
      </c>
      <c r="AP138" s="19" t="b">
        <f t="shared" si="90"/>
        <v>1</v>
      </c>
      <c r="AQ138" s="19" t="b">
        <f>IF(AND(COUNTBLANK(E138:J138)=6,OR(AN139:AN$523)),NOT(AN138))</f>
        <v>0</v>
      </c>
      <c r="AR138" s="19" t="str">
        <f t="shared" si="91"/>
        <v/>
      </c>
      <c r="AS138" s="19" t="b">
        <f t="shared" si="92"/>
        <v>1</v>
      </c>
      <c r="AT138" s="19" t="str">
        <f t="shared" si="93"/>
        <v/>
      </c>
      <c r="AU138" s="19" t="b">
        <f t="shared" si="94"/>
        <v>1</v>
      </c>
      <c r="AV138" s="140" t="str">
        <f t="shared" si="156"/>
        <v/>
      </c>
      <c r="AW138" s="19" t="str">
        <f t="shared" si="95"/>
        <v/>
      </c>
      <c r="AX138" s="81">
        <f t="shared" si="96"/>
        <v>0</v>
      </c>
      <c r="AY138" s="81" t="str">
        <f t="shared" si="97"/>
        <v/>
      </c>
      <c r="AZ138" s="307" t="str">
        <f t="shared" si="131"/>
        <v/>
      </c>
      <c r="BA138" s="281" t="str">
        <f t="shared" si="157"/>
        <v/>
      </c>
      <c r="BB138" s="281" t="str">
        <f t="shared" si="158"/>
        <v/>
      </c>
      <c r="BC138" s="953"/>
      <c r="BD138" s="955"/>
      <c r="BE138" s="219" t="str">
        <f t="shared" si="98"/>
        <v>n/a</v>
      </c>
      <c r="BF138" s="215" t="b">
        <f t="shared" si="99"/>
        <v>0</v>
      </c>
      <c r="BG138" s="145" t="b">
        <f t="shared" si="100"/>
        <v>0</v>
      </c>
      <c r="BH138" s="145" t="b">
        <f t="shared" si="101"/>
        <v>0</v>
      </c>
      <c r="BI138" s="216" t="b">
        <f t="shared" si="102"/>
        <v>0</v>
      </c>
      <c r="BJ138" s="215" t="b">
        <f t="shared" si="103"/>
        <v>0</v>
      </c>
      <c r="BK138" s="145" t="b">
        <f t="shared" si="104"/>
        <v>0</v>
      </c>
      <c r="BL138" s="216" t="b">
        <f t="shared" si="105"/>
        <v>0</v>
      </c>
      <c r="BM138" s="217" t="str">
        <f t="shared" si="159"/>
        <v/>
      </c>
      <c r="BN138" s="146" t="str">
        <f t="shared" si="160"/>
        <v/>
      </c>
      <c r="BO138" s="147" t="str">
        <f t="shared" si="161"/>
        <v/>
      </c>
      <c r="BP138" s="148" t="str">
        <f t="shared" si="162"/>
        <v/>
      </c>
      <c r="BT138" s="50">
        <f t="shared" si="177"/>
        <v>115</v>
      </c>
      <c r="BU138" s="50" t="str">
        <f t="shared" si="180"/>
        <v>-</v>
      </c>
      <c r="BW138" s="333"/>
      <c r="BX138" s="333"/>
      <c r="BY138" s="333"/>
      <c r="BZ138" s="333"/>
      <c r="CA138" s="333"/>
      <c r="CB138" s="333"/>
      <c r="CC138" s="333"/>
      <c r="CD138" s="333"/>
      <c r="CE138" s="333"/>
      <c r="CF138" s="333"/>
      <c r="CG138" s="354">
        <f t="shared" si="107"/>
        <v>115</v>
      </c>
      <c r="CH138" s="613">
        <f t="shared" si="108"/>
        <v>0</v>
      </c>
      <c r="CI138" s="613">
        <f t="shared" si="109"/>
        <v>0</v>
      </c>
      <c r="CJ138" s="614" t="str">
        <f t="shared" si="110"/>
        <v/>
      </c>
      <c r="CK138" s="615" t="str">
        <f t="shared" si="111"/>
        <v/>
      </c>
      <c r="CL138" s="610" t="str">
        <f>IF(ISBLANK(H138),"",IF(AND(ISNUMBER(F138),ISNUMBER(G138),ISNUMBER(H138)),ROUND(F138/(H138*G138),2),ROUND(F138/(VALUE(LEFT(H138,SUM(LEN(H138)-LEN(SUBSTITUTE(H138,{"0","1","2","3","4","5","6","7","8","9","."},"")))))*G138),2)))</f>
        <v/>
      </c>
      <c r="CM138" s="616" t="str">
        <f t="shared" si="163"/>
        <v/>
      </c>
      <c r="CN138" s="616" t="str">
        <f>IF(ISNUMBER(P138),MAX('Adjustment factors'!$S$16,(0.2+0.8*P138)),IF(ISTEXT(N138),VLOOKUP(N138,Afactors,2,FALSE),""))</f>
        <v/>
      </c>
      <c r="CO138" s="616" t="str">
        <f>IF(ISNUMBER(S138),MAX('Adjustment factors'!$S$16,0.2+0.8*S138),IF(ISTEXT(Q138),VLOOKUP(Q138,Afactors,2,FALSE),""))</f>
        <v/>
      </c>
      <c r="CP138" s="611" t="str">
        <f t="shared" si="139"/>
        <v/>
      </c>
      <c r="CQ138" s="612" t="str">
        <f t="shared" si="140"/>
        <v/>
      </c>
      <c r="CR138" s="340"/>
      <c r="CS138" s="340"/>
      <c r="CT138" s="340"/>
      <c r="CU138" s="340"/>
      <c r="CV138" s="333"/>
      <c r="CW138" s="333"/>
      <c r="CX138" s="333"/>
      <c r="CY138" s="333"/>
      <c r="DA138" s="313" t="str">
        <f t="shared" si="112"/>
        <v>OK</v>
      </c>
      <c r="DB138" s="313" t="str">
        <f t="shared" si="113"/>
        <v>OK</v>
      </c>
      <c r="DC138" s="313" t="str">
        <f t="shared" si="114"/>
        <v>OK</v>
      </c>
      <c r="DD138" s="313" t="str">
        <f t="shared" si="115"/>
        <v>OK</v>
      </c>
      <c r="DE138" s="153" t="str">
        <f t="shared" si="116"/>
        <v>OK</v>
      </c>
      <c r="DF138" s="314" t="str">
        <f t="shared" si="117"/>
        <v>OK</v>
      </c>
      <c r="DG138" s="482" t="str">
        <f t="shared" si="141"/>
        <v>OK</v>
      </c>
      <c r="DH138" s="482" t="str">
        <f>IF(OR(AND(T138='Adjustment factors'!$R$28,'Class 3, 5-9'!U138='Adjustment factors'!$R$29),AND('Class 3, 5-9'!T138='Adjustment factors'!$R$29,'Class 3, 5-9'!U138='Adjustment factors'!$R$28)),"Invalid combination of adjustment factors",IF(AND(T138=U138,NOT(ISBLANK(T138)),NOT(ISBLANK(U138))),"Same colour factor selected twice","OK"))</f>
        <v>OK</v>
      </c>
      <c r="DI138" s="313" t="str">
        <f t="shared" si="118"/>
        <v>OK</v>
      </c>
      <c r="DJ138" s="153" t="str">
        <f t="shared" si="164"/>
        <v>OK</v>
      </c>
      <c r="DK138" s="153" t="str">
        <f t="shared" si="119"/>
        <v>OK</v>
      </c>
      <c r="DL138" s="313" t="str">
        <f t="shared" si="120"/>
        <v>OK</v>
      </c>
      <c r="DM138" s="153" t="str">
        <f t="shared" si="121"/>
        <v>OK</v>
      </c>
      <c r="DN138" s="153" t="str">
        <f t="shared" si="165"/>
        <v>OK</v>
      </c>
      <c r="DO138" s="154" t="str">
        <f t="shared" si="166"/>
        <v>OK</v>
      </c>
      <c r="DP138" s="153" t="str">
        <f t="shared" si="122"/>
        <v>OK</v>
      </c>
      <c r="DQ138" s="313" t="str">
        <f t="shared" si="123"/>
        <v>OK</v>
      </c>
      <c r="DR138" s="153" t="str">
        <f t="shared" si="167"/>
        <v>OK</v>
      </c>
      <c r="DS138" s="153" t="str">
        <f t="shared" si="124"/>
        <v>OK</v>
      </c>
      <c r="DT138" s="313" t="str">
        <f t="shared" si="153"/>
        <v>OK</v>
      </c>
      <c r="DU138" s="153" t="str">
        <f t="shared" si="125"/>
        <v>OK</v>
      </c>
      <c r="DV138" s="153" t="str">
        <f t="shared" si="168"/>
        <v>OK</v>
      </c>
      <c r="DW138" s="154" t="str">
        <f t="shared" si="169"/>
        <v>OK</v>
      </c>
      <c r="DX138" s="157">
        <f t="shared" si="170"/>
        <v>0</v>
      </c>
      <c r="DY138" s="156" t="str">
        <f t="shared" si="171"/>
        <v>OK</v>
      </c>
    </row>
    <row r="139" spans="1:129" ht="13" hidden="1" x14ac:dyDescent="0.3">
      <c r="A139" s="333"/>
      <c r="B139" s="333"/>
      <c r="C139" s="331" t="str">
        <f t="shared" si="181"/>
        <v>-</v>
      </c>
      <c r="D139" s="584">
        <f t="shared" si="176"/>
        <v>116</v>
      </c>
      <c r="E139" s="585"/>
      <c r="F139" s="586"/>
      <c r="G139" s="600"/>
      <c r="H139" s="587"/>
      <c r="I139" s="601"/>
      <c r="J139" s="585"/>
      <c r="K139" s="617"/>
      <c r="L139" s="602"/>
      <c r="M139" s="603"/>
      <c r="N139" s="588"/>
      <c r="O139" s="604"/>
      <c r="P139" s="605"/>
      <c r="Q139" s="588"/>
      <c r="R139" s="604"/>
      <c r="S139" s="605"/>
      <c r="T139" s="606"/>
      <c r="U139" s="606"/>
      <c r="V139" s="429" t="str">
        <f t="shared" si="178"/>
        <v/>
      </c>
      <c r="W139" s="430" t="str">
        <f t="shared" si="175"/>
        <v/>
      </c>
      <c r="X139" s="66" t="str">
        <f>IF(AND(ISNUMBER(P139),N139=FixedDim),MAX('Adjustment factors'!$S$16,0.2+0.8*P139),IF(ISTEXT(N139),VLOOKUP(N139,Afactors,2,TRUE),""))</f>
        <v/>
      </c>
      <c r="Y139" s="17" t="str">
        <f>IF(AND(ISNUMBER(S139),Q139=FixedDim),MAX('Adjustment factors'!$S$16,0.2+0.8*S139),IF(ISTEXT(Q139),VLOOKUP(Q139,Afactors,2,TRUE),""))</f>
        <v/>
      </c>
      <c r="Z139" s="297" t="str">
        <f>IF(ISBLANK(T139),"",VLOOKUP(T139,'Adjustment factors'!$R$27:$S$30,2,TRUE))</f>
        <v/>
      </c>
      <c r="AA139" s="297" t="str">
        <f>IF(ISBLANK(U139),"",VLOOKUP(U139,'Adjustment factors'!$R$27:$S$30,2,TRUE))</f>
        <v/>
      </c>
      <c r="AB139" s="480">
        <f t="shared" si="127"/>
        <v>1</v>
      </c>
      <c r="AC139" s="18" t="b">
        <f t="shared" si="81"/>
        <v>0</v>
      </c>
      <c r="AD139" s="18" t="b">
        <f t="shared" si="82"/>
        <v>0</v>
      </c>
      <c r="AE139" s="18" t="b">
        <f t="shared" si="172"/>
        <v>0</v>
      </c>
      <c r="AF139" s="17" t="str">
        <f t="shared" si="83"/>
        <v/>
      </c>
      <c r="AG139" s="18" t="str">
        <f t="shared" si="84"/>
        <v/>
      </c>
      <c r="AH139" s="17" t="str">
        <f t="shared" si="173"/>
        <v/>
      </c>
      <c r="AI139" s="297" t="e">
        <f t="shared" si="129"/>
        <v>#VALUE!</v>
      </c>
      <c r="AJ139" s="79" t="e">
        <f t="shared" si="86"/>
        <v>#VALUE!</v>
      </c>
      <c r="AK139" s="17" t="str">
        <f t="shared" si="174"/>
        <v/>
      </c>
      <c r="AL139" s="80" t="e">
        <f t="shared" si="87"/>
        <v>#VALUE!</v>
      </c>
      <c r="AM139" s="139" t="b">
        <f t="shared" si="88"/>
        <v>1</v>
      </c>
      <c r="AN139" s="139" t="b">
        <f>AND(COUNTA(E139)&gt;0,ISNUMBER(F139),OR(COUNT(G139:H139)=0,COUNT(G139:H139)=2,AND(ISNUMBER(G139),ISNUMBER(VALUE(LEFT(H139,SUM(LEN(H139)-LEN(SUBSTITUTE(H139,{"0","1","2","3","4","5","6","7","8","9","."},"")))))))),ISNUMBER(I139),ISTEXT(J139))</f>
        <v>0</v>
      </c>
      <c r="AO139" s="19" t="b">
        <f t="shared" si="89"/>
        <v>0</v>
      </c>
      <c r="AP139" s="19" t="b">
        <f t="shared" si="90"/>
        <v>1</v>
      </c>
      <c r="AQ139" s="19" t="b">
        <f>IF(AND(COUNTBLANK(E139:J139)=6,OR(AN140:AN$523)),NOT(AN139))</f>
        <v>0</v>
      </c>
      <c r="AR139" s="19" t="str">
        <f t="shared" si="91"/>
        <v/>
      </c>
      <c r="AS139" s="19" t="b">
        <f t="shared" si="92"/>
        <v>1</v>
      </c>
      <c r="AT139" s="19" t="str">
        <f t="shared" si="93"/>
        <v/>
      </c>
      <c r="AU139" s="19" t="b">
        <f t="shared" si="94"/>
        <v>1</v>
      </c>
      <c r="AV139" s="140" t="str">
        <f t="shared" si="156"/>
        <v/>
      </c>
      <c r="AW139" s="19" t="str">
        <f t="shared" si="95"/>
        <v/>
      </c>
      <c r="AX139" s="81">
        <f t="shared" si="96"/>
        <v>0</v>
      </c>
      <c r="AY139" s="81" t="str">
        <f t="shared" si="97"/>
        <v/>
      </c>
      <c r="AZ139" s="307" t="str">
        <f t="shared" si="131"/>
        <v/>
      </c>
      <c r="BA139" s="281" t="str">
        <f t="shared" si="157"/>
        <v/>
      </c>
      <c r="BB139" s="281" t="str">
        <f t="shared" si="158"/>
        <v/>
      </c>
      <c r="BC139" s="953"/>
      <c r="BD139" s="955"/>
      <c r="BE139" s="219" t="str">
        <f t="shared" si="98"/>
        <v>n/a</v>
      </c>
      <c r="BF139" s="215" t="b">
        <f t="shared" si="99"/>
        <v>0</v>
      </c>
      <c r="BG139" s="145" t="b">
        <f t="shared" si="100"/>
        <v>0</v>
      </c>
      <c r="BH139" s="145" t="b">
        <f t="shared" si="101"/>
        <v>0</v>
      </c>
      <c r="BI139" s="216" t="b">
        <f t="shared" si="102"/>
        <v>0</v>
      </c>
      <c r="BJ139" s="215" t="b">
        <f t="shared" si="103"/>
        <v>0</v>
      </c>
      <c r="BK139" s="145" t="b">
        <f t="shared" si="104"/>
        <v>0</v>
      </c>
      <c r="BL139" s="216" t="b">
        <f t="shared" si="105"/>
        <v>0</v>
      </c>
      <c r="BM139" s="217" t="str">
        <f t="shared" si="159"/>
        <v/>
      </c>
      <c r="BN139" s="146" t="str">
        <f t="shared" si="160"/>
        <v/>
      </c>
      <c r="BO139" s="147" t="str">
        <f t="shared" si="161"/>
        <v/>
      </c>
      <c r="BP139" s="148" t="str">
        <f t="shared" si="162"/>
        <v/>
      </c>
      <c r="BT139" s="50">
        <f t="shared" si="177"/>
        <v>116</v>
      </c>
      <c r="BU139" s="50" t="str">
        <f t="shared" si="180"/>
        <v>-</v>
      </c>
      <c r="BW139" s="333"/>
      <c r="BX139" s="333"/>
      <c r="BY139" s="333"/>
      <c r="BZ139" s="333"/>
      <c r="CA139" s="333"/>
      <c r="CB139" s="333"/>
      <c r="CC139" s="333"/>
      <c r="CD139" s="333"/>
      <c r="CE139" s="333"/>
      <c r="CF139" s="333"/>
      <c r="CG139" s="354">
        <f t="shared" si="107"/>
        <v>116</v>
      </c>
      <c r="CH139" s="613">
        <f t="shared" si="108"/>
        <v>0</v>
      </c>
      <c r="CI139" s="613">
        <f t="shared" si="109"/>
        <v>0</v>
      </c>
      <c r="CJ139" s="614" t="str">
        <f t="shared" si="110"/>
        <v/>
      </c>
      <c r="CK139" s="615" t="str">
        <f t="shared" si="111"/>
        <v/>
      </c>
      <c r="CL139" s="610" t="str">
        <f>IF(ISBLANK(H139),"",IF(AND(ISNUMBER(F139),ISNUMBER(G139),ISNUMBER(H139)),ROUND(F139/(H139*G139),2),ROUND(F139/(VALUE(LEFT(H139,SUM(LEN(H139)-LEN(SUBSTITUTE(H139,{"0","1","2","3","4","5","6","7","8","9","."},"")))))*G139),2)))</f>
        <v/>
      </c>
      <c r="CM139" s="616" t="str">
        <f t="shared" si="163"/>
        <v/>
      </c>
      <c r="CN139" s="616" t="str">
        <f>IF(ISNUMBER(P139),MAX('Adjustment factors'!$S$16,(0.2+0.8*P139)),IF(ISTEXT(N139),VLOOKUP(N139,Afactors,2,FALSE),""))</f>
        <v/>
      </c>
      <c r="CO139" s="616" t="str">
        <f>IF(ISNUMBER(S139),MAX('Adjustment factors'!$S$16,0.2+0.8*S139),IF(ISTEXT(Q139),VLOOKUP(Q139,Afactors,2,FALSE),""))</f>
        <v/>
      </c>
      <c r="CP139" s="611" t="str">
        <f t="shared" si="139"/>
        <v/>
      </c>
      <c r="CQ139" s="612" t="str">
        <f t="shared" si="140"/>
        <v/>
      </c>
      <c r="CR139" s="340"/>
      <c r="CS139" s="340"/>
      <c r="CT139" s="340"/>
      <c r="CU139" s="340"/>
      <c r="CV139" s="333"/>
      <c r="CW139" s="333"/>
      <c r="CX139" s="333"/>
      <c r="CY139" s="333"/>
      <c r="DA139" s="313" t="str">
        <f t="shared" si="112"/>
        <v>OK</v>
      </c>
      <c r="DB139" s="313" t="str">
        <f t="shared" si="113"/>
        <v>OK</v>
      </c>
      <c r="DC139" s="313" t="str">
        <f t="shared" si="114"/>
        <v>OK</v>
      </c>
      <c r="DD139" s="313" t="str">
        <f t="shared" si="115"/>
        <v>OK</v>
      </c>
      <c r="DE139" s="153" t="str">
        <f t="shared" si="116"/>
        <v>OK</v>
      </c>
      <c r="DF139" s="314" t="str">
        <f t="shared" si="117"/>
        <v>OK</v>
      </c>
      <c r="DG139" s="482" t="str">
        <f t="shared" si="141"/>
        <v>OK</v>
      </c>
      <c r="DH139" s="482" t="str">
        <f>IF(OR(AND(T139='Adjustment factors'!$R$28,'Class 3, 5-9'!U139='Adjustment factors'!$R$29),AND('Class 3, 5-9'!T139='Adjustment factors'!$R$29,'Class 3, 5-9'!U139='Adjustment factors'!$R$28)),"Invalid combination of adjustment factors",IF(AND(T139=U139,NOT(ISBLANK(T139)),NOT(ISBLANK(U139))),"Same colour factor selected twice","OK"))</f>
        <v>OK</v>
      </c>
      <c r="DI139" s="313" t="str">
        <f t="shared" si="118"/>
        <v>OK</v>
      </c>
      <c r="DJ139" s="153" t="str">
        <f t="shared" si="164"/>
        <v>OK</v>
      </c>
      <c r="DK139" s="153" t="str">
        <f t="shared" si="119"/>
        <v>OK</v>
      </c>
      <c r="DL139" s="313" t="str">
        <f t="shared" si="120"/>
        <v>OK</v>
      </c>
      <c r="DM139" s="153" t="str">
        <f t="shared" si="121"/>
        <v>OK</v>
      </c>
      <c r="DN139" s="153" t="str">
        <f t="shared" si="165"/>
        <v>OK</v>
      </c>
      <c r="DO139" s="154" t="str">
        <f t="shared" si="166"/>
        <v>OK</v>
      </c>
      <c r="DP139" s="153" t="str">
        <f t="shared" si="122"/>
        <v>OK</v>
      </c>
      <c r="DQ139" s="313" t="str">
        <f t="shared" si="123"/>
        <v>OK</v>
      </c>
      <c r="DR139" s="153" t="str">
        <f t="shared" si="167"/>
        <v>OK</v>
      </c>
      <c r="DS139" s="153" t="str">
        <f t="shared" si="124"/>
        <v>OK</v>
      </c>
      <c r="DT139" s="313" t="str">
        <f t="shared" ref="DT139:DT170" si="182">IF(AND(ISNUMBER(S139),Q139&lt;&gt;FixedDim),"Select fixed dimming with an illuminance factor","OK")</f>
        <v>OK</v>
      </c>
      <c r="DU139" s="153" t="str">
        <f t="shared" si="125"/>
        <v>OK</v>
      </c>
      <c r="DV139" s="153" t="str">
        <f t="shared" si="168"/>
        <v>OK</v>
      </c>
      <c r="DW139" s="154" t="str">
        <f t="shared" si="169"/>
        <v>OK</v>
      </c>
      <c r="DX139" s="157">
        <f t="shared" si="170"/>
        <v>0</v>
      </c>
      <c r="DY139" s="156" t="str">
        <f t="shared" si="171"/>
        <v>OK</v>
      </c>
    </row>
    <row r="140" spans="1:129" ht="13" hidden="1" x14ac:dyDescent="0.3">
      <c r="A140" s="333"/>
      <c r="B140" s="333"/>
      <c r="C140" s="331" t="str">
        <f t="shared" si="181"/>
        <v>-</v>
      </c>
      <c r="D140" s="584">
        <f t="shared" si="176"/>
        <v>117</v>
      </c>
      <c r="E140" s="585"/>
      <c r="F140" s="586"/>
      <c r="G140" s="600"/>
      <c r="H140" s="587"/>
      <c r="I140" s="601"/>
      <c r="J140" s="585"/>
      <c r="K140" s="617"/>
      <c r="L140" s="602"/>
      <c r="M140" s="603"/>
      <c r="N140" s="588"/>
      <c r="O140" s="604"/>
      <c r="P140" s="605"/>
      <c r="Q140" s="588"/>
      <c r="R140" s="604"/>
      <c r="S140" s="605"/>
      <c r="T140" s="606"/>
      <c r="U140" s="606"/>
      <c r="V140" s="429" t="str">
        <f t="shared" si="178"/>
        <v/>
      </c>
      <c r="W140" s="430" t="str">
        <f t="shared" si="175"/>
        <v/>
      </c>
      <c r="X140" s="66" t="str">
        <f>IF(AND(ISNUMBER(P140),N140=FixedDim),MAX('Adjustment factors'!$S$16,0.2+0.8*P140),IF(ISTEXT(N140),VLOOKUP(N140,Afactors,2,TRUE),""))</f>
        <v/>
      </c>
      <c r="Y140" s="17" t="str">
        <f>IF(AND(ISNUMBER(S140),Q140=FixedDim),MAX('Adjustment factors'!$S$16,0.2+0.8*S140),IF(ISTEXT(Q140),VLOOKUP(Q140,Afactors,2,TRUE),""))</f>
        <v/>
      </c>
      <c r="Z140" s="297" t="str">
        <f>IF(ISBLANK(T140),"",VLOOKUP(T140,'Adjustment factors'!$R$27:$S$30,2,TRUE))</f>
        <v/>
      </c>
      <c r="AA140" s="297" t="str">
        <f>IF(ISBLANK(U140),"",VLOOKUP(U140,'Adjustment factors'!$R$27:$S$30,2,TRUE))</f>
        <v/>
      </c>
      <c r="AB140" s="480">
        <f t="shared" si="127"/>
        <v>1</v>
      </c>
      <c r="AC140" s="18" t="b">
        <f t="shared" si="81"/>
        <v>0</v>
      </c>
      <c r="AD140" s="18" t="b">
        <f t="shared" si="82"/>
        <v>0</v>
      </c>
      <c r="AE140" s="18" t="b">
        <f t="shared" si="172"/>
        <v>0</v>
      </c>
      <c r="AF140" s="17" t="str">
        <f t="shared" si="83"/>
        <v/>
      </c>
      <c r="AG140" s="18" t="str">
        <f t="shared" si="84"/>
        <v/>
      </c>
      <c r="AH140" s="17" t="str">
        <f t="shared" si="173"/>
        <v/>
      </c>
      <c r="AI140" s="297" t="e">
        <f t="shared" si="129"/>
        <v>#VALUE!</v>
      </c>
      <c r="AJ140" s="79" t="e">
        <f t="shared" si="86"/>
        <v>#VALUE!</v>
      </c>
      <c r="AK140" s="17" t="str">
        <f t="shared" si="174"/>
        <v/>
      </c>
      <c r="AL140" s="80" t="e">
        <f t="shared" si="87"/>
        <v>#VALUE!</v>
      </c>
      <c r="AM140" s="139" t="b">
        <f t="shared" si="88"/>
        <v>1</v>
      </c>
      <c r="AN140" s="139" t="b">
        <f>AND(COUNTA(E140)&gt;0,ISNUMBER(F140),OR(COUNT(G140:H140)=0,COUNT(G140:H140)=2,AND(ISNUMBER(G140),ISNUMBER(VALUE(LEFT(H140,SUM(LEN(H140)-LEN(SUBSTITUTE(H140,{"0","1","2","3","4","5","6","7","8","9","."},"")))))))),ISNUMBER(I140),ISTEXT(J140))</f>
        <v>0</v>
      </c>
      <c r="AO140" s="19" t="b">
        <f t="shared" si="89"/>
        <v>0</v>
      </c>
      <c r="AP140" s="19" t="b">
        <f t="shared" si="90"/>
        <v>1</v>
      </c>
      <c r="AQ140" s="19" t="b">
        <f>IF(AND(COUNTBLANK(E140:J140)=6,OR(AN141:AN$523)),NOT(AN140))</f>
        <v>0</v>
      </c>
      <c r="AR140" s="19" t="str">
        <f t="shared" si="91"/>
        <v/>
      </c>
      <c r="AS140" s="19" t="b">
        <f t="shared" si="92"/>
        <v>1</v>
      </c>
      <c r="AT140" s="19" t="str">
        <f t="shared" si="93"/>
        <v/>
      </c>
      <c r="AU140" s="19" t="b">
        <f t="shared" si="94"/>
        <v>1</v>
      </c>
      <c r="AV140" s="140" t="str">
        <f t="shared" si="156"/>
        <v/>
      </c>
      <c r="AW140" s="19" t="str">
        <f t="shared" si="95"/>
        <v/>
      </c>
      <c r="AX140" s="81">
        <f t="shared" si="96"/>
        <v>0</v>
      </c>
      <c r="AY140" s="81" t="str">
        <f t="shared" si="97"/>
        <v/>
      </c>
      <c r="AZ140" s="307" t="str">
        <f t="shared" si="131"/>
        <v/>
      </c>
      <c r="BA140" s="281" t="str">
        <f t="shared" si="157"/>
        <v/>
      </c>
      <c r="BB140" s="281" t="str">
        <f t="shared" si="158"/>
        <v/>
      </c>
      <c r="BC140" s="953"/>
      <c r="BD140" s="955"/>
      <c r="BE140" s="219" t="str">
        <f t="shared" si="98"/>
        <v>n/a</v>
      </c>
      <c r="BF140" s="215" t="b">
        <f t="shared" si="99"/>
        <v>0</v>
      </c>
      <c r="BG140" s="145" t="b">
        <f t="shared" si="100"/>
        <v>0</v>
      </c>
      <c r="BH140" s="145" t="b">
        <f t="shared" si="101"/>
        <v>0</v>
      </c>
      <c r="BI140" s="216" t="b">
        <f t="shared" si="102"/>
        <v>0</v>
      </c>
      <c r="BJ140" s="215" t="b">
        <f t="shared" si="103"/>
        <v>0</v>
      </c>
      <c r="BK140" s="145" t="b">
        <f t="shared" si="104"/>
        <v>0</v>
      </c>
      <c r="BL140" s="216" t="b">
        <f t="shared" si="105"/>
        <v>0</v>
      </c>
      <c r="BM140" s="217" t="str">
        <f t="shared" si="159"/>
        <v/>
      </c>
      <c r="BN140" s="146" t="str">
        <f t="shared" si="160"/>
        <v/>
      </c>
      <c r="BO140" s="147" t="str">
        <f t="shared" si="161"/>
        <v/>
      </c>
      <c r="BP140" s="148" t="str">
        <f t="shared" si="162"/>
        <v/>
      </c>
      <c r="BT140" s="50">
        <f t="shared" si="177"/>
        <v>117</v>
      </c>
      <c r="BU140" s="50" t="str">
        <f t="shared" si="180"/>
        <v>-</v>
      </c>
      <c r="BW140" s="333"/>
      <c r="BX140" s="333"/>
      <c r="BY140" s="333"/>
      <c r="BZ140" s="333"/>
      <c r="CA140" s="333"/>
      <c r="CB140" s="333"/>
      <c r="CC140" s="333"/>
      <c r="CD140" s="333"/>
      <c r="CE140" s="333"/>
      <c r="CF140" s="333"/>
      <c r="CG140" s="354">
        <f t="shared" si="107"/>
        <v>117</v>
      </c>
      <c r="CH140" s="613">
        <f t="shared" si="108"/>
        <v>0</v>
      </c>
      <c r="CI140" s="613">
        <f t="shared" si="109"/>
        <v>0</v>
      </c>
      <c r="CJ140" s="614" t="str">
        <f t="shared" si="110"/>
        <v/>
      </c>
      <c r="CK140" s="615" t="str">
        <f t="shared" si="111"/>
        <v/>
      </c>
      <c r="CL140" s="610" t="str">
        <f>IF(ISBLANK(H140),"",IF(AND(ISNUMBER(F140),ISNUMBER(G140),ISNUMBER(H140)),ROUND(F140/(H140*G140),2),ROUND(F140/(VALUE(LEFT(H140,SUM(LEN(H140)-LEN(SUBSTITUTE(H140,{"0","1","2","3","4","5","6","7","8","9","."},"")))))*G140),2)))</f>
        <v/>
      </c>
      <c r="CM140" s="616" t="str">
        <f t="shared" si="163"/>
        <v/>
      </c>
      <c r="CN140" s="616" t="str">
        <f>IF(ISNUMBER(P140),MAX('Adjustment factors'!$S$16,(0.2+0.8*P140)),IF(ISTEXT(N140),VLOOKUP(N140,Afactors,2,FALSE),""))</f>
        <v/>
      </c>
      <c r="CO140" s="616" t="str">
        <f>IF(ISNUMBER(S140),MAX('Adjustment factors'!$S$16,0.2+0.8*S140),IF(ISTEXT(Q140),VLOOKUP(Q140,Afactors,2,FALSE),""))</f>
        <v/>
      </c>
      <c r="CP140" s="611" t="str">
        <f t="shared" si="139"/>
        <v/>
      </c>
      <c r="CQ140" s="612" t="str">
        <f t="shared" si="140"/>
        <v/>
      </c>
      <c r="CR140" s="340"/>
      <c r="CS140" s="340"/>
      <c r="CT140" s="340"/>
      <c r="CU140" s="340"/>
      <c r="CV140" s="333"/>
      <c r="CW140" s="333"/>
      <c r="CX140" s="333"/>
      <c r="CY140" s="333"/>
      <c r="DA140" s="313" t="str">
        <f t="shared" si="112"/>
        <v>OK</v>
      </c>
      <c r="DB140" s="313" t="str">
        <f t="shared" si="113"/>
        <v>OK</v>
      </c>
      <c r="DC140" s="313" t="str">
        <f t="shared" si="114"/>
        <v>OK</v>
      </c>
      <c r="DD140" s="313" t="str">
        <f t="shared" si="115"/>
        <v>OK</v>
      </c>
      <c r="DE140" s="153" t="str">
        <f t="shared" si="116"/>
        <v>OK</v>
      </c>
      <c r="DF140" s="314" t="str">
        <f t="shared" si="117"/>
        <v>OK</v>
      </c>
      <c r="DG140" s="482" t="str">
        <f t="shared" si="141"/>
        <v>OK</v>
      </c>
      <c r="DH140" s="482" t="str">
        <f>IF(OR(AND(T140='Adjustment factors'!$R$28,'Class 3, 5-9'!U140='Adjustment factors'!$R$29),AND('Class 3, 5-9'!T140='Adjustment factors'!$R$29,'Class 3, 5-9'!U140='Adjustment factors'!$R$28)),"Invalid combination of adjustment factors",IF(AND(T140=U140,NOT(ISBLANK(T140)),NOT(ISBLANK(U140))),"Same colour factor selected twice","OK"))</f>
        <v>OK</v>
      </c>
      <c r="DI140" s="313" t="str">
        <f t="shared" si="118"/>
        <v>OK</v>
      </c>
      <c r="DJ140" s="153" t="str">
        <f t="shared" si="164"/>
        <v>OK</v>
      </c>
      <c r="DK140" s="153" t="str">
        <f t="shared" si="119"/>
        <v>OK</v>
      </c>
      <c r="DL140" s="313" t="str">
        <f t="shared" si="120"/>
        <v>OK</v>
      </c>
      <c r="DM140" s="153" t="str">
        <f t="shared" si="121"/>
        <v>OK</v>
      </c>
      <c r="DN140" s="153" t="str">
        <f t="shared" si="165"/>
        <v>OK</v>
      </c>
      <c r="DO140" s="154" t="str">
        <f t="shared" si="166"/>
        <v>OK</v>
      </c>
      <c r="DP140" s="153" t="str">
        <f t="shared" si="122"/>
        <v>OK</v>
      </c>
      <c r="DQ140" s="313" t="str">
        <f t="shared" si="123"/>
        <v>OK</v>
      </c>
      <c r="DR140" s="153" t="str">
        <f t="shared" si="167"/>
        <v>OK</v>
      </c>
      <c r="DS140" s="153" t="str">
        <f t="shared" si="124"/>
        <v>OK</v>
      </c>
      <c r="DT140" s="313" t="str">
        <f t="shared" si="182"/>
        <v>OK</v>
      </c>
      <c r="DU140" s="153" t="str">
        <f t="shared" si="125"/>
        <v>OK</v>
      </c>
      <c r="DV140" s="153" t="str">
        <f t="shared" si="168"/>
        <v>OK</v>
      </c>
      <c r="DW140" s="154" t="str">
        <f t="shared" si="169"/>
        <v>OK</v>
      </c>
      <c r="DX140" s="157">
        <f t="shared" si="170"/>
        <v>0</v>
      </c>
      <c r="DY140" s="156" t="str">
        <f t="shared" si="171"/>
        <v>OK</v>
      </c>
    </row>
    <row r="141" spans="1:129" ht="13" hidden="1" x14ac:dyDescent="0.3">
      <c r="A141" s="333"/>
      <c r="B141" s="333"/>
      <c r="C141" s="331" t="str">
        <f t="shared" si="181"/>
        <v>-</v>
      </c>
      <c r="D141" s="584">
        <f t="shared" si="176"/>
        <v>118</v>
      </c>
      <c r="E141" s="585"/>
      <c r="F141" s="586"/>
      <c r="G141" s="600"/>
      <c r="H141" s="587"/>
      <c r="I141" s="601"/>
      <c r="J141" s="585"/>
      <c r="K141" s="617"/>
      <c r="L141" s="602"/>
      <c r="M141" s="603"/>
      <c r="N141" s="588"/>
      <c r="O141" s="604"/>
      <c r="P141" s="605"/>
      <c r="Q141" s="588"/>
      <c r="R141" s="604"/>
      <c r="S141" s="605"/>
      <c r="T141" s="606"/>
      <c r="U141" s="606"/>
      <c r="V141" s="429" t="str">
        <f t="shared" si="178"/>
        <v/>
      </c>
      <c r="W141" s="430" t="str">
        <f t="shared" si="175"/>
        <v/>
      </c>
      <c r="X141" s="66" t="str">
        <f>IF(AND(ISNUMBER(P141),N141=FixedDim),MAX('Adjustment factors'!$S$16,0.2+0.8*P141),IF(ISTEXT(N141),VLOOKUP(N141,Afactors,2,TRUE),""))</f>
        <v/>
      </c>
      <c r="Y141" s="17" t="str">
        <f>IF(AND(ISNUMBER(S141),Q141=FixedDim),MAX('Adjustment factors'!$S$16,0.2+0.8*S141),IF(ISTEXT(Q141),VLOOKUP(Q141,Afactors,2,TRUE),""))</f>
        <v/>
      </c>
      <c r="Z141" s="297" t="str">
        <f>IF(ISBLANK(T141),"",VLOOKUP(T141,'Adjustment factors'!$R$27:$S$30,2,TRUE))</f>
        <v/>
      </c>
      <c r="AA141" s="297" t="str">
        <f>IF(ISBLANK(U141),"",VLOOKUP(U141,'Adjustment factors'!$R$27:$S$30,2,TRUE))</f>
        <v/>
      </c>
      <c r="AB141" s="480">
        <f t="shared" si="127"/>
        <v>1</v>
      </c>
      <c r="AC141" s="18" t="b">
        <f t="shared" si="81"/>
        <v>0</v>
      </c>
      <c r="AD141" s="18" t="b">
        <f t="shared" si="82"/>
        <v>0</v>
      </c>
      <c r="AE141" s="18" t="b">
        <f t="shared" si="172"/>
        <v>0</v>
      </c>
      <c r="AF141" s="17" t="str">
        <f t="shared" si="83"/>
        <v/>
      </c>
      <c r="AG141" s="18" t="str">
        <f t="shared" si="84"/>
        <v/>
      </c>
      <c r="AH141" s="17" t="str">
        <f t="shared" si="173"/>
        <v/>
      </c>
      <c r="AI141" s="297" t="e">
        <f t="shared" si="129"/>
        <v>#VALUE!</v>
      </c>
      <c r="AJ141" s="79" t="e">
        <f t="shared" si="86"/>
        <v>#VALUE!</v>
      </c>
      <c r="AK141" s="17" t="str">
        <f t="shared" si="174"/>
        <v/>
      </c>
      <c r="AL141" s="80" t="e">
        <f t="shared" si="87"/>
        <v>#VALUE!</v>
      </c>
      <c r="AM141" s="139" t="b">
        <f t="shared" si="88"/>
        <v>1</v>
      </c>
      <c r="AN141" s="139" t="b">
        <f>AND(COUNTA(E141)&gt;0,ISNUMBER(F141),OR(COUNT(G141:H141)=0,COUNT(G141:H141)=2,AND(ISNUMBER(G141),ISNUMBER(VALUE(LEFT(H141,SUM(LEN(H141)-LEN(SUBSTITUTE(H141,{"0","1","2","3","4","5","6","7","8","9","."},"")))))))),ISNUMBER(I141),ISTEXT(J141))</f>
        <v>0</v>
      </c>
      <c r="AO141" s="19" t="b">
        <f t="shared" si="89"/>
        <v>0</v>
      </c>
      <c r="AP141" s="19" t="b">
        <f t="shared" si="90"/>
        <v>1</v>
      </c>
      <c r="AQ141" s="19" t="b">
        <f>IF(AND(COUNTBLANK(E141:J141)=6,OR(AN142:AN$523)),NOT(AN141))</f>
        <v>0</v>
      </c>
      <c r="AR141" s="19" t="str">
        <f t="shared" si="91"/>
        <v/>
      </c>
      <c r="AS141" s="19" t="b">
        <f t="shared" si="92"/>
        <v>1</v>
      </c>
      <c r="AT141" s="19" t="str">
        <f t="shared" si="93"/>
        <v/>
      </c>
      <c r="AU141" s="19" t="b">
        <f t="shared" si="94"/>
        <v>1</v>
      </c>
      <c r="AV141" s="140" t="str">
        <f t="shared" si="156"/>
        <v/>
      </c>
      <c r="AW141" s="19" t="str">
        <f t="shared" si="95"/>
        <v/>
      </c>
      <c r="AX141" s="81">
        <f t="shared" si="96"/>
        <v>0</v>
      </c>
      <c r="AY141" s="81" t="str">
        <f t="shared" si="97"/>
        <v/>
      </c>
      <c r="AZ141" s="307" t="str">
        <f t="shared" si="131"/>
        <v/>
      </c>
      <c r="BA141" s="281" t="str">
        <f t="shared" si="157"/>
        <v/>
      </c>
      <c r="BB141" s="281" t="str">
        <f t="shared" si="158"/>
        <v/>
      </c>
      <c r="BC141" s="953"/>
      <c r="BD141" s="955"/>
      <c r="BE141" s="219" t="str">
        <f t="shared" si="98"/>
        <v>n/a</v>
      </c>
      <c r="BF141" s="215" t="b">
        <f t="shared" si="99"/>
        <v>0</v>
      </c>
      <c r="BG141" s="145" t="b">
        <f t="shared" si="100"/>
        <v>0</v>
      </c>
      <c r="BH141" s="145" t="b">
        <f t="shared" si="101"/>
        <v>0</v>
      </c>
      <c r="BI141" s="216" t="b">
        <f t="shared" si="102"/>
        <v>0</v>
      </c>
      <c r="BJ141" s="215" t="b">
        <f t="shared" si="103"/>
        <v>0</v>
      </c>
      <c r="BK141" s="145" t="b">
        <f t="shared" si="104"/>
        <v>0</v>
      </c>
      <c r="BL141" s="216" t="b">
        <f t="shared" si="105"/>
        <v>0</v>
      </c>
      <c r="BM141" s="217" t="str">
        <f t="shared" si="159"/>
        <v/>
      </c>
      <c r="BN141" s="146" t="str">
        <f t="shared" si="160"/>
        <v/>
      </c>
      <c r="BO141" s="147" t="str">
        <f t="shared" si="161"/>
        <v/>
      </c>
      <c r="BP141" s="148" t="str">
        <f t="shared" si="162"/>
        <v/>
      </c>
      <c r="BT141" s="50">
        <f t="shared" si="177"/>
        <v>118</v>
      </c>
      <c r="BU141" s="50" t="str">
        <f t="shared" si="180"/>
        <v>-</v>
      </c>
      <c r="BW141" s="333"/>
      <c r="BX141" s="333"/>
      <c r="BY141" s="333"/>
      <c r="BZ141" s="333"/>
      <c r="CA141" s="333"/>
      <c r="CB141" s="333"/>
      <c r="CC141" s="333"/>
      <c r="CD141" s="333"/>
      <c r="CE141" s="333"/>
      <c r="CF141" s="333"/>
      <c r="CG141" s="354">
        <f t="shared" si="107"/>
        <v>118</v>
      </c>
      <c r="CH141" s="613">
        <f t="shared" si="108"/>
        <v>0</v>
      </c>
      <c r="CI141" s="613">
        <f t="shared" si="109"/>
        <v>0</v>
      </c>
      <c r="CJ141" s="614" t="str">
        <f t="shared" si="110"/>
        <v/>
      </c>
      <c r="CK141" s="615" t="str">
        <f t="shared" si="111"/>
        <v/>
      </c>
      <c r="CL141" s="610" t="str">
        <f>IF(ISBLANK(H141),"",IF(AND(ISNUMBER(F141),ISNUMBER(G141),ISNUMBER(H141)),ROUND(F141/(H141*G141),2),ROUND(F141/(VALUE(LEFT(H141,SUM(LEN(H141)-LEN(SUBSTITUTE(H141,{"0","1","2","3","4","5","6","7","8","9","."},"")))))*G141),2)))</f>
        <v/>
      </c>
      <c r="CM141" s="616" t="str">
        <f t="shared" si="163"/>
        <v/>
      </c>
      <c r="CN141" s="616" t="str">
        <f>IF(ISNUMBER(P141),MAX('Adjustment factors'!$S$16,(0.2+0.8*P141)),IF(ISTEXT(N141),VLOOKUP(N141,Afactors,2,FALSE),""))</f>
        <v/>
      </c>
      <c r="CO141" s="616" t="str">
        <f>IF(ISNUMBER(S141),MAX('Adjustment factors'!$S$16,0.2+0.8*S141),IF(ISTEXT(Q141),VLOOKUP(Q141,Afactors,2,FALSE),""))</f>
        <v/>
      </c>
      <c r="CP141" s="611" t="str">
        <f t="shared" si="139"/>
        <v/>
      </c>
      <c r="CQ141" s="612" t="str">
        <f t="shared" si="140"/>
        <v/>
      </c>
      <c r="CR141" s="340"/>
      <c r="CS141" s="340"/>
      <c r="CT141" s="340"/>
      <c r="CU141" s="340"/>
      <c r="CV141" s="333"/>
      <c r="CW141" s="333"/>
      <c r="CX141" s="333"/>
      <c r="CY141" s="333"/>
      <c r="DA141" s="313" t="str">
        <f t="shared" si="112"/>
        <v>OK</v>
      </c>
      <c r="DB141" s="313" t="str">
        <f t="shared" si="113"/>
        <v>OK</v>
      </c>
      <c r="DC141" s="313" t="str">
        <f t="shared" si="114"/>
        <v>OK</v>
      </c>
      <c r="DD141" s="313" t="str">
        <f t="shared" si="115"/>
        <v>OK</v>
      </c>
      <c r="DE141" s="153" t="str">
        <f t="shared" si="116"/>
        <v>OK</v>
      </c>
      <c r="DF141" s="314" t="str">
        <f t="shared" si="117"/>
        <v>OK</v>
      </c>
      <c r="DG141" s="482" t="str">
        <f t="shared" si="141"/>
        <v>OK</v>
      </c>
      <c r="DH141" s="482" t="str">
        <f>IF(OR(AND(T141='Adjustment factors'!$R$28,'Class 3, 5-9'!U141='Adjustment factors'!$R$29),AND('Class 3, 5-9'!T141='Adjustment factors'!$R$29,'Class 3, 5-9'!U141='Adjustment factors'!$R$28)),"Invalid combination of adjustment factors",IF(AND(T141=U141,NOT(ISBLANK(T141)),NOT(ISBLANK(U141))),"Same colour factor selected twice","OK"))</f>
        <v>OK</v>
      </c>
      <c r="DI141" s="313" t="str">
        <f t="shared" si="118"/>
        <v>OK</v>
      </c>
      <c r="DJ141" s="153" t="str">
        <f t="shared" si="164"/>
        <v>OK</v>
      </c>
      <c r="DK141" s="153" t="str">
        <f t="shared" si="119"/>
        <v>OK</v>
      </c>
      <c r="DL141" s="313" t="str">
        <f t="shared" si="120"/>
        <v>OK</v>
      </c>
      <c r="DM141" s="153" t="str">
        <f t="shared" si="121"/>
        <v>OK</v>
      </c>
      <c r="DN141" s="153" t="str">
        <f t="shared" si="165"/>
        <v>OK</v>
      </c>
      <c r="DO141" s="154" t="str">
        <f t="shared" si="166"/>
        <v>OK</v>
      </c>
      <c r="DP141" s="153" t="str">
        <f t="shared" si="122"/>
        <v>OK</v>
      </c>
      <c r="DQ141" s="313" t="str">
        <f t="shared" si="123"/>
        <v>OK</v>
      </c>
      <c r="DR141" s="153" t="str">
        <f t="shared" si="167"/>
        <v>OK</v>
      </c>
      <c r="DS141" s="153" t="str">
        <f t="shared" si="124"/>
        <v>OK</v>
      </c>
      <c r="DT141" s="313" t="str">
        <f t="shared" si="182"/>
        <v>OK</v>
      </c>
      <c r="DU141" s="153" t="str">
        <f t="shared" si="125"/>
        <v>OK</v>
      </c>
      <c r="DV141" s="153" t="str">
        <f t="shared" si="168"/>
        <v>OK</v>
      </c>
      <c r="DW141" s="154" t="str">
        <f t="shared" si="169"/>
        <v>OK</v>
      </c>
      <c r="DX141" s="157">
        <f t="shared" si="170"/>
        <v>0</v>
      </c>
      <c r="DY141" s="156" t="str">
        <f t="shared" si="171"/>
        <v>OK</v>
      </c>
    </row>
    <row r="142" spans="1:129" ht="13" hidden="1" x14ac:dyDescent="0.3">
      <c r="A142" s="333"/>
      <c r="B142" s="333"/>
      <c r="C142" s="331" t="str">
        <f t="shared" si="181"/>
        <v>-</v>
      </c>
      <c r="D142" s="584">
        <f t="shared" si="176"/>
        <v>119</v>
      </c>
      <c r="E142" s="585"/>
      <c r="F142" s="586"/>
      <c r="G142" s="600"/>
      <c r="H142" s="587"/>
      <c r="I142" s="601"/>
      <c r="J142" s="585"/>
      <c r="K142" s="617"/>
      <c r="L142" s="602"/>
      <c r="M142" s="603"/>
      <c r="N142" s="588"/>
      <c r="O142" s="604"/>
      <c r="P142" s="605"/>
      <c r="Q142" s="588"/>
      <c r="R142" s="604"/>
      <c r="S142" s="605"/>
      <c r="T142" s="606"/>
      <c r="U142" s="606"/>
      <c r="V142" s="429" t="str">
        <f t="shared" si="178"/>
        <v/>
      </c>
      <c r="W142" s="430" t="str">
        <f t="shared" si="175"/>
        <v/>
      </c>
      <c r="X142" s="66" t="str">
        <f>IF(AND(ISNUMBER(P142),N142=FixedDim),MAX('Adjustment factors'!$S$16,0.2+0.8*P142),IF(ISTEXT(N142),VLOOKUP(N142,Afactors,2,TRUE),""))</f>
        <v/>
      </c>
      <c r="Y142" s="17" t="str">
        <f>IF(AND(ISNUMBER(S142),Q142=FixedDim),MAX('Adjustment factors'!$S$16,0.2+0.8*S142),IF(ISTEXT(Q142),VLOOKUP(Q142,Afactors,2,TRUE),""))</f>
        <v/>
      </c>
      <c r="Z142" s="297" t="str">
        <f>IF(ISBLANK(T142),"",VLOOKUP(T142,'Adjustment factors'!$R$27:$S$30,2,TRUE))</f>
        <v/>
      </c>
      <c r="AA142" s="297" t="str">
        <f>IF(ISBLANK(U142),"",VLOOKUP(U142,'Adjustment factors'!$R$27:$S$30,2,TRUE))</f>
        <v/>
      </c>
      <c r="AB142" s="480">
        <f t="shared" si="127"/>
        <v>1</v>
      </c>
      <c r="AC142" s="18" t="b">
        <f t="shared" si="81"/>
        <v>0</v>
      </c>
      <c r="AD142" s="18" t="b">
        <f t="shared" si="82"/>
        <v>0</v>
      </c>
      <c r="AE142" s="18" t="b">
        <f t="shared" si="172"/>
        <v>0</v>
      </c>
      <c r="AF142" s="17" t="str">
        <f t="shared" si="83"/>
        <v/>
      </c>
      <c r="AG142" s="18" t="str">
        <f t="shared" si="84"/>
        <v/>
      </c>
      <c r="AH142" s="17" t="str">
        <f t="shared" si="173"/>
        <v/>
      </c>
      <c r="AI142" s="297" t="e">
        <f t="shared" si="129"/>
        <v>#VALUE!</v>
      </c>
      <c r="AJ142" s="79" t="e">
        <f t="shared" si="86"/>
        <v>#VALUE!</v>
      </c>
      <c r="AK142" s="17" t="str">
        <f t="shared" si="174"/>
        <v/>
      </c>
      <c r="AL142" s="80" t="e">
        <f t="shared" si="87"/>
        <v>#VALUE!</v>
      </c>
      <c r="AM142" s="139" t="b">
        <f t="shared" si="88"/>
        <v>1</v>
      </c>
      <c r="AN142" s="139" t="b">
        <f>AND(COUNTA(E142)&gt;0,ISNUMBER(F142),OR(COUNT(G142:H142)=0,COUNT(G142:H142)=2,AND(ISNUMBER(G142),ISNUMBER(VALUE(LEFT(H142,SUM(LEN(H142)-LEN(SUBSTITUTE(H142,{"0","1","2","3","4","5","6","7","8","9","."},"")))))))),ISNUMBER(I142),ISTEXT(J142))</f>
        <v>0</v>
      </c>
      <c r="AO142" s="19" t="b">
        <f t="shared" si="89"/>
        <v>0</v>
      </c>
      <c r="AP142" s="19" t="b">
        <f t="shared" si="90"/>
        <v>1</v>
      </c>
      <c r="AQ142" s="19" t="b">
        <f>IF(AND(COUNTBLANK(E142:J142)=6,OR(AN143:AN$523)),NOT(AN142))</f>
        <v>0</v>
      </c>
      <c r="AR142" s="19" t="str">
        <f t="shared" si="91"/>
        <v/>
      </c>
      <c r="AS142" s="19" t="b">
        <f t="shared" si="92"/>
        <v>1</v>
      </c>
      <c r="AT142" s="19" t="str">
        <f t="shared" si="93"/>
        <v/>
      </c>
      <c r="AU142" s="19" t="b">
        <f t="shared" si="94"/>
        <v>1</v>
      </c>
      <c r="AV142" s="140" t="str">
        <f t="shared" si="156"/>
        <v/>
      </c>
      <c r="AW142" s="19" t="str">
        <f t="shared" si="95"/>
        <v/>
      </c>
      <c r="AX142" s="81">
        <f t="shared" si="96"/>
        <v>0</v>
      </c>
      <c r="AY142" s="81" t="str">
        <f t="shared" si="97"/>
        <v/>
      </c>
      <c r="AZ142" s="307" t="str">
        <f t="shared" si="131"/>
        <v/>
      </c>
      <c r="BA142" s="281" t="str">
        <f t="shared" si="157"/>
        <v/>
      </c>
      <c r="BB142" s="281" t="str">
        <f t="shared" si="158"/>
        <v/>
      </c>
      <c r="BC142" s="953"/>
      <c r="BD142" s="955"/>
      <c r="BE142" s="219" t="str">
        <f t="shared" si="98"/>
        <v>n/a</v>
      </c>
      <c r="BF142" s="215" t="b">
        <f t="shared" si="99"/>
        <v>0</v>
      </c>
      <c r="BG142" s="145" t="b">
        <f t="shared" si="100"/>
        <v>0</v>
      </c>
      <c r="BH142" s="145" t="b">
        <f t="shared" si="101"/>
        <v>0</v>
      </c>
      <c r="BI142" s="216" t="b">
        <f t="shared" si="102"/>
        <v>0</v>
      </c>
      <c r="BJ142" s="215" t="b">
        <f t="shared" si="103"/>
        <v>0</v>
      </c>
      <c r="BK142" s="145" t="b">
        <f t="shared" si="104"/>
        <v>0</v>
      </c>
      <c r="BL142" s="216" t="b">
        <f t="shared" si="105"/>
        <v>0</v>
      </c>
      <c r="BM142" s="217" t="str">
        <f t="shared" si="159"/>
        <v/>
      </c>
      <c r="BN142" s="146" t="str">
        <f t="shared" si="160"/>
        <v/>
      </c>
      <c r="BO142" s="147" t="str">
        <f t="shared" si="161"/>
        <v/>
      </c>
      <c r="BP142" s="148" t="str">
        <f t="shared" si="162"/>
        <v/>
      </c>
      <c r="BT142" s="50">
        <f t="shared" si="177"/>
        <v>119</v>
      </c>
      <c r="BU142" s="50" t="str">
        <f t="shared" si="180"/>
        <v>-</v>
      </c>
      <c r="BW142" s="333"/>
      <c r="BX142" s="333"/>
      <c r="BY142" s="333"/>
      <c r="BZ142" s="333"/>
      <c r="CA142" s="333"/>
      <c r="CB142" s="333"/>
      <c r="CC142" s="333"/>
      <c r="CD142" s="333"/>
      <c r="CE142" s="333"/>
      <c r="CF142" s="333"/>
      <c r="CG142" s="354">
        <f t="shared" si="107"/>
        <v>119</v>
      </c>
      <c r="CH142" s="613">
        <f t="shared" si="108"/>
        <v>0</v>
      </c>
      <c r="CI142" s="613">
        <f t="shared" si="109"/>
        <v>0</v>
      </c>
      <c r="CJ142" s="614" t="str">
        <f t="shared" si="110"/>
        <v/>
      </c>
      <c r="CK142" s="615" t="str">
        <f t="shared" si="111"/>
        <v/>
      </c>
      <c r="CL142" s="610" t="str">
        <f>IF(ISBLANK(H142),"",IF(AND(ISNUMBER(F142),ISNUMBER(G142),ISNUMBER(H142)),ROUND(F142/(H142*G142),2),ROUND(F142/(VALUE(LEFT(H142,SUM(LEN(H142)-LEN(SUBSTITUTE(H142,{"0","1","2","3","4","5","6","7","8","9","."},"")))))*G142),2)))</f>
        <v/>
      </c>
      <c r="CM142" s="616" t="str">
        <f t="shared" si="163"/>
        <v/>
      </c>
      <c r="CN142" s="616" t="str">
        <f>IF(ISNUMBER(P142),MAX('Adjustment factors'!$S$16,(0.2+0.8*P142)),IF(ISTEXT(N142),VLOOKUP(N142,Afactors,2,FALSE),""))</f>
        <v/>
      </c>
      <c r="CO142" s="616" t="str">
        <f>IF(ISNUMBER(S142),MAX('Adjustment factors'!$S$16,0.2+0.8*S142),IF(ISTEXT(Q142),VLOOKUP(Q142,Afactors,2,FALSE),""))</f>
        <v/>
      </c>
      <c r="CP142" s="611" t="str">
        <f t="shared" si="139"/>
        <v/>
      </c>
      <c r="CQ142" s="612" t="str">
        <f t="shared" si="140"/>
        <v/>
      </c>
      <c r="CR142" s="340"/>
      <c r="CS142" s="340"/>
      <c r="CT142" s="340"/>
      <c r="CU142" s="340"/>
      <c r="CV142" s="333"/>
      <c r="CW142" s="333"/>
      <c r="CX142" s="333"/>
      <c r="CY142" s="333"/>
      <c r="DA142" s="313" t="str">
        <f t="shared" si="112"/>
        <v>OK</v>
      </c>
      <c r="DB142" s="313" t="str">
        <f t="shared" si="113"/>
        <v>OK</v>
      </c>
      <c r="DC142" s="313" t="str">
        <f t="shared" si="114"/>
        <v>OK</v>
      </c>
      <c r="DD142" s="313" t="str">
        <f t="shared" si="115"/>
        <v>OK</v>
      </c>
      <c r="DE142" s="153" t="str">
        <f t="shared" si="116"/>
        <v>OK</v>
      </c>
      <c r="DF142" s="314" t="str">
        <f t="shared" si="117"/>
        <v>OK</v>
      </c>
      <c r="DG142" s="482" t="str">
        <f t="shared" si="141"/>
        <v>OK</v>
      </c>
      <c r="DH142" s="482" t="str">
        <f>IF(OR(AND(T142='Adjustment factors'!$R$28,'Class 3, 5-9'!U142='Adjustment factors'!$R$29),AND('Class 3, 5-9'!T142='Adjustment factors'!$R$29,'Class 3, 5-9'!U142='Adjustment factors'!$R$28)),"Invalid combination of adjustment factors",IF(AND(T142=U142,NOT(ISBLANK(T142)),NOT(ISBLANK(U142))),"Same colour factor selected twice","OK"))</f>
        <v>OK</v>
      </c>
      <c r="DI142" s="313" t="str">
        <f t="shared" si="118"/>
        <v>OK</v>
      </c>
      <c r="DJ142" s="153" t="str">
        <f t="shared" si="164"/>
        <v>OK</v>
      </c>
      <c r="DK142" s="153" t="str">
        <f t="shared" si="119"/>
        <v>OK</v>
      </c>
      <c r="DL142" s="313" t="str">
        <f t="shared" si="120"/>
        <v>OK</v>
      </c>
      <c r="DM142" s="153" t="str">
        <f t="shared" si="121"/>
        <v>OK</v>
      </c>
      <c r="DN142" s="153" t="str">
        <f t="shared" si="165"/>
        <v>OK</v>
      </c>
      <c r="DO142" s="154" t="str">
        <f t="shared" si="166"/>
        <v>OK</v>
      </c>
      <c r="DP142" s="153" t="str">
        <f t="shared" si="122"/>
        <v>OK</v>
      </c>
      <c r="DQ142" s="313" t="str">
        <f t="shared" si="123"/>
        <v>OK</v>
      </c>
      <c r="DR142" s="153" t="str">
        <f t="shared" si="167"/>
        <v>OK</v>
      </c>
      <c r="DS142" s="153" t="str">
        <f t="shared" si="124"/>
        <v>OK</v>
      </c>
      <c r="DT142" s="313" t="str">
        <f t="shared" si="182"/>
        <v>OK</v>
      </c>
      <c r="DU142" s="153" t="str">
        <f t="shared" si="125"/>
        <v>OK</v>
      </c>
      <c r="DV142" s="153" t="str">
        <f t="shared" si="168"/>
        <v>OK</v>
      </c>
      <c r="DW142" s="154" t="str">
        <f t="shared" si="169"/>
        <v>OK</v>
      </c>
      <c r="DX142" s="157">
        <f t="shared" si="170"/>
        <v>0</v>
      </c>
      <c r="DY142" s="156" t="str">
        <f t="shared" si="171"/>
        <v>OK</v>
      </c>
    </row>
    <row r="143" spans="1:129" ht="13" hidden="1" x14ac:dyDescent="0.3">
      <c r="A143" s="333"/>
      <c r="B143" s="333"/>
      <c r="C143" s="331" t="str">
        <f t="shared" si="181"/>
        <v>-</v>
      </c>
      <c r="D143" s="584">
        <f t="shared" si="176"/>
        <v>120</v>
      </c>
      <c r="E143" s="585"/>
      <c r="F143" s="586"/>
      <c r="G143" s="600"/>
      <c r="H143" s="587"/>
      <c r="I143" s="601"/>
      <c r="J143" s="585"/>
      <c r="K143" s="617"/>
      <c r="L143" s="602"/>
      <c r="M143" s="603"/>
      <c r="N143" s="588"/>
      <c r="O143" s="604"/>
      <c r="P143" s="605"/>
      <c r="Q143" s="588"/>
      <c r="R143" s="604"/>
      <c r="S143" s="605"/>
      <c r="T143" s="606"/>
      <c r="U143" s="606"/>
      <c r="V143" s="429" t="str">
        <f t="shared" si="178"/>
        <v/>
      </c>
      <c r="W143" s="430" t="str">
        <f t="shared" si="175"/>
        <v/>
      </c>
      <c r="X143" s="66" t="str">
        <f>IF(AND(ISNUMBER(P143),N143=FixedDim),MAX('Adjustment factors'!$S$16,0.2+0.8*P143),IF(ISTEXT(N143),VLOOKUP(N143,Afactors,2,TRUE),""))</f>
        <v/>
      </c>
      <c r="Y143" s="17" t="str">
        <f>IF(AND(ISNUMBER(S143),Q143=FixedDim),MAX('Adjustment factors'!$S$16,0.2+0.8*S143),IF(ISTEXT(Q143),VLOOKUP(Q143,Afactors,2,TRUE),""))</f>
        <v/>
      </c>
      <c r="Z143" s="297" t="str">
        <f>IF(ISBLANK(T143),"",VLOOKUP(T143,'Adjustment factors'!$R$27:$S$30,2,TRUE))</f>
        <v/>
      </c>
      <c r="AA143" s="297" t="str">
        <f>IF(ISBLANK(U143),"",VLOOKUP(U143,'Adjustment factors'!$R$27:$S$30,2,TRUE))</f>
        <v/>
      </c>
      <c r="AB143" s="480">
        <f t="shared" si="127"/>
        <v>1</v>
      </c>
      <c r="AC143" s="18" t="b">
        <f t="shared" si="81"/>
        <v>0</v>
      </c>
      <c r="AD143" s="18" t="b">
        <f t="shared" si="82"/>
        <v>0</v>
      </c>
      <c r="AE143" s="18" t="b">
        <f t="shared" si="172"/>
        <v>0</v>
      </c>
      <c r="AF143" s="17" t="str">
        <f t="shared" si="83"/>
        <v/>
      </c>
      <c r="AG143" s="18" t="str">
        <f t="shared" si="84"/>
        <v/>
      </c>
      <c r="AH143" s="17" t="str">
        <f t="shared" si="173"/>
        <v/>
      </c>
      <c r="AI143" s="297" t="e">
        <f t="shared" si="129"/>
        <v>#VALUE!</v>
      </c>
      <c r="AJ143" s="79" t="e">
        <f t="shared" si="86"/>
        <v>#VALUE!</v>
      </c>
      <c r="AK143" s="17" t="str">
        <f t="shared" si="174"/>
        <v/>
      </c>
      <c r="AL143" s="80" t="e">
        <f t="shared" si="87"/>
        <v>#VALUE!</v>
      </c>
      <c r="AM143" s="139" t="b">
        <f t="shared" si="88"/>
        <v>1</v>
      </c>
      <c r="AN143" s="139" t="b">
        <f>AND(COUNTA(E143)&gt;0,ISNUMBER(F143),OR(COUNT(G143:H143)=0,COUNT(G143:H143)=2,AND(ISNUMBER(G143),ISNUMBER(VALUE(LEFT(H143,SUM(LEN(H143)-LEN(SUBSTITUTE(H143,{"0","1","2","3","4","5","6","7","8","9","."},"")))))))),ISNUMBER(I143),ISTEXT(J143))</f>
        <v>0</v>
      </c>
      <c r="AO143" s="19" t="b">
        <f t="shared" si="89"/>
        <v>0</v>
      </c>
      <c r="AP143" s="19" t="b">
        <f t="shared" si="90"/>
        <v>1</v>
      </c>
      <c r="AQ143" s="19" t="b">
        <f>IF(AND(COUNTBLANK(E143:J143)=6,OR(AN144:AN$523)),NOT(AN143))</f>
        <v>0</v>
      </c>
      <c r="AR143" s="19" t="str">
        <f t="shared" si="91"/>
        <v/>
      </c>
      <c r="AS143" s="19" t="b">
        <f t="shared" si="92"/>
        <v>1</v>
      </c>
      <c r="AT143" s="19" t="str">
        <f t="shared" si="93"/>
        <v/>
      </c>
      <c r="AU143" s="19" t="b">
        <f t="shared" si="94"/>
        <v>1</v>
      </c>
      <c r="AV143" s="140" t="str">
        <f t="shared" si="156"/>
        <v/>
      </c>
      <c r="AW143" s="19" t="str">
        <f t="shared" si="95"/>
        <v/>
      </c>
      <c r="AX143" s="81">
        <f t="shared" si="96"/>
        <v>0</v>
      </c>
      <c r="AY143" s="81" t="str">
        <f t="shared" si="97"/>
        <v/>
      </c>
      <c r="AZ143" s="307" t="str">
        <f t="shared" si="131"/>
        <v/>
      </c>
      <c r="BA143" s="281" t="str">
        <f t="shared" si="157"/>
        <v/>
      </c>
      <c r="BB143" s="281" t="str">
        <f t="shared" si="158"/>
        <v/>
      </c>
      <c r="BC143" s="953"/>
      <c r="BD143" s="955"/>
      <c r="BE143" s="219" t="str">
        <f t="shared" si="98"/>
        <v>n/a</v>
      </c>
      <c r="BF143" s="215" t="b">
        <f t="shared" si="99"/>
        <v>0</v>
      </c>
      <c r="BG143" s="145" t="b">
        <f t="shared" si="100"/>
        <v>0</v>
      </c>
      <c r="BH143" s="145" t="b">
        <f t="shared" si="101"/>
        <v>0</v>
      </c>
      <c r="BI143" s="216" t="b">
        <f t="shared" si="102"/>
        <v>0</v>
      </c>
      <c r="BJ143" s="215" t="b">
        <f t="shared" si="103"/>
        <v>0</v>
      </c>
      <c r="BK143" s="145" t="b">
        <f t="shared" si="104"/>
        <v>0</v>
      </c>
      <c r="BL143" s="216" t="b">
        <f t="shared" si="105"/>
        <v>0</v>
      </c>
      <c r="BM143" s="217" t="str">
        <f t="shared" si="159"/>
        <v/>
      </c>
      <c r="BN143" s="146" t="str">
        <f t="shared" si="160"/>
        <v/>
      </c>
      <c r="BO143" s="147" t="str">
        <f t="shared" si="161"/>
        <v/>
      </c>
      <c r="BP143" s="148" t="str">
        <f t="shared" si="162"/>
        <v/>
      </c>
      <c r="BT143" s="50">
        <f t="shared" si="177"/>
        <v>120</v>
      </c>
      <c r="BU143" s="50" t="str">
        <f t="shared" si="180"/>
        <v>-</v>
      </c>
      <c r="BW143" s="333"/>
      <c r="BX143" s="333"/>
      <c r="BY143" s="333"/>
      <c r="BZ143" s="333"/>
      <c r="CA143" s="333"/>
      <c r="CB143" s="333"/>
      <c r="CC143" s="333"/>
      <c r="CD143" s="333"/>
      <c r="CE143" s="333"/>
      <c r="CF143" s="333"/>
      <c r="CG143" s="354">
        <f t="shared" si="107"/>
        <v>120</v>
      </c>
      <c r="CH143" s="613">
        <f t="shared" si="108"/>
        <v>0</v>
      </c>
      <c r="CI143" s="613">
        <f t="shared" si="109"/>
        <v>0</v>
      </c>
      <c r="CJ143" s="614" t="str">
        <f t="shared" si="110"/>
        <v/>
      </c>
      <c r="CK143" s="615" t="str">
        <f t="shared" si="111"/>
        <v/>
      </c>
      <c r="CL143" s="610" t="str">
        <f>IF(ISBLANK(H143),"",IF(AND(ISNUMBER(F143),ISNUMBER(G143),ISNUMBER(H143)),ROUND(F143/(H143*G143),2),ROUND(F143/(VALUE(LEFT(H143,SUM(LEN(H143)-LEN(SUBSTITUTE(H143,{"0","1","2","3","4","5","6","7","8","9","."},"")))))*G143),2)))</f>
        <v/>
      </c>
      <c r="CM143" s="616" t="str">
        <f t="shared" si="163"/>
        <v/>
      </c>
      <c r="CN143" s="616" t="str">
        <f>IF(ISNUMBER(P143),MAX('Adjustment factors'!$S$16,(0.2+0.8*P143)),IF(ISTEXT(N143),VLOOKUP(N143,Afactors,2,FALSE),""))</f>
        <v/>
      </c>
      <c r="CO143" s="616" t="str">
        <f>IF(ISNUMBER(S143),MAX('Adjustment factors'!$S$16,0.2+0.8*S143),IF(ISTEXT(Q143),VLOOKUP(Q143,Afactors,2,FALSE),""))</f>
        <v/>
      </c>
      <c r="CP143" s="611" t="str">
        <f t="shared" si="139"/>
        <v/>
      </c>
      <c r="CQ143" s="612" t="str">
        <f t="shared" si="140"/>
        <v/>
      </c>
      <c r="CR143" s="340"/>
      <c r="CS143" s="340"/>
      <c r="CT143" s="340"/>
      <c r="CU143" s="340"/>
      <c r="CV143" s="333"/>
      <c r="CW143" s="333"/>
      <c r="CX143" s="333"/>
      <c r="CY143" s="333"/>
      <c r="DA143" s="313" t="str">
        <f t="shared" si="112"/>
        <v>OK</v>
      </c>
      <c r="DB143" s="313" t="str">
        <f t="shared" si="113"/>
        <v>OK</v>
      </c>
      <c r="DC143" s="313" t="str">
        <f t="shared" si="114"/>
        <v>OK</v>
      </c>
      <c r="DD143" s="313" t="str">
        <f t="shared" si="115"/>
        <v>OK</v>
      </c>
      <c r="DE143" s="153" t="str">
        <f t="shared" si="116"/>
        <v>OK</v>
      </c>
      <c r="DF143" s="314" t="str">
        <f t="shared" si="117"/>
        <v>OK</v>
      </c>
      <c r="DG143" s="482" t="str">
        <f t="shared" si="141"/>
        <v>OK</v>
      </c>
      <c r="DH143" s="482" t="str">
        <f>IF(OR(AND(T143='Adjustment factors'!$R$28,'Class 3, 5-9'!U143='Adjustment factors'!$R$29),AND('Class 3, 5-9'!T143='Adjustment factors'!$R$29,'Class 3, 5-9'!U143='Adjustment factors'!$R$28)),"Invalid combination of adjustment factors",IF(AND(T143=U143,NOT(ISBLANK(T143)),NOT(ISBLANK(U143))),"Same colour factor selected twice","OK"))</f>
        <v>OK</v>
      </c>
      <c r="DI143" s="313" t="str">
        <f t="shared" si="118"/>
        <v>OK</v>
      </c>
      <c r="DJ143" s="153" t="str">
        <f t="shared" si="164"/>
        <v>OK</v>
      </c>
      <c r="DK143" s="153" t="str">
        <f t="shared" si="119"/>
        <v>OK</v>
      </c>
      <c r="DL143" s="313" t="str">
        <f t="shared" si="120"/>
        <v>OK</v>
      </c>
      <c r="DM143" s="153" t="str">
        <f t="shared" si="121"/>
        <v>OK</v>
      </c>
      <c r="DN143" s="153" t="str">
        <f t="shared" si="165"/>
        <v>OK</v>
      </c>
      <c r="DO143" s="154" t="str">
        <f t="shared" si="166"/>
        <v>OK</v>
      </c>
      <c r="DP143" s="153" t="str">
        <f t="shared" si="122"/>
        <v>OK</v>
      </c>
      <c r="DQ143" s="313" t="str">
        <f t="shared" si="123"/>
        <v>OK</v>
      </c>
      <c r="DR143" s="153" t="str">
        <f t="shared" si="167"/>
        <v>OK</v>
      </c>
      <c r="DS143" s="153" t="str">
        <f t="shared" si="124"/>
        <v>OK</v>
      </c>
      <c r="DT143" s="313" t="str">
        <f t="shared" si="182"/>
        <v>OK</v>
      </c>
      <c r="DU143" s="153" t="str">
        <f t="shared" si="125"/>
        <v>OK</v>
      </c>
      <c r="DV143" s="153" t="str">
        <f t="shared" si="168"/>
        <v>OK</v>
      </c>
      <c r="DW143" s="154" t="str">
        <f t="shared" si="169"/>
        <v>OK</v>
      </c>
      <c r="DX143" s="157">
        <f t="shared" si="170"/>
        <v>0</v>
      </c>
      <c r="DY143" s="156" t="str">
        <f t="shared" si="171"/>
        <v>OK</v>
      </c>
    </row>
    <row r="144" spans="1:129" ht="13" hidden="1" x14ac:dyDescent="0.3">
      <c r="A144" s="333"/>
      <c r="B144" s="333"/>
      <c r="C144" s="331" t="str">
        <f t="shared" si="181"/>
        <v>-</v>
      </c>
      <c r="D144" s="584">
        <f t="shared" si="176"/>
        <v>121</v>
      </c>
      <c r="E144" s="585"/>
      <c r="F144" s="586"/>
      <c r="G144" s="600"/>
      <c r="H144" s="587"/>
      <c r="I144" s="601"/>
      <c r="J144" s="585"/>
      <c r="K144" s="617"/>
      <c r="L144" s="602"/>
      <c r="M144" s="603"/>
      <c r="N144" s="588"/>
      <c r="O144" s="604"/>
      <c r="P144" s="605"/>
      <c r="Q144" s="588"/>
      <c r="R144" s="604"/>
      <c r="S144" s="605"/>
      <c r="T144" s="606"/>
      <c r="U144" s="606"/>
      <c r="V144" s="429" t="str">
        <f t="shared" si="178"/>
        <v/>
      </c>
      <c r="W144" s="430" t="str">
        <f t="shared" si="175"/>
        <v/>
      </c>
      <c r="X144" s="66" t="str">
        <f>IF(AND(ISNUMBER(P144),N144=FixedDim),MAX('Adjustment factors'!$S$16,0.2+0.8*P144),IF(ISTEXT(N144),VLOOKUP(N144,Afactors,2,TRUE),""))</f>
        <v/>
      </c>
      <c r="Y144" s="17" t="str">
        <f>IF(AND(ISNUMBER(S144),Q144=FixedDim),MAX('Adjustment factors'!$S$16,0.2+0.8*S144),IF(ISTEXT(Q144),VLOOKUP(Q144,Afactors,2,TRUE),""))</f>
        <v/>
      </c>
      <c r="Z144" s="297" t="str">
        <f>IF(ISBLANK(T144),"",VLOOKUP(T144,'Adjustment factors'!$R$27:$S$30,2,TRUE))</f>
        <v/>
      </c>
      <c r="AA144" s="297" t="str">
        <f>IF(ISBLANK(U144),"",VLOOKUP(U144,'Adjustment factors'!$R$27:$S$30,2,TRUE))</f>
        <v/>
      </c>
      <c r="AB144" s="480">
        <f t="shared" si="127"/>
        <v>1</v>
      </c>
      <c r="AC144" s="18" t="b">
        <f t="shared" si="81"/>
        <v>0</v>
      </c>
      <c r="AD144" s="18" t="b">
        <f t="shared" si="82"/>
        <v>0</v>
      </c>
      <c r="AE144" s="18" t="b">
        <f t="shared" si="172"/>
        <v>0</v>
      </c>
      <c r="AF144" s="17" t="str">
        <f t="shared" si="83"/>
        <v/>
      </c>
      <c r="AG144" s="18" t="str">
        <f t="shared" si="84"/>
        <v/>
      </c>
      <c r="AH144" s="17" t="str">
        <f t="shared" si="173"/>
        <v/>
      </c>
      <c r="AI144" s="297" t="e">
        <f t="shared" si="129"/>
        <v>#VALUE!</v>
      </c>
      <c r="AJ144" s="79" t="e">
        <f t="shared" si="86"/>
        <v>#VALUE!</v>
      </c>
      <c r="AK144" s="17" t="str">
        <f t="shared" si="174"/>
        <v/>
      </c>
      <c r="AL144" s="80" t="e">
        <f t="shared" si="87"/>
        <v>#VALUE!</v>
      </c>
      <c r="AM144" s="139" t="b">
        <f t="shared" si="88"/>
        <v>1</v>
      </c>
      <c r="AN144" s="139" t="b">
        <f>AND(COUNTA(E144)&gt;0,ISNUMBER(F144),OR(COUNT(G144:H144)=0,COUNT(G144:H144)=2,AND(ISNUMBER(G144),ISNUMBER(VALUE(LEFT(H144,SUM(LEN(H144)-LEN(SUBSTITUTE(H144,{"0","1","2","3","4","5","6","7","8","9","."},"")))))))),ISNUMBER(I144),ISTEXT(J144))</f>
        <v>0</v>
      </c>
      <c r="AO144" s="19" t="b">
        <f t="shared" si="89"/>
        <v>0</v>
      </c>
      <c r="AP144" s="19" t="b">
        <f t="shared" si="90"/>
        <v>1</v>
      </c>
      <c r="AQ144" s="19" t="b">
        <f>IF(AND(COUNTBLANK(E144:J144)=6,OR(AN145:AN$523)),NOT(AN144))</f>
        <v>0</v>
      </c>
      <c r="AR144" s="19" t="str">
        <f t="shared" si="91"/>
        <v/>
      </c>
      <c r="AS144" s="19" t="b">
        <f t="shared" si="92"/>
        <v>1</v>
      </c>
      <c r="AT144" s="19" t="str">
        <f t="shared" si="93"/>
        <v/>
      </c>
      <c r="AU144" s="19" t="b">
        <f t="shared" si="94"/>
        <v>1</v>
      </c>
      <c r="AV144" s="140" t="str">
        <f t="shared" si="156"/>
        <v/>
      </c>
      <c r="AW144" s="19" t="str">
        <f t="shared" si="95"/>
        <v/>
      </c>
      <c r="AX144" s="81">
        <f t="shared" si="96"/>
        <v>0</v>
      </c>
      <c r="AY144" s="81" t="str">
        <f t="shared" si="97"/>
        <v/>
      </c>
      <c r="AZ144" s="307" t="str">
        <f t="shared" si="131"/>
        <v/>
      </c>
      <c r="BA144" s="281" t="str">
        <f t="shared" si="157"/>
        <v/>
      </c>
      <c r="BB144" s="281" t="str">
        <f t="shared" si="158"/>
        <v/>
      </c>
      <c r="BC144" s="953"/>
      <c r="BD144" s="955"/>
      <c r="BE144" s="219" t="str">
        <f t="shared" si="98"/>
        <v>n/a</v>
      </c>
      <c r="BF144" s="215" t="b">
        <f t="shared" si="99"/>
        <v>0</v>
      </c>
      <c r="BG144" s="145" t="b">
        <f t="shared" si="100"/>
        <v>0</v>
      </c>
      <c r="BH144" s="145" t="b">
        <f t="shared" si="101"/>
        <v>0</v>
      </c>
      <c r="BI144" s="216" t="b">
        <f t="shared" si="102"/>
        <v>0</v>
      </c>
      <c r="BJ144" s="215" t="b">
        <f t="shared" si="103"/>
        <v>0</v>
      </c>
      <c r="BK144" s="145" t="b">
        <f t="shared" si="104"/>
        <v>0</v>
      </c>
      <c r="BL144" s="216" t="b">
        <f t="shared" si="105"/>
        <v>0</v>
      </c>
      <c r="BM144" s="217" t="str">
        <f t="shared" si="159"/>
        <v/>
      </c>
      <c r="BN144" s="146" t="str">
        <f t="shared" si="160"/>
        <v/>
      </c>
      <c r="BO144" s="147" t="str">
        <f t="shared" si="161"/>
        <v/>
      </c>
      <c r="BP144" s="148" t="str">
        <f t="shared" si="162"/>
        <v/>
      </c>
      <c r="BT144" s="50">
        <f t="shared" si="177"/>
        <v>121</v>
      </c>
      <c r="BU144" s="50" t="str">
        <f t="shared" si="180"/>
        <v>-</v>
      </c>
      <c r="BW144" s="333"/>
      <c r="BX144" s="333"/>
      <c r="BY144" s="333"/>
      <c r="BZ144" s="333"/>
      <c r="CA144" s="333"/>
      <c r="CB144" s="333"/>
      <c r="CC144" s="333"/>
      <c r="CD144" s="333"/>
      <c r="CE144" s="333"/>
      <c r="CF144" s="333"/>
      <c r="CG144" s="354">
        <f t="shared" si="107"/>
        <v>121</v>
      </c>
      <c r="CH144" s="613">
        <f t="shared" si="108"/>
        <v>0</v>
      </c>
      <c r="CI144" s="613">
        <f t="shared" si="109"/>
        <v>0</v>
      </c>
      <c r="CJ144" s="614" t="str">
        <f t="shared" si="110"/>
        <v/>
      </c>
      <c r="CK144" s="615" t="str">
        <f t="shared" si="111"/>
        <v/>
      </c>
      <c r="CL144" s="610" t="str">
        <f>IF(ISBLANK(H144),"",IF(AND(ISNUMBER(F144),ISNUMBER(G144),ISNUMBER(H144)),ROUND(F144/(H144*G144),2),ROUND(F144/(VALUE(LEFT(H144,SUM(LEN(H144)-LEN(SUBSTITUTE(H144,{"0","1","2","3","4","5","6","7","8","9","."},"")))))*G144),2)))</f>
        <v/>
      </c>
      <c r="CM144" s="616" t="str">
        <f t="shared" si="163"/>
        <v/>
      </c>
      <c r="CN144" s="616" t="str">
        <f>IF(ISNUMBER(P144),MAX('Adjustment factors'!$S$16,(0.2+0.8*P144)),IF(ISTEXT(N144),VLOOKUP(N144,Afactors,2,FALSE),""))</f>
        <v/>
      </c>
      <c r="CO144" s="616" t="str">
        <f>IF(ISNUMBER(S144),MAX('Adjustment factors'!$S$16,0.2+0.8*S144),IF(ISTEXT(Q144),VLOOKUP(Q144,Afactors,2,FALSE),""))</f>
        <v/>
      </c>
      <c r="CP144" s="611" t="str">
        <f t="shared" si="139"/>
        <v/>
      </c>
      <c r="CQ144" s="612" t="str">
        <f t="shared" si="140"/>
        <v/>
      </c>
      <c r="CR144" s="340"/>
      <c r="CS144" s="340"/>
      <c r="CT144" s="340"/>
      <c r="CU144" s="340"/>
      <c r="CV144" s="340"/>
      <c r="CW144" s="333"/>
      <c r="CX144" s="333"/>
      <c r="CY144" s="333"/>
      <c r="DA144" s="313" t="str">
        <f t="shared" si="112"/>
        <v>OK</v>
      </c>
      <c r="DB144" s="313" t="str">
        <f t="shared" si="113"/>
        <v>OK</v>
      </c>
      <c r="DC144" s="313" t="str">
        <f t="shared" si="114"/>
        <v>OK</v>
      </c>
      <c r="DD144" s="313" t="str">
        <f t="shared" si="115"/>
        <v>OK</v>
      </c>
      <c r="DE144" s="153" t="str">
        <f t="shared" si="116"/>
        <v>OK</v>
      </c>
      <c r="DF144" s="314" t="str">
        <f t="shared" si="117"/>
        <v>OK</v>
      </c>
      <c r="DG144" s="482" t="str">
        <f t="shared" si="141"/>
        <v>OK</v>
      </c>
      <c r="DH144" s="482" t="str">
        <f>IF(OR(AND(T144='Adjustment factors'!$R$28,'Class 3, 5-9'!U144='Adjustment factors'!$R$29),AND('Class 3, 5-9'!T144='Adjustment factors'!$R$29,'Class 3, 5-9'!U144='Adjustment factors'!$R$28)),"Invalid combination of adjustment factors",IF(AND(T144=U144,NOT(ISBLANK(T144)),NOT(ISBLANK(U144))),"Same colour factor selected twice","OK"))</f>
        <v>OK</v>
      </c>
      <c r="DI144" s="313" t="str">
        <f t="shared" si="118"/>
        <v>OK</v>
      </c>
      <c r="DJ144" s="153" t="str">
        <f t="shared" si="164"/>
        <v>OK</v>
      </c>
      <c r="DK144" s="153" t="str">
        <f t="shared" si="119"/>
        <v>OK</v>
      </c>
      <c r="DL144" s="313" t="str">
        <f t="shared" si="120"/>
        <v>OK</v>
      </c>
      <c r="DM144" s="153" t="str">
        <f t="shared" si="121"/>
        <v>OK</v>
      </c>
      <c r="DN144" s="153" t="str">
        <f t="shared" si="165"/>
        <v>OK</v>
      </c>
      <c r="DO144" s="154" t="str">
        <f t="shared" si="166"/>
        <v>OK</v>
      </c>
      <c r="DP144" s="153" t="str">
        <f t="shared" si="122"/>
        <v>OK</v>
      </c>
      <c r="DQ144" s="313" t="str">
        <f t="shared" si="123"/>
        <v>OK</v>
      </c>
      <c r="DR144" s="153" t="str">
        <f t="shared" si="167"/>
        <v>OK</v>
      </c>
      <c r="DS144" s="153" t="str">
        <f t="shared" si="124"/>
        <v>OK</v>
      </c>
      <c r="DT144" s="313" t="str">
        <f t="shared" si="182"/>
        <v>OK</v>
      </c>
      <c r="DU144" s="153" t="str">
        <f t="shared" si="125"/>
        <v>OK</v>
      </c>
      <c r="DV144" s="153" t="str">
        <f t="shared" si="168"/>
        <v>OK</v>
      </c>
      <c r="DW144" s="154" t="str">
        <f t="shared" si="169"/>
        <v>OK</v>
      </c>
      <c r="DX144" s="157">
        <f t="shared" si="170"/>
        <v>0</v>
      </c>
      <c r="DY144" s="156" t="str">
        <f t="shared" si="171"/>
        <v>OK</v>
      </c>
    </row>
    <row r="145" spans="1:129" ht="13" hidden="1" x14ac:dyDescent="0.3">
      <c r="A145" s="333"/>
      <c r="B145" s="333"/>
      <c r="C145" s="331" t="str">
        <f t="shared" si="181"/>
        <v>-</v>
      </c>
      <c r="D145" s="584">
        <f t="shared" si="176"/>
        <v>122</v>
      </c>
      <c r="E145" s="585"/>
      <c r="F145" s="586"/>
      <c r="G145" s="600"/>
      <c r="H145" s="587"/>
      <c r="I145" s="601"/>
      <c r="J145" s="585"/>
      <c r="K145" s="617"/>
      <c r="L145" s="602"/>
      <c r="M145" s="603"/>
      <c r="N145" s="588"/>
      <c r="O145" s="604"/>
      <c r="P145" s="605"/>
      <c r="Q145" s="588"/>
      <c r="R145" s="604"/>
      <c r="S145" s="605"/>
      <c r="T145" s="606"/>
      <c r="U145" s="606"/>
      <c r="V145" s="429" t="str">
        <f t="shared" si="178"/>
        <v/>
      </c>
      <c r="W145" s="430" t="str">
        <f t="shared" si="175"/>
        <v/>
      </c>
      <c r="X145" s="66" t="str">
        <f>IF(AND(ISNUMBER(P145),N145=FixedDim),MAX('Adjustment factors'!$S$16,0.2+0.8*P145),IF(ISTEXT(N145),VLOOKUP(N145,Afactors,2,TRUE),""))</f>
        <v/>
      </c>
      <c r="Y145" s="17" t="str">
        <f>IF(AND(ISNUMBER(S145),Q145=FixedDim),MAX('Adjustment factors'!$S$16,0.2+0.8*S145),IF(ISTEXT(Q145),VLOOKUP(Q145,Afactors,2,TRUE),""))</f>
        <v/>
      </c>
      <c r="Z145" s="297" t="str">
        <f>IF(ISBLANK(T145),"",VLOOKUP(T145,'Adjustment factors'!$R$27:$S$30,2,TRUE))</f>
        <v/>
      </c>
      <c r="AA145" s="297" t="str">
        <f>IF(ISBLANK(U145),"",VLOOKUP(U145,'Adjustment factors'!$R$27:$S$30,2,TRUE))</f>
        <v/>
      </c>
      <c r="AB145" s="480">
        <f t="shared" si="127"/>
        <v>1</v>
      </c>
      <c r="AC145" s="18" t="b">
        <f t="shared" si="81"/>
        <v>0</v>
      </c>
      <c r="AD145" s="18" t="b">
        <f t="shared" si="82"/>
        <v>0</v>
      </c>
      <c r="AE145" s="18" t="b">
        <f t="shared" si="172"/>
        <v>0</v>
      </c>
      <c r="AF145" s="17" t="str">
        <f t="shared" si="83"/>
        <v/>
      </c>
      <c r="AG145" s="18" t="str">
        <f t="shared" si="84"/>
        <v/>
      </c>
      <c r="AH145" s="17" t="str">
        <f t="shared" si="173"/>
        <v/>
      </c>
      <c r="AI145" s="297" t="e">
        <f t="shared" si="129"/>
        <v>#VALUE!</v>
      </c>
      <c r="AJ145" s="79" t="e">
        <f t="shared" si="86"/>
        <v>#VALUE!</v>
      </c>
      <c r="AK145" s="17" t="str">
        <f t="shared" si="174"/>
        <v/>
      </c>
      <c r="AL145" s="80" t="e">
        <f t="shared" si="87"/>
        <v>#VALUE!</v>
      </c>
      <c r="AM145" s="139" t="b">
        <f t="shared" si="88"/>
        <v>1</v>
      </c>
      <c r="AN145" s="139" t="b">
        <f>AND(COUNTA(E145)&gt;0,ISNUMBER(F145),OR(COUNT(G145:H145)=0,COUNT(G145:H145)=2,AND(ISNUMBER(G145),ISNUMBER(VALUE(LEFT(H145,SUM(LEN(H145)-LEN(SUBSTITUTE(H145,{"0","1","2","3","4","5","6","7","8","9","."},"")))))))),ISNUMBER(I145),ISTEXT(J145))</f>
        <v>0</v>
      </c>
      <c r="AO145" s="19" t="b">
        <f t="shared" si="89"/>
        <v>0</v>
      </c>
      <c r="AP145" s="19" t="b">
        <f t="shared" si="90"/>
        <v>1</v>
      </c>
      <c r="AQ145" s="19" t="b">
        <f>IF(AND(COUNTBLANK(E145:J145)=6,OR(AN146:AN$523)),NOT(AN145))</f>
        <v>0</v>
      </c>
      <c r="AR145" s="19" t="str">
        <f t="shared" si="91"/>
        <v/>
      </c>
      <c r="AS145" s="19" t="b">
        <f t="shared" si="92"/>
        <v>1</v>
      </c>
      <c r="AT145" s="19" t="str">
        <f t="shared" si="93"/>
        <v/>
      </c>
      <c r="AU145" s="19" t="b">
        <f t="shared" si="94"/>
        <v>1</v>
      </c>
      <c r="AV145" s="140" t="str">
        <f t="shared" si="156"/>
        <v/>
      </c>
      <c r="AW145" s="19" t="str">
        <f t="shared" si="95"/>
        <v/>
      </c>
      <c r="AX145" s="81">
        <f t="shared" si="96"/>
        <v>0</v>
      </c>
      <c r="AY145" s="81" t="str">
        <f t="shared" si="97"/>
        <v/>
      </c>
      <c r="AZ145" s="307" t="str">
        <f t="shared" si="131"/>
        <v/>
      </c>
      <c r="BA145" s="281" t="str">
        <f t="shared" si="157"/>
        <v/>
      </c>
      <c r="BB145" s="281" t="str">
        <f t="shared" si="158"/>
        <v/>
      </c>
      <c r="BC145" s="953"/>
      <c r="BD145" s="955"/>
      <c r="BE145" s="219" t="str">
        <f t="shared" si="98"/>
        <v>n/a</v>
      </c>
      <c r="BF145" s="215" t="b">
        <f t="shared" si="99"/>
        <v>0</v>
      </c>
      <c r="BG145" s="145" t="b">
        <f t="shared" si="100"/>
        <v>0</v>
      </c>
      <c r="BH145" s="145" t="b">
        <f t="shared" si="101"/>
        <v>0</v>
      </c>
      <c r="BI145" s="216" t="b">
        <f t="shared" si="102"/>
        <v>0</v>
      </c>
      <c r="BJ145" s="215" t="b">
        <f t="shared" si="103"/>
        <v>0</v>
      </c>
      <c r="BK145" s="145" t="b">
        <f t="shared" si="104"/>
        <v>0</v>
      </c>
      <c r="BL145" s="216" t="b">
        <f t="shared" si="105"/>
        <v>0</v>
      </c>
      <c r="BM145" s="217" t="str">
        <f t="shared" si="159"/>
        <v/>
      </c>
      <c r="BN145" s="146" t="str">
        <f t="shared" si="160"/>
        <v/>
      </c>
      <c r="BO145" s="147" t="str">
        <f t="shared" si="161"/>
        <v/>
      </c>
      <c r="BP145" s="148" t="str">
        <f t="shared" si="162"/>
        <v/>
      </c>
      <c r="BT145" s="50">
        <f t="shared" si="177"/>
        <v>122</v>
      </c>
      <c r="BU145" s="50" t="str">
        <f t="shared" si="180"/>
        <v>-</v>
      </c>
      <c r="BW145" s="333"/>
      <c r="BX145" s="333"/>
      <c r="BY145" s="333"/>
      <c r="BZ145" s="333"/>
      <c r="CA145" s="333"/>
      <c r="CB145" s="333"/>
      <c r="CC145" s="333"/>
      <c r="CD145" s="333"/>
      <c r="CE145" s="333"/>
      <c r="CF145" s="333"/>
      <c r="CG145" s="354">
        <f t="shared" si="107"/>
        <v>122</v>
      </c>
      <c r="CH145" s="613">
        <f t="shared" si="108"/>
        <v>0</v>
      </c>
      <c r="CI145" s="613">
        <f t="shared" si="109"/>
        <v>0</v>
      </c>
      <c r="CJ145" s="614" t="str">
        <f t="shared" si="110"/>
        <v/>
      </c>
      <c r="CK145" s="615" t="str">
        <f t="shared" si="111"/>
        <v/>
      </c>
      <c r="CL145" s="610" t="str">
        <f>IF(ISBLANK(H145),"",IF(AND(ISNUMBER(F145),ISNUMBER(G145),ISNUMBER(H145)),ROUND(F145/(H145*G145),2),ROUND(F145/(VALUE(LEFT(H145,SUM(LEN(H145)-LEN(SUBSTITUTE(H145,{"0","1","2","3","4","5","6","7","8","9","."},"")))))*G145),2)))</f>
        <v/>
      </c>
      <c r="CM145" s="616" t="str">
        <f t="shared" si="163"/>
        <v/>
      </c>
      <c r="CN145" s="616" t="str">
        <f>IF(ISNUMBER(P145),MAX('Adjustment factors'!$S$16,(0.2+0.8*P145)),IF(ISTEXT(N145),VLOOKUP(N145,Afactors,2,FALSE),""))</f>
        <v/>
      </c>
      <c r="CO145" s="616" t="str">
        <f>IF(ISNUMBER(S145),MAX('Adjustment factors'!$S$16,0.2+0.8*S145),IF(ISTEXT(Q145),VLOOKUP(Q145,Afactors,2,FALSE),""))</f>
        <v/>
      </c>
      <c r="CP145" s="611" t="str">
        <f t="shared" si="139"/>
        <v/>
      </c>
      <c r="CQ145" s="612" t="str">
        <f t="shared" si="140"/>
        <v/>
      </c>
      <c r="CR145" s="340"/>
      <c r="CS145" s="340"/>
      <c r="CT145" s="340"/>
      <c r="CU145" s="340"/>
      <c r="CV145" s="333"/>
      <c r="CW145" s="333"/>
      <c r="CX145" s="333"/>
      <c r="CY145" s="333"/>
      <c r="DA145" s="313" t="str">
        <f t="shared" si="112"/>
        <v>OK</v>
      </c>
      <c r="DB145" s="313" t="str">
        <f t="shared" si="113"/>
        <v>OK</v>
      </c>
      <c r="DC145" s="313" t="str">
        <f t="shared" si="114"/>
        <v>OK</v>
      </c>
      <c r="DD145" s="313" t="str">
        <f t="shared" si="115"/>
        <v>OK</v>
      </c>
      <c r="DE145" s="153" t="str">
        <f t="shared" si="116"/>
        <v>OK</v>
      </c>
      <c r="DF145" s="314" t="str">
        <f t="shared" si="117"/>
        <v>OK</v>
      </c>
      <c r="DG145" s="482" t="str">
        <f t="shared" si="141"/>
        <v>OK</v>
      </c>
      <c r="DH145" s="482" t="str">
        <f>IF(OR(AND(T145='Adjustment factors'!$R$28,'Class 3, 5-9'!U145='Adjustment factors'!$R$29),AND('Class 3, 5-9'!T145='Adjustment factors'!$R$29,'Class 3, 5-9'!U145='Adjustment factors'!$R$28)),"Invalid combination of adjustment factors",IF(AND(T145=U145,NOT(ISBLANK(T145)),NOT(ISBLANK(U145))),"Same colour factor selected twice","OK"))</f>
        <v>OK</v>
      </c>
      <c r="DI145" s="313" t="str">
        <f t="shared" si="118"/>
        <v>OK</v>
      </c>
      <c r="DJ145" s="153" t="str">
        <f t="shared" si="164"/>
        <v>OK</v>
      </c>
      <c r="DK145" s="153" t="str">
        <f t="shared" si="119"/>
        <v>OK</v>
      </c>
      <c r="DL145" s="313" t="str">
        <f t="shared" si="120"/>
        <v>OK</v>
      </c>
      <c r="DM145" s="153" t="str">
        <f t="shared" si="121"/>
        <v>OK</v>
      </c>
      <c r="DN145" s="153" t="str">
        <f t="shared" si="165"/>
        <v>OK</v>
      </c>
      <c r="DO145" s="154" t="str">
        <f t="shared" si="166"/>
        <v>OK</v>
      </c>
      <c r="DP145" s="153" t="str">
        <f t="shared" si="122"/>
        <v>OK</v>
      </c>
      <c r="DQ145" s="313" t="str">
        <f t="shared" si="123"/>
        <v>OK</v>
      </c>
      <c r="DR145" s="153" t="str">
        <f t="shared" si="167"/>
        <v>OK</v>
      </c>
      <c r="DS145" s="153" t="str">
        <f t="shared" si="124"/>
        <v>OK</v>
      </c>
      <c r="DT145" s="313" t="str">
        <f t="shared" si="182"/>
        <v>OK</v>
      </c>
      <c r="DU145" s="153" t="str">
        <f t="shared" si="125"/>
        <v>OK</v>
      </c>
      <c r="DV145" s="153" t="str">
        <f t="shared" si="168"/>
        <v>OK</v>
      </c>
      <c r="DW145" s="154" t="str">
        <f t="shared" si="169"/>
        <v>OK</v>
      </c>
      <c r="DX145" s="157">
        <f t="shared" si="170"/>
        <v>0</v>
      </c>
      <c r="DY145" s="156" t="str">
        <f t="shared" si="171"/>
        <v>OK</v>
      </c>
    </row>
    <row r="146" spans="1:129" ht="13" hidden="1" x14ac:dyDescent="0.3">
      <c r="A146" s="333"/>
      <c r="B146" s="333"/>
      <c r="C146" s="331" t="str">
        <f t="shared" si="181"/>
        <v>-</v>
      </c>
      <c r="D146" s="584">
        <f t="shared" si="176"/>
        <v>123</v>
      </c>
      <c r="E146" s="585"/>
      <c r="F146" s="586"/>
      <c r="G146" s="600"/>
      <c r="H146" s="587"/>
      <c r="I146" s="601"/>
      <c r="J146" s="585"/>
      <c r="K146" s="617"/>
      <c r="L146" s="602"/>
      <c r="M146" s="603"/>
      <c r="N146" s="588"/>
      <c r="O146" s="604"/>
      <c r="P146" s="605"/>
      <c r="Q146" s="588"/>
      <c r="R146" s="604"/>
      <c r="S146" s="605"/>
      <c r="T146" s="606"/>
      <c r="U146" s="606"/>
      <c r="V146" s="429" t="str">
        <f t="shared" si="178"/>
        <v/>
      </c>
      <c r="W146" s="430" t="str">
        <f t="shared" si="175"/>
        <v/>
      </c>
      <c r="X146" s="66" t="str">
        <f>IF(AND(ISNUMBER(P146),N146=FixedDim),MAX('Adjustment factors'!$S$16,0.2+0.8*P146),IF(ISTEXT(N146),VLOOKUP(N146,Afactors,2,TRUE),""))</f>
        <v/>
      </c>
      <c r="Y146" s="17" t="str">
        <f>IF(AND(ISNUMBER(S146),Q146=FixedDim),MAX('Adjustment factors'!$S$16,0.2+0.8*S146),IF(ISTEXT(Q146),VLOOKUP(Q146,Afactors,2,TRUE),""))</f>
        <v/>
      </c>
      <c r="Z146" s="297" t="str">
        <f>IF(ISBLANK(T146),"",VLOOKUP(T146,'Adjustment factors'!$R$27:$S$30,2,TRUE))</f>
        <v/>
      </c>
      <c r="AA146" s="297" t="str">
        <f>IF(ISBLANK(U146),"",VLOOKUP(U146,'Adjustment factors'!$R$27:$S$30,2,TRUE))</f>
        <v/>
      </c>
      <c r="AB146" s="480">
        <f t="shared" si="127"/>
        <v>1</v>
      </c>
      <c r="AC146" s="18" t="b">
        <f t="shared" si="81"/>
        <v>0</v>
      </c>
      <c r="AD146" s="18" t="b">
        <f t="shared" si="82"/>
        <v>0</v>
      </c>
      <c r="AE146" s="18" t="b">
        <f t="shared" si="172"/>
        <v>0</v>
      </c>
      <c r="AF146" s="17" t="str">
        <f t="shared" si="83"/>
        <v/>
      </c>
      <c r="AG146" s="18" t="str">
        <f t="shared" si="84"/>
        <v/>
      </c>
      <c r="AH146" s="17" t="str">
        <f t="shared" si="173"/>
        <v/>
      </c>
      <c r="AI146" s="297" t="e">
        <f t="shared" si="129"/>
        <v>#VALUE!</v>
      </c>
      <c r="AJ146" s="79" t="e">
        <f t="shared" si="86"/>
        <v>#VALUE!</v>
      </c>
      <c r="AK146" s="17" t="str">
        <f t="shared" si="174"/>
        <v/>
      </c>
      <c r="AL146" s="80" t="e">
        <f t="shared" si="87"/>
        <v>#VALUE!</v>
      </c>
      <c r="AM146" s="139" t="b">
        <f t="shared" si="88"/>
        <v>1</v>
      </c>
      <c r="AN146" s="139" t="b">
        <f>AND(COUNTA(E146)&gt;0,ISNUMBER(F146),OR(COUNT(G146:H146)=0,COUNT(G146:H146)=2,AND(ISNUMBER(G146),ISNUMBER(VALUE(LEFT(H146,SUM(LEN(H146)-LEN(SUBSTITUTE(H146,{"0","1","2","3","4","5","6","7","8","9","."},"")))))))),ISNUMBER(I146),ISTEXT(J146))</f>
        <v>0</v>
      </c>
      <c r="AO146" s="19" t="b">
        <f t="shared" si="89"/>
        <v>0</v>
      </c>
      <c r="AP146" s="19" t="b">
        <f t="shared" si="90"/>
        <v>1</v>
      </c>
      <c r="AQ146" s="19" t="b">
        <f>IF(AND(COUNTBLANK(E146:J146)=6,OR(AN147:AN$523)),NOT(AN146))</f>
        <v>0</v>
      </c>
      <c r="AR146" s="19" t="str">
        <f t="shared" si="91"/>
        <v/>
      </c>
      <c r="AS146" s="19" t="b">
        <f t="shared" si="92"/>
        <v>1</v>
      </c>
      <c r="AT146" s="19" t="str">
        <f t="shared" si="93"/>
        <v/>
      </c>
      <c r="AU146" s="19" t="b">
        <f t="shared" si="94"/>
        <v>1</v>
      </c>
      <c r="AV146" s="140" t="str">
        <f t="shared" si="156"/>
        <v/>
      </c>
      <c r="AW146" s="19" t="str">
        <f t="shared" si="95"/>
        <v/>
      </c>
      <c r="AX146" s="81">
        <f t="shared" si="96"/>
        <v>0</v>
      </c>
      <c r="AY146" s="81" t="str">
        <f t="shared" si="97"/>
        <v/>
      </c>
      <c r="AZ146" s="307" t="str">
        <f t="shared" si="131"/>
        <v/>
      </c>
      <c r="BA146" s="281" t="str">
        <f t="shared" si="157"/>
        <v/>
      </c>
      <c r="BB146" s="281" t="str">
        <f t="shared" si="158"/>
        <v/>
      </c>
      <c r="BC146" s="953"/>
      <c r="BD146" s="955"/>
      <c r="BE146" s="219" t="str">
        <f t="shared" si="98"/>
        <v>n/a</v>
      </c>
      <c r="BF146" s="215" t="b">
        <f t="shared" si="99"/>
        <v>0</v>
      </c>
      <c r="BG146" s="145" t="b">
        <f t="shared" si="100"/>
        <v>0</v>
      </c>
      <c r="BH146" s="145" t="b">
        <f t="shared" si="101"/>
        <v>0</v>
      </c>
      <c r="BI146" s="216" t="b">
        <f t="shared" si="102"/>
        <v>0</v>
      </c>
      <c r="BJ146" s="215" t="b">
        <f t="shared" si="103"/>
        <v>0</v>
      </c>
      <c r="BK146" s="145" t="b">
        <f t="shared" si="104"/>
        <v>0</v>
      </c>
      <c r="BL146" s="216" t="b">
        <f t="shared" si="105"/>
        <v>0</v>
      </c>
      <c r="BM146" s="217" t="str">
        <f t="shared" si="159"/>
        <v/>
      </c>
      <c r="BN146" s="146" t="str">
        <f t="shared" si="160"/>
        <v/>
      </c>
      <c r="BO146" s="147" t="str">
        <f t="shared" si="161"/>
        <v/>
      </c>
      <c r="BP146" s="148" t="str">
        <f t="shared" si="162"/>
        <v/>
      </c>
      <c r="BT146" s="50">
        <f t="shared" si="177"/>
        <v>123</v>
      </c>
      <c r="BU146" s="50" t="str">
        <f t="shared" si="180"/>
        <v>-</v>
      </c>
      <c r="BW146" s="333"/>
      <c r="BX146" s="333"/>
      <c r="BY146" s="333"/>
      <c r="BZ146" s="333"/>
      <c r="CA146" s="333"/>
      <c r="CB146" s="333"/>
      <c r="CC146" s="333"/>
      <c r="CD146" s="333"/>
      <c r="CE146" s="333"/>
      <c r="CF146" s="333"/>
      <c r="CG146" s="354">
        <f t="shared" si="107"/>
        <v>123</v>
      </c>
      <c r="CH146" s="613">
        <f t="shared" si="108"/>
        <v>0</v>
      </c>
      <c r="CI146" s="613">
        <f t="shared" si="109"/>
        <v>0</v>
      </c>
      <c r="CJ146" s="614" t="str">
        <f t="shared" si="110"/>
        <v/>
      </c>
      <c r="CK146" s="615" t="str">
        <f t="shared" si="111"/>
        <v/>
      </c>
      <c r="CL146" s="610" t="str">
        <f>IF(ISBLANK(H146),"",IF(AND(ISNUMBER(F146),ISNUMBER(G146),ISNUMBER(H146)),ROUND(F146/(H146*G146),2),ROUND(F146/(VALUE(LEFT(H146,SUM(LEN(H146)-LEN(SUBSTITUTE(H146,{"0","1","2","3","4","5","6","7","8","9","."},"")))))*G146),2)))</f>
        <v/>
      </c>
      <c r="CM146" s="616" t="str">
        <f t="shared" si="163"/>
        <v/>
      </c>
      <c r="CN146" s="616" t="str">
        <f>IF(ISNUMBER(P146),MAX('Adjustment factors'!$S$16,(0.2+0.8*P146)),IF(ISTEXT(N146),VLOOKUP(N146,Afactors,2,FALSE),""))</f>
        <v/>
      </c>
      <c r="CO146" s="616" t="str">
        <f>IF(ISNUMBER(S146),MAX('Adjustment factors'!$S$16,0.2+0.8*S146),IF(ISTEXT(Q146),VLOOKUP(Q146,Afactors,2,FALSE),""))</f>
        <v/>
      </c>
      <c r="CP146" s="611" t="str">
        <f t="shared" si="139"/>
        <v/>
      </c>
      <c r="CQ146" s="612" t="str">
        <f t="shared" si="140"/>
        <v/>
      </c>
      <c r="CR146" s="340"/>
      <c r="CS146" s="340"/>
      <c r="CT146" s="340"/>
      <c r="CU146" s="340"/>
      <c r="CV146" s="333"/>
      <c r="CW146" s="333"/>
      <c r="CX146" s="333"/>
      <c r="CY146" s="333"/>
      <c r="DA146" s="313" t="str">
        <f t="shared" si="112"/>
        <v>OK</v>
      </c>
      <c r="DB146" s="313" t="str">
        <f t="shared" si="113"/>
        <v>OK</v>
      </c>
      <c r="DC146" s="313" t="str">
        <f t="shared" si="114"/>
        <v>OK</v>
      </c>
      <c r="DD146" s="313" t="str">
        <f t="shared" si="115"/>
        <v>OK</v>
      </c>
      <c r="DE146" s="153" t="str">
        <f t="shared" si="116"/>
        <v>OK</v>
      </c>
      <c r="DF146" s="314" t="str">
        <f t="shared" si="117"/>
        <v>OK</v>
      </c>
      <c r="DG146" s="482" t="str">
        <f t="shared" si="141"/>
        <v>OK</v>
      </c>
      <c r="DH146" s="482" t="str">
        <f>IF(OR(AND(T146='Adjustment factors'!$R$28,'Class 3, 5-9'!U146='Adjustment factors'!$R$29),AND('Class 3, 5-9'!T146='Adjustment factors'!$R$29,'Class 3, 5-9'!U146='Adjustment factors'!$R$28)),"Invalid combination of adjustment factors",IF(AND(T146=U146,NOT(ISBLANK(T146)),NOT(ISBLANK(U146))),"Same colour factor selected twice","OK"))</f>
        <v>OK</v>
      </c>
      <c r="DI146" s="313" t="str">
        <f t="shared" si="118"/>
        <v>OK</v>
      </c>
      <c r="DJ146" s="153" t="str">
        <f t="shared" si="164"/>
        <v>OK</v>
      </c>
      <c r="DK146" s="153" t="str">
        <f t="shared" si="119"/>
        <v>OK</v>
      </c>
      <c r="DL146" s="313" t="str">
        <f t="shared" si="120"/>
        <v>OK</v>
      </c>
      <c r="DM146" s="153" t="str">
        <f t="shared" si="121"/>
        <v>OK</v>
      </c>
      <c r="DN146" s="153" t="str">
        <f t="shared" si="165"/>
        <v>OK</v>
      </c>
      <c r="DO146" s="154" t="str">
        <f t="shared" si="166"/>
        <v>OK</v>
      </c>
      <c r="DP146" s="153" t="str">
        <f t="shared" si="122"/>
        <v>OK</v>
      </c>
      <c r="DQ146" s="313" t="str">
        <f t="shared" si="123"/>
        <v>OK</v>
      </c>
      <c r="DR146" s="153" t="str">
        <f t="shared" si="167"/>
        <v>OK</v>
      </c>
      <c r="DS146" s="153" t="str">
        <f t="shared" si="124"/>
        <v>OK</v>
      </c>
      <c r="DT146" s="313" t="str">
        <f t="shared" si="182"/>
        <v>OK</v>
      </c>
      <c r="DU146" s="153" t="str">
        <f t="shared" si="125"/>
        <v>OK</v>
      </c>
      <c r="DV146" s="153" t="str">
        <f t="shared" si="168"/>
        <v>OK</v>
      </c>
      <c r="DW146" s="154" t="str">
        <f t="shared" si="169"/>
        <v>OK</v>
      </c>
      <c r="DX146" s="157">
        <f t="shared" si="170"/>
        <v>0</v>
      </c>
      <c r="DY146" s="156" t="str">
        <f t="shared" si="171"/>
        <v>OK</v>
      </c>
    </row>
    <row r="147" spans="1:129" ht="13" hidden="1" x14ac:dyDescent="0.3">
      <c r="A147" s="333"/>
      <c r="B147" s="333"/>
      <c r="C147" s="331" t="str">
        <f t="shared" si="181"/>
        <v>-</v>
      </c>
      <c r="D147" s="584">
        <f t="shared" si="176"/>
        <v>124</v>
      </c>
      <c r="E147" s="585"/>
      <c r="F147" s="586"/>
      <c r="G147" s="600"/>
      <c r="H147" s="587"/>
      <c r="I147" s="601"/>
      <c r="J147" s="585"/>
      <c r="K147" s="617"/>
      <c r="L147" s="602"/>
      <c r="M147" s="603"/>
      <c r="N147" s="588"/>
      <c r="O147" s="604"/>
      <c r="P147" s="605"/>
      <c r="Q147" s="588"/>
      <c r="R147" s="604"/>
      <c r="S147" s="605"/>
      <c r="T147" s="606"/>
      <c r="U147" s="606"/>
      <c r="V147" s="429" t="str">
        <f t="shared" si="178"/>
        <v/>
      </c>
      <c r="W147" s="430" t="str">
        <f t="shared" si="175"/>
        <v/>
      </c>
      <c r="X147" s="66" t="str">
        <f>IF(AND(ISNUMBER(P147),N147=FixedDim),MAX('Adjustment factors'!$S$16,0.2+0.8*P147),IF(ISTEXT(N147),VLOOKUP(N147,Afactors,2,TRUE),""))</f>
        <v/>
      </c>
      <c r="Y147" s="17" t="str">
        <f>IF(AND(ISNUMBER(S147),Q147=FixedDim),MAX('Adjustment factors'!$S$16,0.2+0.8*S147),IF(ISTEXT(Q147),VLOOKUP(Q147,Afactors,2,TRUE),""))</f>
        <v/>
      </c>
      <c r="Z147" s="297" t="str">
        <f>IF(ISBLANK(T147),"",VLOOKUP(T147,'Adjustment factors'!$R$27:$S$30,2,TRUE))</f>
        <v/>
      </c>
      <c r="AA147" s="297" t="str">
        <f>IF(ISBLANK(U147),"",VLOOKUP(U147,'Adjustment factors'!$R$27:$S$30,2,TRUE))</f>
        <v/>
      </c>
      <c r="AB147" s="480">
        <f t="shared" si="127"/>
        <v>1</v>
      </c>
      <c r="AC147" s="18" t="b">
        <f t="shared" si="81"/>
        <v>0</v>
      </c>
      <c r="AD147" s="18" t="b">
        <f t="shared" si="82"/>
        <v>0</v>
      </c>
      <c r="AE147" s="18" t="b">
        <f t="shared" si="172"/>
        <v>0</v>
      </c>
      <c r="AF147" s="17" t="str">
        <f t="shared" si="83"/>
        <v/>
      </c>
      <c r="AG147" s="18" t="str">
        <f t="shared" si="84"/>
        <v/>
      </c>
      <c r="AH147" s="17" t="str">
        <f t="shared" si="173"/>
        <v/>
      </c>
      <c r="AI147" s="297" t="e">
        <f t="shared" si="129"/>
        <v>#VALUE!</v>
      </c>
      <c r="AJ147" s="79" t="e">
        <f t="shared" si="86"/>
        <v>#VALUE!</v>
      </c>
      <c r="AK147" s="17" t="str">
        <f t="shared" si="174"/>
        <v/>
      </c>
      <c r="AL147" s="80" t="e">
        <f t="shared" si="87"/>
        <v>#VALUE!</v>
      </c>
      <c r="AM147" s="139" t="b">
        <f t="shared" si="88"/>
        <v>1</v>
      </c>
      <c r="AN147" s="139" t="b">
        <f>AND(COUNTA(E147)&gt;0,ISNUMBER(F147),OR(COUNT(G147:H147)=0,COUNT(G147:H147)=2,AND(ISNUMBER(G147),ISNUMBER(VALUE(LEFT(H147,SUM(LEN(H147)-LEN(SUBSTITUTE(H147,{"0","1","2","3","4","5","6","7","8","9","."},"")))))))),ISNUMBER(I147),ISTEXT(J147))</f>
        <v>0</v>
      </c>
      <c r="AO147" s="19" t="b">
        <f t="shared" si="89"/>
        <v>0</v>
      </c>
      <c r="AP147" s="19" t="b">
        <f t="shared" si="90"/>
        <v>1</v>
      </c>
      <c r="AQ147" s="19" t="b">
        <f>IF(AND(COUNTBLANK(E147:J147)=6,OR(AN148:AN$523)),NOT(AN147))</f>
        <v>0</v>
      </c>
      <c r="AR147" s="19" t="str">
        <f t="shared" si="91"/>
        <v/>
      </c>
      <c r="AS147" s="19" t="b">
        <f t="shared" si="92"/>
        <v>1</v>
      </c>
      <c r="AT147" s="19" t="str">
        <f t="shared" si="93"/>
        <v/>
      </c>
      <c r="AU147" s="19" t="b">
        <f t="shared" si="94"/>
        <v>1</v>
      </c>
      <c r="AV147" s="140" t="str">
        <f t="shared" si="156"/>
        <v/>
      </c>
      <c r="AW147" s="19" t="str">
        <f t="shared" si="95"/>
        <v/>
      </c>
      <c r="AX147" s="81">
        <f t="shared" si="96"/>
        <v>0</v>
      </c>
      <c r="AY147" s="81" t="str">
        <f t="shared" si="97"/>
        <v/>
      </c>
      <c r="AZ147" s="307" t="str">
        <f t="shared" si="131"/>
        <v/>
      </c>
      <c r="BA147" s="281" t="str">
        <f t="shared" si="157"/>
        <v/>
      </c>
      <c r="BB147" s="281" t="str">
        <f t="shared" si="158"/>
        <v/>
      </c>
      <c r="BC147" s="953"/>
      <c r="BD147" s="955"/>
      <c r="BE147" s="219" t="str">
        <f t="shared" si="98"/>
        <v>n/a</v>
      </c>
      <c r="BF147" s="215" t="b">
        <f t="shared" si="99"/>
        <v>0</v>
      </c>
      <c r="BG147" s="145" t="b">
        <f t="shared" si="100"/>
        <v>0</v>
      </c>
      <c r="BH147" s="145" t="b">
        <f t="shared" si="101"/>
        <v>0</v>
      </c>
      <c r="BI147" s="216" t="b">
        <f t="shared" si="102"/>
        <v>0</v>
      </c>
      <c r="BJ147" s="215" t="b">
        <f t="shared" si="103"/>
        <v>0</v>
      </c>
      <c r="BK147" s="145" t="b">
        <f t="shared" si="104"/>
        <v>0</v>
      </c>
      <c r="BL147" s="216" t="b">
        <f t="shared" si="105"/>
        <v>0</v>
      </c>
      <c r="BM147" s="217" t="str">
        <f t="shared" si="159"/>
        <v/>
      </c>
      <c r="BN147" s="146" t="str">
        <f t="shared" si="160"/>
        <v/>
      </c>
      <c r="BO147" s="147" t="str">
        <f t="shared" si="161"/>
        <v/>
      </c>
      <c r="BP147" s="148" t="str">
        <f t="shared" si="162"/>
        <v/>
      </c>
      <c r="BT147" s="50">
        <f t="shared" si="177"/>
        <v>124</v>
      </c>
      <c r="BU147" s="50" t="str">
        <f t="shared" si="180"/>
        <v>-</v>
      </c>
      <c r="BW147" s="333"/>
      <c r="BX147" s="333"/>
      <c r="BY147" s="333"/>
      <c r="BZ147" s="333"/>
      <c r="CA147" s="333"/>
      <c r="CB147" s="333"/>
      <c r="CC147" s="333"/>
      <c r="CD147" s="333"/>
      <c r="CE147" s="333"/>
      <c r="CF147" s="333"/>
      <c r="CG147" s="354">
        <f t="shared" si="107"/>
        <v>124</v>
      </c>
      <c r="CH147" s="613">
        <f t="shared" si="108"/>
        <v>0</v>
      </c>
      <c r="CI147" s="613">
        <f t="shared" si="109"/>
        <v>0</v>
      </c>
      <c r="CJ147" s="614" t="str">
        <f t="shared" si="110"/>
        <v/>
      </c>
      <c r="CK147" s="615" t="str">
        <f t="shared" si="111"/>
        <v/>
      </c>
      <c r="CL147" s="610" t="str">
        <f>IF(ISBLANK(H147),"",IF(AND(ISNUMBER(F147),ISNUMBER(G147),ISNUMBER(H147)),ROUND(F147/(H147*G147),2),ROUND(F147/(VALUE(LEFT(H147,SUM(LEN(H147)-LEN(SUBSTITUTE(H147,{"0","1","2","3","4","5","6","7","8","9","."},"")))))*G147),2)))</f>
        <v/>
      </c>
      <c r="CM147" s="616" t="str">
        <f t="shared" si="163"/>
        <v/>
      </c>
      <c r="CN147" s="616" t="str">
        <f>IF(ISNUMBER(P147),MAX('Adjustment factors'!$S$16,(0.2+0.8*P147)),IF(ISTEXT(N147),VLOOKUP(N147,Afactors,2,FALSE),""))</f>
        <v/>
      </c>
      <c r="CO147" s="616" t="str">
        <f>IF(ISNUMBER(S147),MAX('Adjustment factors'!$S$16,0.2+0.8*S147),IF(ISTEXT(Q147),VLOOKUP(Q147,Afactors,2,FALSE),""))</f>
        <v/>
      </c>
      <c r="CP147" s="611" t="str">
        <f t="shared" si="139"/>
        <v/>
      </c>
      <c r="CQ147" s="612" t="str">
        <f t="shared" si="140"/>
        <v/>
      </c>
      <c r="CR147" s="340"/>
      <c r="CS147" s="340"/>
      <c r="CT147" s="340"/>
      <c r="CU147" s="340"/>
      <c r="CV147" s="333"/>
      <c r="CW147" s="333"/>
      <c r="CX147" s="333"/>
      <c r="CY147" s="333"/>
      <c r="DA147" s="313" t="str">
        <f t="shared" si="112"/>
        <v>OK</v>
      </c>
      <c r="DB147" s="313" t="str">
        <f t="shared" si="113"/>
        <v>OK</v>
      </c>
      <c r="DC147" s="313" t="str">
        <f t="shared" si="114"/>
        <v>OK</v>
      </c>
      <c r="DD147" s="313" t="str">
        <f t="shared" si="115"/>
        <v>OK</v>
      </c>
      <c r="DE147" s="153" t="str">
        <f t="shared" si="116"/>
        <v>OK</v>
      </c>
      <c r="DF147" s="314" t="str">
        <f t="shared" si="117"/>
        <v>OK</v>
      </c>
      <c r="DG147" s="482" t="str">
        <f t="shared" si="141"/>
        <v>OK</v>
      </c>
      <c r="DH147" s="482" t="str">
        <f>IF(OR(AND(T147='Adjustment factors'!$R$28,'Class 3, 5-9'!U147='Adjustment factors'!$R$29),AND('Class 3, 5-9'!T147='Adjustment factors'!$R$29,'Class 3, 5-9'!U147='Adjustment factors'!$R$28)),"Invalid combination of adjustment factors",IF(AND(T147=U147,NOT(ISBLANK(T147)),NOT(ISBLANK(U147))),"Same colour factor selected twice","OK"))</f>
        <v>OK</v>
      </c>
      <c r="DI147" s="313" t="str">
        <f t="shared" si="118"/>
        <v>OK</v>
      </c>
      <c r="DJ147" s="153" t="str">
        <f t="shared" si="164"/>
        <v>OK</v>
      </c>
      <c r="DK147" s="153" t="str">
        <f t="shared" si="119"/>
        <v>OK</v>
      </c>
      <c r="DL147" s="313" t="str">
        <f t="shared" si="120"/>
        <v>OK</v>
      </c>
      <c r="DM147" s="153" t="str">
        <f t="shared" si="121"/>
        <v>OK</v>
      </c>
      <c r="DN147" s="153" t="str">
        <f t="shared" si="165"/>
        <v>OK</v>
      </c>
      <c r="DO147" s="154" t="str">
        <f t="shared" si="166"/>
        <v>OK</v>
      </c>
      <c r="DP147" s="153" t="str">
        <f t="shared" si="122"/>
        <v>OK</v>
      </c>
      <c r="DQ147" s="313" t="str">
        <f t="shared" si="123"/>
        <v>OK</v>
      </c>
      <c r="DR147" s="153" t="str">
        <f t="shared" si="167"/>
        <v>OK</v>
      </c>
      <c r="DS147" s="153" t="str">
        <f t="shared" si="124"/>
        <v>OK</v>
      </c>
      <c r="DT147" s="313" t="str">
        <f t="shared" si="182"/>
        <v>OK</v>
      </c>
      <c r="DU147" s="153" t="str">
        <f t="shared" si="125"/>
        <v>OK</v>
      </c>
      <c r="DV147" s="153" t="str">
        <f t="shared" si="168"/>
        <v>OK</v>
      </c>
      <c r="DW147" s="154" t="str">
        <f t="shared" si="169"/>
        <v>OK</v>
      </c>
      <c r="DX147" s="157">
        <f t="shared" si="170"/>
        <v>0</v>
      </c>
      <c r="DY147" s="156" t="str">
        <f t="shared" si="171"/>
        <v>OK</v>
      </c>
    </row>
    <row r="148" spans="1:129" ht="13" hidden="1" x14ac:dyDescent="0.3">
      <c r="A148" s="333"/>
      <c r="B148" s="333"/>
      <c r="C148" s="331" t="str">
        <f t="shared" si="181"/>
        <v>-</v>
      </c>
      <c r="D148" s="584">
        <f t="shared" si="176"/>
        <v>125</v>
      </c>
      <c r="E148" s="585"/>
      <c r="F148" s="586"/>
      <c r="G148" s="600"/>
      <c r="H148" s="587"/>
      <c r="I148" s="601"/>
      <c r="J148" s="585"/>
      <c r="K148" s="617"/>
      <c r="L148" s="602"/>
      <c r="M148" s="603"/>
      <c r="N148" s="588"/>
      <c r="O148" s="604"/>
      <c r="P148" s="605"/>
      <c r="Q148" s="588"/>
      <c r="R148" s="604"/>
      <c r="S148" s="605"/>
      <c r="T148" s="606"/>
      <c r="U148" s="606"/>
      <c r="V148" s="429" t="str">
        <f t="shared" si="178"/>
        <v/>
      </c>
      <c r="W148" s="430" t="str">
        <f t="shared" si="175"/>
        <v/>
      </c>
      <c r="X148" s="66" t="str">
        <f>IF(AND(ISNUMBER(P148),N148=FixedDim),MAX('Adjustment factors'!$S$16,0.2+0.8*P148),IF(ISTEXT(N148),VLOOKUP(N148,Afactors,2,TRUE),""))</f>
        <v/>
      </c>
      <c r="Y148" s="17" t="str">
        <f>IF(AND(ISNUMBER(S148),Q148=FixedDim),MAX('Adjustment factors'!$S$16,0.2+0.8*S148),IF(ISTEXT(Q148),VLOOKUP(Q148,Afactors,2,TRUE),""))</f>
        <v/>
      </c>
      <c r="Z148" s="297" t="str">
        <f>IF(ISBLANK(T148),"",VLOOKUP(T148,'Adjustment factors'!$R$27:$S$30,2,TRUE))</f>
        <v/>
      </c>
      <c r="AA148" s="297" t="str">
        <f>IF(ISBLANK(U148),"",VLOOKUP(U148,'Adjustment factors'!$R$27:$S$30,2,TRUE))</f>
        <v/>
      </c>
      <c r="AB148" s="480">
        <f t="shared" si="127"/>
        <v>1</v>
      </c>
      <c r="AC148" s="18" t="b">
        <f t="shared" si="81"/>
        <v>0</v>
      </c>
      <c r="AD148" s="18" t="b">
        <f t="shared" si="82"/>
        <v>0</v>
      </c>
      <c r="AE148" s="18" t="b">
        <f t="shared" si="172"/>
        <v>0</v>
      </c>
      <c r="AF148" s="17" t="str">
        <f t="shared" si="83"/>
        <v/>
      </c>
      <c r="AG148" s="18" t="str">
        <f t="shared" si="84"/>
        <v/>
      </c>
      <c r="AH148" s="17" t="str">
        <f t="shared" si="173"/>
        <v/>
      </c>
      <c r="AI148" s="297" t="e">
        <f t="shared" si="129"/>
        <v>#VALUE!</v>
      </c>
      <c r="AJ148" s="79" t="e">
        <f t="shared" si="86"/>
        <v>#VALUE!</v>
      </c>
      <c r="AK148" s="17" t="str">
        <f t="shared" si="174"/>
        <v/>
      </c>
      <c r="AL148" s="80" t="e">
        <f t="shared" si="87"/>
        <v>#VALUE!</v>
      </c>
      <c r="AM148" s="139" t="b">
        <f t="shared" si="88"/>
        <v>1</v>
      </c>
      <c r="AN148" s="139" t="b">
        <f>AND(COUNTA(E148)&gt;0,ISNUMBER(F148),OR(COUNT(G148:H148)=0,COUNT(G148:H148)=2,AND(ISNUMBER(G148),ISNUMBER(VALUE(LEFT(H148,SUM(LEN(H148)-LEN(SUBSTITUTE(H148,{"0","1","2","3","4","5","6","7","8","9","."},"")))))))),ISNUMBER(I148),ISTEXT(J148))</f>
        <v>0</v>
      </c>
      <c r="AO148" s="19" t="b">
        <f t="shared" si="89"/>
        <v>0</v>
      </c>
      <c r="AP148" s="19" t="b">
        <f t="shared" si="90"/>
        <v>1</v>
      </c>
      <c r="AQ148" s="19" t="b">
        <f>IF(AND(COUNTBLANK(E148:J148)=6,OR(AN149:AN$523)),NOT(AN148))</f>
        <v>0</v>
      </c>
      <c r="AR148" s="19" t="str">
        <f t="shared" si="91"/>
        <v/>
      </c>
      <c r="AS148" s="19" t="b">
        <f t="shared" si="92"/>
        <v>1</v>
      </c>
      <c r="AT148" s="19" t="str">
        <f t="shared" si="93"/>
        <v/>
      </c>
      <c r="AU148" s="19" t="b">
        <f t="shared" si="94"/>
        <v>1</v>
      </c>
      <c r="AV148" s="140" t="str">
        <f t="shared" si="156"/>
        <v/>
      </c>
      <c r="AW148" s="19" t="str">
        <f t="shared" si="95"/>
        <v/>
      </c>
      <c r="AX148" s="81">
        <f t="shared" si="96"/>
        <v>0</v>
      </c>
      <c r="AY148" s="81" t="str">
        <f t="shared" si="97"/>
        <v/>
      </c>
      <c r="AZ148" s="307" t="str">
        <f t="shared" si="131"/>
        <v/>
      </c>
      <c r="BA148" s="281" t="str">
        <f t="shared" si="157"/>
        <v/>
      </c>
      <c r="BB148" s="281" t="str">
        <f t="shared" si="158"/>
        <v/>
      </c>
      <c r="BC148" s="953"/>
      <c r="BD148" s="955"/>
      <c r="BE148" s="219" t="str">
        <f t="shared" si="98"/>
        <v>n/a</v>
      </c>
      <c r="BF148" s="215" t="b">
        <f t="shared" si="99"/>
        <v>0</v>
      </c>
      <c r="BG148" s="145" t="b">
        <f t="shared" si="100"/>
        <v>0</v>
      </c>
      <c r="BH148" s="145" t="b">
        <f t="shared" si="101"/>
        <v>0</v>
      </c>
      <c r="BI148" s="216" t="b">
        <f t="shared" si="102"/>
        <v>0</v>
      </c>
      <c r="BJ148" s="215" t="b">
        <f t="shared" si="103"/>
        <v>0</v>
      </c>
      <c r="BK148" s="145" t="b">
        <f t="shared" si="104"/>
        <v>0</v>
      </c>
      <c r="BL148" s="216" t="b">
        <f t="shared" si="105"/>
        <v>0</v>
      </c>
      <c r="BM148" s="217" t="str">
        <f t="shared" si="159"/>
        <v/>
      </c>
      <c r="BN148" s="146" t="str">
        <f t="shared" si="160"/>
        <v/>
      </c>
      <c r="BO148" s="147" t="str">
        <f t="shared" si="161"/>
        <v/>
      </c>
      <c r="BP148" s="148" t="str">
        <f t="shared" si="162"/>
        <v/>
      </c>
      <c r="BT148" s="50">
        <f t="shared" si="177"/>
        <v>125</v>
      </c>
      <c r="BU148" s="50" t="str">
        <f t="shared" si="180"/>
        <v>-</v>
      </c>
      <c r="BW148" s="333"/>
      <c r="BX148" s="333"/>
      <c r="BY148" s="333"/>
      <c r="BZ148" s="333"/>
      <c r="CA148" s="333"/>
      <c r="CB148" s="333"/>
      <c r="CC148" s="333"/>
      <c r="CD148" s="333"/>
      <c r="CE148" s="333"/>
      <c r="CF148" s="333"/>
      <c r="CG148" s="354">
        <f t="shared" si="107"/>
        <v>125</v>
      </c>
      <c r="CH148" s="613">
        <f t="shared" si="108"/>
        <v>0</v>
      </c>
      <c r="CI148" s="613">
        <f t="shared" si="109"/>
        <v>0</v>
      </c>
      <c r="CJ148" s="614" t="str">
        <f t="shared" si="110"/>
        <v/>
      </c>
      <c r="CK148" s="615" t="str">
        <f t="shared" si="111"/>
        <v/>
      </c>
      <c r="CL148" s="610" t="str">
        <f>IF(ISBLANK(H148),"",IF(AND(ISNUMBER(F148),ISNUMBER(G148),ISNUMBER(H148)),ROUND(F148/(H148*G148),2),ROUND(F148/(VALUE(LEFT(H148,SUM(LEN(H148)-LEN(SUBSTITUTE(H148,{"0","1","2","3","4","5","6","7","8","9","."},"")))))*G148),2)))</f>
        <v/>
      </c>
      <c r="CM148" s="616" t="str">
        <f t="shared" si="163"/>
        <v/>
      </c>
      <c r="CN148" s="616" t="str">
        <f>IF(ISNUMBER(P148),MAX('Adjustment factors'!$S$16,(0.2+0.8*P148)),IF(ISTEXT(N148),VLOOKUP(N148,Afactors,2,FALSE),""))</f>
        <v/>
      </c>
      <c r="CO148" s="616" t="str">
        <f>IF(ISNUMBER(S148),MAX('Adjustment factors'!$S$16,0.2+0.8*S148),IF(ISTEXT(Q148),VLOOKUP(Q148,Afactors,2,FALSE),""))</f>
        <v/>
      </c>
      <c r="CP148" s="611" t="str">
        <f t="shared" si="139"/>
        <v/>
      </c>
      <c r="CQ148" s="612" t="str">
        <f t="shared" si="140"/>
        <v/>
      </c>
      <c r="CR148" s="340"/>
      <c r="CS148" s="340"/>
      <c r="CT148" s="340"/>
      <c r="CU148" s="340"/>
      <c r="CV148" s="333"/>
      <c r="CW148" s="333"/>
      <c r="CX148" s="333"/>
      <c r="CY148" s="333"/>
      <c r="DA148" s="313" t="str">
        <f t="shared" si="112"/>
        <v>OK</v>
      </c>
      <c r="DB148" s="313" t="str">
        <f t="shared" si="113"/>
        <v>OK</v>
      </c>
      <c r="DC148" s="313" t="str">
        <f t="shared" si="114"/>
        <v>OK</v>
      </c>
      <c r="DD148" s="313" t="str">
        <f t="shared" si="115"/>
        <v>OK</v>
      </c>
      <c r="DE148" s="153" t="str">
        <f t="shared" si="116"/>
        <v>OK</v>
      </c>
      <c r="DF148" s="314" t="str">
        <f t="shared" si="117"/>
        <v>OK</v>
      </c>
      <c r="DG148" s="482" t="str">
        <f t="shared" si="141"/>
        <v>OK</v>
      </c>
      <c r="DH148" s="482" t="str">
        <f>IF(OR(AND(T148='Adjustment factors'!$R$28,'Class 3, 5-9'!U148='Adjustment factors'!$R$29),AND('Class 3, 5-9'!T148='Adjustment factors'!$R$29,'Class 3, 5-9'!U148='Adjustment factors'!$R$28)),"Invalid combination of adjustment factors",IF(AND(T148=U148,NOT(ISBLANK(T148)),NOT(ISBLANK(U148))),"Same colour factor selected twice","OK"))</f>
        <v>OK</v>
      </c>
      <c r="DI148" s="313" t="str">
        <f t="shared" si="118"/>
        <v>OK</v>
      </c>
      <c r="DJ148" s="153" t="str">
        <f t="shared" si="164"/>
        <v>OK</v>
      </c>
      <c r="DK148" s="153" t="str">
        <f t="shared" si="119"/>
        <v>OK</v>
      </c>
      <c r="DL148" s="313" t="str">
        <f t="shared" si="120"/>
        <v>OK</v>
      </c>
      <c r="DM148" s="153" t="str">
        <f t="shared" si="121"/>
        <v>OK</v>
      </c>
      <c r="DN148" s="153" t="str">
        <f t="shared" si="165"/>
        <v>OK</v>
      </c>
      <c r="DO148" s="154" t="str">
        <f t="shared" si="166"/>
        <v>OK</v>
      </c>
      <c r="DP148" s="153" t="str">
        <f t="shared" si="122"/>
        <v>OK</v>
      </c>
      <c r="DQ148" s="313" t="str">
        <f t="shared" si="123"/>
        <v>OK</v>
      </c>
      <c r="DR148" s="153" t="str">
        <f t="shared" si="167"/>
        <v>OK</v>
      </c>
      <c r="DS148" s="153" t="str">
        <f t="shared" si="124"/>
        <v>OK</v>
      </c>
      <c r="DT148" s="313" t="str">
        <f t="shared" si="182"/>
        <v>OK</v>
      </c>
      <c r="DU148" s="153" t="str">
        <f t="shared" si="125"/>
        <v>OK</v>
      </c>
      <c r="DV148" s="153" t="str">
        <f t="shared" si="168"/>
        <v>OK</v>
      </c>
      <c r="DW148" s="154" t="str">
        <f t="shared" si="169"/>
        <v>OK</v>
      </c>
      <c r="DX148" s="157">
        <f t="shared" si="170"/>
        <v>0</v>
      </c>
      <c r="DY148" s="156" t="str">
        <f t="shared" si="171"/>
        <v>OK</v>
      </c>
    </row>
    <row r="149" spans="1:129" ht="13" hidden="1" x14ac:dyDescent="0.3">
      <c r="A149" s="333"/>
      <c r="B149" s="333"/>
      <c r="C149" s="331" t="str">
        <f t="shared" si="181"/>
        <v>-</v>
      </c>
      <c r="D149" s="584">
        <f t="shared" si="176"/>
        <v>126</v>
      </c>
      <c r="E149" s="585"/>
      <c r="F149" s="586"/>
      <c r="G149" s="600"/>
      <c r="H149" s="587"/>
      <c r="I149" s="601"/>
      <c r="J149" s="585"/>
      <c r="K149" s="617"/>
      <c r="L149" s="602"/>
      <c r="M149" s="603"/>
      <c r="N149" s="588"/>
      <c r="O149" s="604"/>
      <c r="P149" s="605"/>
      <c r="Q149" s="588"/>
      <c r="R149" s="604"/>
      <c r="S149" s="605"/>
      <c r="T149" s="606"/>
      <c r="U149" s="606"/>
      <c r="V149" s="429" t="str">
        <f t="shared" si="178"/>
        <v/>
      </c>
      <c r="W149" s="430" t="str">
        <f t="shared" si="175"/>
        <v/>
      </c>
      <c r="X149" s="66" t="str">
        <f>IF(AND(ISNUMBER(P149),N149=FixedDim),MAX('Adjustment factors'!$S$16,0.2+0.8*P149),IF(ISTEXT(N149),VLOOKUP(N149,Afactors,2,TRUE),""))</f>
        <v/>
      </c>
      <c r="Y149" s="17" t="str">
        <f>IF(AND(ISNUMBER(S149),Q149=FixedDim),MAX('Adjustment factors'!$S$16,0.2+0.8*S149),IF(ISTEXT(Q149),VLOOKUP(Q149,Afactors,2,TRUE),""))</f>
        <v/>
      </c>
      <c r="Z149" s="297" t="str">
        <f>IF(ISBLANK(T149),"",VLOOKUP(T149,'Adjustment factors'!$R$27:$S$30,2,TRUE))</f>
        <v/>
      </c>
      <c r="AA149" s="297" t="str">
        <f>IF(ISBLANK(U149),"",VLOOKUP(U149,'Adjustment factors'!$R$27:$S$30,2,TRUE))</f>
        <v/>
      </c>
      <c r="AB149" s="480">
        <f t="shared" si="127"/>
        <v>1</v>
      </c>
      <c r="AC149" s="18" t="b">
        <f t="shared" si="81"/>
        <v>0</v>
      </c>
      <c r="AD149" s="18" t="b">
        <f t="shared" si="82"/>
        <v>0</v>
      </c>
      <c r="AE149" s="18" t="b">
        <f t="shared" si="172"/>
        <v>0</v>
      </c>
      <c r="AF149" s="17" t="str">
        <f t="shared" si="83"/>
        <v/>
      </c>
      <c r="AG149" s="18" t="str">
        <f t="shared" si="84"/>
        <v/>
      </c>
      <c r="AH149" s="17" t="str">
        <f t="shared" si="173"/>
        <v/>
      </c>
      <c r="AI149" s="297" t="e">
        <f t="shared" si="129"/>
        <v>#VALUE!</v>
      </c>
      <c r="AJ149" s="79" t="e">
        <f t="shared" si="86"/>
        <v>#VALUE!</v>
      </c>
      <c r="AK149" s="17" t="str">
        <f t="shared" si="174"/>
        <v/>
      </c>
      <c r="AL149" s="80" t="e">
        <f t="shared" si="87"/>
        <v>#VALUE!</v>
      </c>
      <c r="AM149" s="139" t="b">
        <f t="shared" si="88"/>
        <v>1</v>
      </c>
      <c r="AN149" s="139" t="b">
        <f>AND(COUNTA(E149)&gt;0,ISNUMBER(F149),OR(COUNT(G149:H149)=0,COUNT(G149:H149)=2,AND(ISNUMBER(G149),ISNUMBER(VALUE(LEFT(H149,SUM(LEN(H149)-LEN(SUBSTITUTE(H149,{"0","1","2","3","4","5","6","7","8","9","."},"")))))))),ISNUMBER(I149),ISTEXT(J149))</f>
        <v>0</v>
      </c>
      <c r="AO149" s="19" t="b">
        <f t="shared" si="89"/>
        <v>0</v>
      </c>
      <c r="AP149" s="19" t="b">
        <f t="shared" si="90"/>
        <v>1</v>
      </c>
      <c r="AQ149" s="19" t="b">
        <f>IF(AND(COUNTBLANK(E149:J149)=6,OR(AN150:AN$523)),NOT(AN149))</f>
        <v>0</v>
      </c>
      <c r="AR149" s="19" t="str">
        <f t="shared" si="91"/>
        <v/>
      </c>
      <c r="AS149" s="19" t="b">
        <f t="shared" si="92"/>
        <v>1</v>
      </c>
      <c r="AT149" s="19" t="str">
        <f t="shared" si="93"/>
        <v/>
      </c>
      <c r="AU149" s="19" t="b">
        <f t="shared" si="94"/>
        <v>1</v>
      </c>
      <c r="AV149" s="140" t="str">
        <f t="shared" si="156"/>
        <v/>
      </c>
      <c r="AW149" s="19" t="str">
        <f t="shared" si="95"/>
        <v/>
      </c>
      <c r="AX149" s="81">
        <f t="shared" si="96"/>
        <v>0</v>
      </c>
      <c r="AY149" s="81" t="str">
        <f t="shared" si="97"/>
        <v/>
      </c>
      <c r="AZ149" s="307" t="str">
        <f t="shared" si="131"/>
        <v/>
      </c>
      <c r="BA149" s="281" t="str">
        <f t="shared" si="157"/>
        <v/>
      </c>
      <c r="BB149" s="281" t="str">
        <f t="shared" si="158"/>
        <v/>
      </c>
      <c r="BC149" s="953"/>
      <c r="BD149" s="955"/>
      <c r="BE149" s="219" t="str">
        <f t="shared" si="98"/>
        <v>n/a</v>
      </c>
      <c r="BF149" s="215" t="b">
        <f t="shared" si="99"/>
        <v>0</v>
      </c>
      <c r="BG149" s="145" t="b">
        <f t="shared" si="100"/>
        <v>0</v>
      </c>
      <c r="BH149" s="145" t="b">
        <f t="shared" si="101"/>
        <v>0</v>
      </c>
      <c r="BI149" s="216" t="b">
        <f t="shared" si="102"/>
        <v>0</v>
      </c>
      <c r="BJ149" s="215" t="b">
        <f t="shared" si="103"/>
        <v>0</v>
      </c>
      <c r="BK149" s="145" t="b">
        <f t="shared" si="104"/>
        <v>0</v>
      </c>
      <c r="BL149" s="216" t="b">
        <f t="shared" si="105"/>
        <v>0</v>
      </c>
      <c r="BM149" s="217" t="str">
        <f t="shared" si="159"/>
        <v/>
      </c>
      <c r="BN149" s="146" t="str">
        <f t="shared" si="160"/>
        <v/>
      </c>
      <c r="BO149" s="147" t="str">
        <f t="shared" si="161"/>
        <v/>
      </c>
      <c r="BP149" s="148" t="str">
        <f t="shared" si="162"/>
        <v/>
      </c>
      <c r="BT149" s="50">
        <f t="shared" si="177"/>
        <v>126</v>
      </c>
      <c r="BU149" s="50" t="str">
        <f t="shared" si="180"/>
        <v>-</v>
      </c>
      <c r="BW149" s="333"/>
      <c r="BX149" s="333"/>
      <c r="BY149" s="333"/>
      <c r="BZ149" s="333"/>
      <c r="CA149" s="333"/>
      <c r="CB149" s="333"/>
      <c r="CC149" s="333"/>
      <c r="CD149" s="333"/>
      <c r="CE149" s="333"/>
      <c r="CF149" s="333"/>
      <c r="CG149" s="354">
        <f t="shared" si="107"/>
        <v>126</v>
      </c>
      <c r="CH149" s="613">
        <f t="shared" si="108"/>
        <v>0</v>
      </c>
      <c r="CI149" s="613">
        <f t="shared" si="109"/>
        <v>0</v>
      </c>
      <c r="CJ149" s="614" t="str">
        <f t="shared" si="110"/>
        <v/>
      </c>
      <c r="CK149" s="615" t="str">
        <f t="shared" si="111"/>
        <v/>
      </c>
      <c r="CL149" s="610" t="str">
        <f>IF(ISBLANK(H149),"",IF(AND(ISNUMBER(F149),ISNUMBER(G149),ISNUMBER(H149)),ROUND(F149/(H149*G149),2),ROUND(F149/(VALUE(LEFT(H149,SUM(LEN(H149)-LEN(SUBSTITUTE(H149,{"0","1","2","3","4","5","6","7","8","9","."},"")))))*G149),2)))</f>
        <v/>
      </c>
      <c r="CM149" s="616" t="str">
        <f t="shared" si="163"/>
        <v/>
      </c>
      <c r="CN149" s="616" t="str">
        <f>IF(ISNUMBER(P149),MAX('Adjustment factors'!$S$16,(0.2+0.8*P149)),IF(ISTEXT(N149),VLOOKUP(N149,Afactors,2,FALSE),""))</f>
        <v/>
      </c>
      <c r="CO149" s="616" t="str">
        <f>IF(ISNUMBER(S149),MAX('Adjustment factors'!$S$16,0.2+0.8*S149),IF(ISTEXT(Q149),VLOOKUP(Q149,Afactors,2,FALSE),""))</f>
        <v/>
      </c>
      <c r="CP149" s="611" t="str">
        <f t="shared" si="139"/>
        <v/>
      </c>
      <c r="CQ149" s="612" t="str">
        <f t="shared" si="140"/>
        <v/>
      </c>
      <c r="CR149" s="340"/>
      <c r="CS149" s="340"/>
      <c r="CT149" s="340"/>
      <c r="CU149" s="340"/>
      <c r="CV149" s="333"/>
      <c r="CW149" s="333"/>
      <c r="CX149" s="333"/>
      <c r="CY149" s="333"/>
      <c r="DA149" s="313" t="str">
        <f t="shared" si="112"/>
        <v>OK</v>
      </c>
      <c r="DB149" s="313" t="str">
        <f t="shared" si="113"/>
        <v>OK</v>
      </c>
      <c r="DC149" s="313" t="str">
        <f t="shared" si="114"/>
        <v>OK</v>
      </c>
      <c r="DD149" s="313" t="str">
        <f t="shared" si="115"/>
        <v>OK</v>
      </c>
      <c r="DE149" s="153" t="str">
        <f t="shared" si="116"/>
        <v>OK</v>
      </c>
      <c r="DF149" s="314" t="str">
        <f t="shared" si="117"/>
        <v>OK</v>
      </c>
      <c r="DG149" s="482" t="str">
        <f t="shared" si="141"/>
        <v>OK</v>
      </c>
      <c r="DH149" s="482" t="str">
        <f>IF(OR(AND(T149='Adjustment factors'!$R$28,'Class 3, 5-9'!U149='Adjustment factors'!$R$29),AND('Class 3, 5-9'!T149='Adjustment factors'!$R$29,'Class 3, 5-9'!U149='Adjustment factors'!$R$28)),"Invalid combination of adjustment factors",IF(AND(T149=U149,NOT(ISBLANK(T149)),NOT(ISBLANK(U149))),"Same colour factor selected twice","OK"))</f>
        <v>OK</v>
      </c>
      <c r="DI149" s="313" t="str">
        <f t="shared" si="118"/>
        <v>OK</v>
      </c>
      <c r="DJ149" s="153" t="str">
        <f t="shared" si="164"/>
        <v>OK</v>
      </c>
      <c r="DK149" s="153" t="str">
        <f t="shared" si="119"/>
        <v>OK</v>
      </c>
      <c r="DL149" s="313" t="str">
        <f t="shared" si="120"/>
        <v>OK</v>
      </c>
      <c r="DM149" s="153" t="str">
        <f t="shared" si="121"/>
        <v>OK</v>
      </c>
      <c r="DN149" s="153" t="str">
        <f t="shared" si="165"/>
        <v>OK</v>
      </c>
      <c r="DO149" s="154" t="str">
        <f t="shared" si="166"/>
        <v>OK</v>
      </c>
      <c r="DP149" s="153" t="str">
        <f t="shared" si="122"/>
        <v>OK</v>
      </c>
      <c r="DQ149" s="313" t="str">
        <f t="shared" si="123"/>
        <v>OK</v>
      </c>
      <c r="DR149" s="153" t="str">
        <f t="shared" si="167"/>
        <v>OK</v>
      </c>
      <c r="DS149" s="153" t="str">
        <f t="shared" si="124"/>
        <v>OK</v>
      </c>
      <c r="DT149" s="313" t="str">
        <f t="shared" si="182"/>
        <v>OK</v>
      </c>
      <c r="DU149" s="153" t="str">
        <f t="shared" si="125"/>
        <v>OK</v>
      </c>
      <c r="DV149" s="153" t="str">
        <f t="shared" si="168"/>
        <v>OK</v>
      </c>
      <c r="DW149" s="154" t="str">
        <f t="shared" si="169"/>
        <v>OK</v>
      </c>
      <c r="DX149" s="157">
        <f t="shared" si="170"/>
        <v>0</v>
      </c>
      <c r="DY149" s="156" t="str">
        <f t="shared" si="171"/>
        <v>OK</v>
      </c>
    </row>
    <row r="150" spans="1:129" ht="13" hidden="1" x14ac:dyDescent="0.3">
      <c r="A150" s="333"/>
      <c r="B150" s="333"/>
      <c r="C150" s="331" t="str">
        <f t="shared" si="181"/>
        <v>-</v>
      </c>
      <c r="D150" s="584">
        <f t="shared" si="176"/>
        <v>127</v>
      </c>
      <c r="E150" s="585"/>
      <c r="F150" s="586"/>
      <c r="G150" s="600"/>
      <c r="H150" s="587"/>
      <c r="I150" s="601"/>
      <c r="J150" s="585"/>
      <c r="K150" s="617"/>
      <c r="L150" s="602"/>
      <c r="M150" s="603"/>
      <c r="N150" s="588"/>
      <c r="O150" s="604"/>
      <c r="P150" s="605"/>
      <c r="Q150" s="588"/>
      <c r="R150" s="604"/>
      <c r="S150" s="605"/>
      <c r="T150" s="606"/>
      <c r="U150" s="606"/>
      <c r="V150" s="429" t="str">
        <f t="shared" si="178"/>
        <v/>
      </c>
      <c r="W150" s="430" t="str">
        <f t="shared" si="175"/>
        <v/>
      </c>
      <c r="X150" s="66" t="str">
        <f>IF(AND(ISNUMBER(P150),N150=FixedDim),MAX('Adjustment factors'!$S$16,0.2+0.8*P150),IF(ISTEXT(N150),VLOOKUP(N150,Afactors,2,TRUE),""))</f>
        <v/>
      </c>
      <c r="Y150" s="17" t="str">
        <f>IF(AND(ISNUMBER(S150),Q150=FixedDim),MAX('Adjustment factors'!$S$16,0.2+0.8*S150),IF(ISTEXT(Q150),VLOOKUP(Q150,Afactors,2,TRUE),""))</f>
        <v/>
      </c>
      <c r="Z150" s="297" t="str">
        <f>IF(ISBLANK(T150),"",VLOOKUP(T150,'Adjustment factors'!$R$27:$S$30,2,TRUE))</f>
        <v/>
      </c>
      <c r="AA150" s="297" t="str">
        <f>IF(ISBLANK(U150),"",VLOOKUP(U150,'Adjustment factors'!$R$27:$S$30,2,TRUE))</f>
        <v/>
      </c>
      <c r="AB150" s="480">
        <f t="shared" si="127"/>
        <v>1</v>
      </c>
      <c r="AC150" s="18" t="b">
        <f t="shared" si="81"/>
        <v>0</v>
      </c>
      <c r="AD150" s="18" t="b">
        <f t="shared" si="82"/>
        <v>0</v>
      </c>
      <c r="AE150" s="18" t="b">
        <f t="shared" si="172"/>
        <v>0</v>
      </c>
      <c r="AF150" s="17" t="str">
        <f t="shared" si="83"/>
        <v/>
      </c>
      <c r="AG150" s="18" t="str">
        <f t="shared" si="84"/>
        <v/>
      </c>
      <c r="AH150" s="17" t="str">
        <f t="shared" si="173"/>
        <v/>
      </c>
      <c r="AI150" s="297" t="e">
        <f t="shared" si="129"/>
        <v>#VALUE!</v>
      </c>
      <c r="AJ150" s="79" t="e">
        <f t="shared" si="86"/>
        <v>#VALUE!</v>
      </c>
      <c r="AK150" s="17" t="str">
        <f t="shared" si="174"/>
        <v/>
      </c>
      <c r="AL150" s="80" t="e">
        <f t="shared" si="87"/>
        <v>#VALUE!</v>
      </c>
      <c r="AM150" s="139" t="b">
        <f t="shared" si="88"/>
        <v>1</v>
      </c>
      <c r="AN150" s="139" t="b">
        <f>AND(COUNTA(E150)&gt;0,ISNUMBER(F150),OR(COUNT(G150:H150)=0,COUNT(G150:H150)=2,AND(ISNUMBER(G150),ISNUMBER(VALUE(LEFT(H150,SUM(LEN(H150)-LEN(SUBSTITUTE(H150,{"0","1","2","3","4","5","6","7","8","9","."},"")))))))),ISNUMBER(I150),ISTEXT(J150))</f>
        <v>0</v>
      </c>
      <c r="AO150" s="19" t="b">
        <f t="shared" si="89"/>
        <v>0</v>
      </c>
      <c r="AP150" s="19" t="b">
        <f t="shared" si="90"/>
        <v>1</v>
      </c>
      <c r="AQ150" s="19" t="b">
        <f>IF(AND(COUNTBLANK(E150:J150)=6,OR(AN151:AN$523)),NOT(AN150))</f>
        <v>0</v>
      </c>
      <c r="AR150" s="19" t="str">
        <f t="shared" si="91"/>
        <v/>
      </c>
      <c r="AS150" s="19" t="b">
        <f t="shared" si="92"/>
        <v>1</v>
      </c>
      <c r="AT150" s="19" t="str">
        <f t="shared" si="93"/>
        <v/>
      </c>
      <c r="AU150" s="19" t="b">
        <f t="shared" si="94"/>
        <v>1</v>
      </c>
      <c r="AV150" s="140" t="str">
        <f t="shared" si="156"/>
        <v/>
      </c>
      <c r="AW150" s="19" t="str">
        <f t="shared" si="95"/>
        <v/>
      </c>
      <c r="AX150" s="81">
        <f t="shared" si="96"/>
        <v>0</v>
      </c>
      <c r="AY150" s="81" t="str">
        <f t="shared" si="97"/>
        <v/>
      </c>
      <c r="AZ150" s="307" t="str">
        <f t="shared" si="131"/>
        <v/>
      </c>
      <c r="BA150" s="281" t="str">
        <f t="shared" si="157"/>
        <v/>
      </c>
      <c r="BB150" s="281" t="str">
        <f t="shared" si="158"/>
        <v/>
      </c>
      <c r="BC150" s="953"/>
      <c r="BD150" s="955"/>
      <c r="BE150" s="219" t="str">
        <f t="shared" si="98"/>
        <v>n/a</v>
      </c>
      <c r="BF150" s="215" t="b">
        <f t="shared" si="99"/>
        <v>0</v>
      </c>
      <c r="BG150" s="145" t="b">
        <f t="shared" si="100"/>
        <v>0</v>
      </c>
      <c r="BH150" s="145" t="b">
        <f t="shared" si="101"/>
        <v>0</v>
      </c>
      <c r="BI150" s="216" t="b">
        <f t="shared" si="102"/>
        <v>0</v>
      </c>
      <c r="BJ150" s="215" t="b">
        <f t="shared" si="103"/>
        <v>0</v>
      </c>
      <c r="BK150" s="145" t="b">
        <f t="shared" si="104"/>
        <v>0</v>
      </c>
      <c r="BL150" s="216" t="b">
        <f t="shared" si="105"/>
        <v>0</v>
      </c>
      <c r="BM150" s="217" t="str">
        <f t="shared" si="159"/>
        <v/>
      </c>
      <c r="BN150" s="146" t="str">
        <f t="shared" si="160"/>
        <v/>
      </c>
      <c r="BO150" s="147" t="str">
        <f t="shared" si="161"/>
        <v/>
      </c>
      <c r="BP150" s="148" t="str">
        <f t="shared" si="162"/>
        <v/>
      </c>
      <c r="BT150" s="50">
        <f t="shared" si="177"/>
        <v>127</v>
      </c>
      <c r="BU150" s="50" t="str">
        <f t="shared" si="180"/>
        <v>-</v>
      </c>
      <c r="BW150" s="333"/>
      <c r="BX150" s="333"/>
      <c r="BY150" s="333"/>
      <c r="BZ150" s="333"/>
      <c r="CA150" s="333"/>
      <c r="CB150" s="333"/>
      <c r="CC150" s="333"/>
      <c r="CD150" s="333"/>
      <c r="CE150" s="333"/>
      <c r="CF150" s="333"/>
      <c r="CG150" s="354">
        <f t="shared" si="107"/>
        <v>127</v>
      </c>
      <c r="CH150" s="613">
        <f t="shared" si="108"/>
        <v>0</v>
      </c>
      <c r="CI150" s="613">
        <f t="shared" si="109"/>
        <v>0</v>
      </c>
      <c r="CJ150" s="614" t="str">
        <f t="shared" si="110"/>
        <v/>
      </c>
      <c r="CK150" s="615" t="str">
        <f t="shared" si="111"/>
        <v/>
      </c>
      <c r="CL150" s="610" t="str">
        <f>IF(ISBLANK(H150),"",IF(AND(ISNUMBER(F150),ISNUMBER(G150),ISNUMBER(H150)),ROUND(F150/(H150*G150),2),ROUND(F150/(VALUE(LEFT(H150,SUM(LEN(H150)-LEN(SUBSTITUTE(H150,{"0","1","2","3","4","5","6","7","8","9","."},"")))))*G150),2)))</f>
        <v/>
      </c>
      <c r="CM150" s="616" t="str">
        <f t="shared" si="163"/>
        <v/>
      </c>
      <c r="CN150" s="616" t="str">
        <f>IF(ISNUMBER(P150),MAX('Adjustment factors'!$S$16,(0.2+0.8*P150)),IF(ISTEXT(N150),VLOOKUP(N150,Afactors,2,FALSE),""))</f>
        <v/>
      </c>
      <c r="CO150" s="616" t="str">
        <f>IF(ISNUMBER(S150),MAX('Adjustment factors'!$S$16,0.2+0.8*S150),IF(ISTEXT(Q150),VLOOKUP(Q150,Afactors,2,FALSE),""))</f>
        <v/>
      </c>
      <c r="CP150" s="611" t="str">
        <f t="shared" si="139"/>
        <v/>
      </c>
      <c r="CQ150" s="612" t="str">
        <f t="shared" si="140"/>
        <v/>
      </c>
      <c r="CR150" s="340"/>
      <c r="CS150" s="340"/>
      <c r="CT150" s="340"/>
      <c r="CU150" s="340"/>
      <c r="CV150" s="333"/>
      <c r="CW150" s="333"/>
      <c r="CX150" s="333"/>
      <c r="CY150" s="333"/>
      <c r="DA150" s="313" t="str">
        <f t="shared" si="112"/>
        <v>OK</v>
      </c>
      <c r="DB150" s="313" t="str">
        <f t="shared" si="113"/>
        <v>OK</v>
      </c>
      <c r="DC150" s="313" t="str">
        <f t="shared" si="114"/>
        <v>OK</v>
      </c>
      <c r="DD150" s="313" t="str">
        <f t="shared" si="115"/>
        <v>OK</v>
      </c>
      <c r="DE150" s="153" t="str">
        <f t="shared" si="116"/>
        <v>OK</v>
      </c>
      <c r="DF150" s="314" t="str">
        <f t="shared" si="117"/>
        <v>OK</v>
      </c>
      <c r="DG150" s="482" t="str">
        <f t="shared" si="141"/>
        <v>OK</v>
      </c>
      <c r="DH150" s="482" t="str">
        <f>IF(OR(AND(T150='Adjustment factors'!$R$28,'Class 3, 5-9'!U150='Adjustment factors'!$R$29),AND('Class 3, 5-9'!T150='Adjustment factors'!$R$29,'Class 3, 5-9'!U150='Adjustment factors'!$R$28)),"Invalid combination of adjustment factors",IF(AND(T150=U150,NOT(ISBLANK(T150)),NOT(ISBLANK(U150))),"Same colour factor selected twice","OK"))</f>
        <v>OK</v>
      </c>
      <c r="DI150" s="313" t="str">
        <f t="shared" si="118"/>
        <v>OK</v>
      </c>
      <c r="DJ150" s="153" t="str">
        <f t="shared" si="164"/>
        <v>OK</v>
      </c>
      <c r="DK150" s="153" t="str">
        <f t="shared" si="119"/>
        <v>OK</v>
      </c>
      <c r="DL150" s="313" t="str">
        <f t="shared" si="120"/>
        <v>OK</v>
      </c>
      <c r="DM150" s="153" t="str">
        <f t="shared" si="121"/>
        <v>OK</v>
      </c>
      <c r="DN150" s="153" t="str">
        <f t="shared" si="165"/>
        <v>OK</v>
      </c>
      <c r="DO150" s="154" t="str">
        <f t="shared" si="166"/>
        <v>OK</v>
      </c>
      <c r="DP150" s="153" t="str">
        <f t="shared" si="122"/>
        <v>OK</v>
      </c>
      <c r="DQ150" s="313" t="str">
        <f t="shared" si="123"/>
        <v>OK</v>
      </c>
      <c r="DR150" s="153" t="str">
        <f t="shared" si="167"/>
        <v>OK</v>
      </c>
      <c r="DS150" s="153" t="str">
        <f t="shared" si="124"/>
        <v>OK</v>
      </c>
      <c r="DT150" s="313" t="str">
        <f t="shared" si="182"/>
        <v>OK</v>
      </c>
      <c r="DU150" s="153" t="str">
        <f t="shared" si="125"/>
        <v>OK</v>
      </c>
      <c r="DV150" s="153" t="str">
        <f t="shared" si="168"/>
        <v>OK</v>
      </c>
      <c r="DW150" s="154" t="str">
        <f t="shared" si="169"/>
        <v>OK</v>
      </c>
      <c r="DX150" s="157">
        <f t="shared" si="170"/>
        <v>0</v>
      </c>
      <c r="DY150" s="156" t="str">
        <f t="shared" si="171"/>
        <v>OK</v>
      </c>
    </row>
    <row r="151" spans="1:129" ht="13" hidden="1" x14ac:dyDescent="0.3">
      <c r="A151" s="333"/>
      <c r="B151" s="333"/>
      <c r="C151" s="331" t="str">
        <f t="shared" si="181"/>
        <v>-</v>
      </c>
      <c r="D151" s="584">
        <f t="shared" si="176"/>
        <v>128</v>
      </c>
      <c r="E151" s="585"/>
      <c r="F151" s="586"/>
      <c r="G151" s="600"/>
      <c r="H151" s="587"/>
      <c r="I151" s="601"/>
      <c r="J151" s="585"/>
      <c r="K151" s="617"/>
      <c r="L151" s="602"/>
      <c r="M151" s="603"/>
      <c r="N151" s="588"/>
      <c r="O151" s="604"/>
      <c r="P151" s="605"/>
      <c r="Q151" s="588"/>
      <c r="R151" s="604"/>
      <c r="S151" s="605"/>
      <c r="T151" s="606"/>
      <c r="U151" s="606"/>
      <c r="V151" s="429" t="str">
        <f t="shared" si="178"/>
        <v/>
      </c>
      <c r="W151" s="430" t="str">
        <f t="shared" si="175"/>
        <v/>
      </c>
      <c r="X151" s="66" t="str">
        <f>IF(AND(ISNUMBER(P151),N151=FixedDim),MAX('Adjustment factors'!$S$16,0.2+0.8*P151),IF(ISTEXT(N151),VLOOKUP(N151,Afactors,2,TRUE),""))</f>
        <v/>
      </c>
      <c r="Y151" s="17" t="str">
        <f>IF(AND(ISNUMBER(S151),Q151=FixedDim),MAX('Adjustment factors'!$S$16,0.2+0.8*S151),IF(ISTEXT(Q151),VLOOKUP(Q151,Afactors,2,TRUE),""))</f>
        <v/>
      </c>
      <c r="Z151" s="297" t="str">
        <f>IF(ISBLANK(T151),"",VLOOKUP(T151,'Adjustment factors'!$R$27:$S$30,2,TRUE))</f>
        <v/>
      </c>
      <c r="AA151" s="297" t="str">
        <f>IF(ISBLANK(U151),"",VLOOKUP(U151,'Adjustment factors'!$R$27:$S$30,2,TRUE))</f>
        <v/>
      </c>
      <c r="AB151" s="480">
        <f t="shared" si="127"/>
        <v>1</v>
      </c>
      <c r="AC151" s="18" t="b">
        <f t="shared" si="81"/>
        <v>0</v>
      </c>
      <c r="AD151" s="18" t="b">
        <f t="shared" si="82"/>
        <v>0</v>
      </c>
      <c r="AE151" s="18" t="b">
        <f t="shared" si="172"/>
        <v>0</v>
      </c>
      <c r="AF151" s="17" t="str">
        <f t="shared" si="83"/>
        <v/>
      </c>
      <c r="AG151" s="18" t="str">
        <f t="shared" si="84"/>
        <v/>
      </c>
      <c r="AH151" s="17" t="str">
        <f t="shared" si="173"/>
        <v/>
      </c>
      <c r="AI151" s="297" t="e">
        <f t="shared" si="129"/>
        <v>#VALUE!</v>
      </c>
      <c r="AJ151" s="79" t="e">
        <f t="shared" si="86"/>
        <v>#VALUE!</v>
      </c>
      <c r="AK151" s="17" t="str">
        <f t="shared" si="174"/>
        <v/>
      </c>
      <c r="AL151" s="80" t="e">
        <f t="shared" si="87"/>
        <v>#VALUE!</v>
      </c>
      <c r="AM151" s="139" t="b">
        <f t="shared" si="88"/>
        <v>1</v>
      </c>
      <c r="AN151" s="139" t="b">
        <f>AND(COUNTA(E151)&gt;0,ISNUMBER(F151),OR(COUNT(G151:H151)=0,COUNT(G151:H151)=2,AND(ISNUMBER(G151),ISNUMBER(VALUE(LEFT(H151,SUM(LEN(H151)-LEN(SUBSTITUTE(H151,{"0","1","2","3","4","5","6","7","8","9","."},"")))))))),ISNUMBER(I151),ISTEXT(J151))</f>
        <v>0</v>
      </c>
      <c r="AO151" s="19" t="b">
        <f t="shared" si="89"/>
        <v>0</v>
      </c>
      <c r="AP151" s="19" t="b">
        <f t="shared" si="90"/>
        <v>1</v>
      </c>
      <c r="AQ151" s="19" t="b">
        <f>IF(AND(COUNTBLANK(E151:J151)=6,OR(AN152:AN$523)),NOT(AN151))</f>
        <v>0</v>
      </c>
      <c r="AR151" s="19" t="str">
        <f t="shared" si="91"/>
        <v/>
      </c>
      <c r="AS151" s="19" t="b">
        <f t="shared" si="92"/>
        <v>1</v>
      </c>
      <c r="AT151" s="19" t="str">
        <f t="shared" si="93"/>
        <v/>
      </c>
      <c r="AU151" s="19" t="b">
        <f t="shared" si="94"/>
        <v>1</v>
      </c>
      <c r="AV151" s="140" t="str">
        <f t="shared" si="156"/>
        <v/>
      </c>
      <c r="AW151" s="19" t="str">
        <f t="shared" si="95"/>
        <v/>
      </c>
      <c r="AX151" s="81">
        <f t="shared" si="96"/>
        <v>0</v>
      </c>
      <c r="AY151" s="81" t="str">
        <f t="shared" si="97"/>
        <v/>
      </c>
      <c r="AZ151" s="307" t="str">
        <f t="shared" si="131"/>
        <v/>
      </c>
      <c r="BA151" s="281" t="str">
        <f t="shared" si="157"/>
        <v/>
      </c>
      <c r="BB151" s="281" t="str">
        <f t="shared" si="158"/>
        <v/>
      </c>
      <c r="BC151" s="953"/>
      <c r="BD151" s="955"/>
      <c r="BE151" s="219" t="str">
        <f t="shared" si="98"/>
        <v>n/a</v>
      </c>
      <c r="BF151" s="215" t="b">
        <f t="shared" si="99"/>
        <v>0</v>
      </c>
      <c r="BG151" s="145" t="b">
        <f t="shared" si="100"/>
        <v>0</v>
      </c>
      <c r="BH151" s="145" t="b">
        <f t="shared" si="101"/>
        <v>0</v>
      </c>
      <c r="BI151" s="216" t="b">
        <f t="shared" si="102"/>
        <v>0</v>
      </c>
      <c r="BJ151" s="215" t="b">
        <f t="shared" si="103"/>
        <v>0</v>
      </c>
      <c r="BK151" s="145" t="b">
        <f t="shared" si="104"/>
        <v>0</v>
      </c>
      <c r="BL151" s="216" t="b">
        <f t="shared" si="105"/>
        <v>0</v>
      </c>
      <c r="BM151" s="217" t="str">
        <f t="shared" si="159"/>
        <v/>
      </c>
      <c r="BN151" s="146" t="str">
        <f t="shared" si="160"/>
        <v/>
      </c>
      <c r="BO151" s="147" t="str">
        <f t="shared" si="161"/>
        <v/>
      </c>
      <c r="BP151" s="148" t="str">
        <f t="shared" si="162"/>
        <v/>
      </c>
      <c r="BT151" s="50">
        <f t="shared" si="177"/>
        <v>128</v>
      </c>
      <c r="BU151" s="50" t="str">
        <f t="shared" si="180"/>
        <v>-</v>
      </c>
      <c r="BW151" s="333"/>
      <c r="BX151" s="333"/>
      <c r="BY151" s="333"/>
      <c r="BZ151" s="333"/>
      <c r="CA151" s="333"/>
      <c r="CB151" s="333"/>
      <c r="CC151" s="333"/>
      <c r="CD151" s="333"/>
      <c r="CE151" s="333"/>
      <c r="CF151" s="333"/>
      <c r="CG151" s="354">
        <f t="shared" si="107"/>
        <v>128</v>
      </c>
      <c r="CH151" s="613">
        <f t="shared" si="108"/>
        <v>0</v>
      </c>
      <c r="CI151" s="613">
        <f t="shared" si="109"/>
        <v>0</v>
      </c>
      <c r="CJ151" s="614" t="str">
        <f t="shared" si="110"/>
        <v/>
      </c>
      <c r="CK151" s="615" t="str">
        <f t="shared" si="111"/>
        <v/>
      </c>
      <c r="CL151" s="610" t="str">
        <f>IF(ISBLANK(H151),"",IF(AND(ISNUMBER(F151),ISNUMBER(G151),ISNUMBER(H151)),ROUND(F151/(H151*G151),2),ROUND(F151/(VALUE(LEFT(H151,SUM(LEN(H151)-LEN(SUBSTITUTE(H151,{"0","1","2","3","4","5","6","7","8","9","."},"")))))*G151),2)))</f>
        <v/>
      </c>
      <c r="CM151" s="616" t="str">
        <f t="shared" si="163"/>
        <v/>
      </c>
      <c r="CN151" s="616" t="str">
        <f>IF(ISNUMBER(P151),MAX('Adjustment factors'!$S$16,(0.2+0.8*P151)),IF(ISTEXT(N151),VLOOKUP(N151,Afactors,2,FALSE),""))</f>
        <v/>
      </c>
      <c r="CO151" s="616" t="str">
        <f>IF(ISNUMBER(S151),MAX('Adjustment factors'!$S$16,0.2+0.8*S151),IF(ISTEXT(Q151),VLOOKUP(Q151,Afactors,2,FALSE),""))</f>
        <v/>
      </c>
      <c r="CP151" s="611" t="str">
        <f t="shared" si="139"/>
        <v/>
      </c>
      <c r="CQ151" s="612" t="str">
        <f t="shared" si="140"/>
        <v/>
      </c>
      <c r="CR151" s="340"/>
      <c r="CS151" s="340"/>
      <c r="CT151" s="340"/>
      <c r="CU151" s="340"/>
      <c r="CV151" s="333"/>
      <c r="CW151" s="333"/>
      <c r="CX151" s="333"/>
      <c r="CY151" s="333"/>
      <c r="DA151" s="313" t="str">
        <f t="shared" si="112"/>
        <v>OK</v>
      </c>
      <c r="DB151" s="313" t="str">
        <f t="shared" si="113"/>
        <v>OK</v>
      </c>
      <c r="DC151" s="313" t="str">
        <f t="shared" si="114"/>
        <v>OK</v>
      </c>
      <c r="DD151" s="313" t="str">
        <f t="shared" si="115"/>
        <v>OK</v>
      </c>
      <c r="DE151" s="153" t="str">
        <f t="shared" si="116"/>
        <v>OK</v>
      </c>
      <c r="DF151" s="314" t="str">
        <f t="shared" si="117"/>
        <v>OK</v>
      </c>
      <c r="DG151" s="482" t="str">
        <f t="shared" si="141"/>
        <v>OK</v>
      </c>
      <c r="DH151" s="482" t="str">
        <f>IF(OR(AND(T151='Adjustment factors'!$R$28,'Class 3, 5-9'!U151='Adjustment factors'!$R$29),AND('Class 3, 5-9'!T151='Adjustment factors'!$R$29,'Class 3, 5-9'!U151='Adjustment factors'!$R$28)),"Invalid combination of adjustment factors",IF(AND(T151=U151,NOT(ISBLANK(T151)),NOT(ISBLANK(U151))),"Same colour factor selected twice","OK"))</f>
        <v>OK</v>
      </c>
      <c r="DI151" s="313" t="str">
        <f t="shared" si="118"/>
        <v>OK</v>
      </c>
      <c r="DJ151" s="153" t="str">
        <f t="shared" si="164"/>
        <v>OK</v>
      </c>
      <c r="DK151" s="153" t="str">
        <f t="shared" si="119"/>
        <v>OK</v>
      </c>
      <c r="DL151" s="313" t="str">
        <f t="shared" si="120"/>
        <v>OK</v>
      </c>
      <c r="DM151" s="153" t="str">
        <f t="shared" si="121"/>
        <v>OK</v>
      </c>
      <c r="DN151" s="153" t="str">
        <f t="shared" si="165"/>
        <v>OK</v>
      </c>
      <c r="DO151" s="154" t="str">
        <f t="shared" si="166"/>
        <v>OK</v>
      </c>
      <c r="DP151" s="153" t="str">
        <f t="shared" si="122"/>
        <v>OK</v>
      </c>
      <c r="DQ151" s="313" t="str">
        <f t="shared" si="123"/>
        <v>OK</v>
      </c>
      <c r="DR151" s="153" t="str">
        <f t="shared" si="167"/>
        <v>OK</v>
      </c>
      <c r="DS151" s="153" t="str">
        <f t="shared" si="124"/>
        <v>OK</v>
      </c>
      <c r="DT151" s="313" t="str">
        <f t="shared" si="182"/>
        <v>OK</v>
      </c>
      <c r="DU151" s="153" t="str">
        <f t="shared" si="125"/>
        <v>OK</v>
      </c>
      <c r="DV151" s="153" t="str">
        <f t="shared" si="168"/>
        <v>OK</v>
      </c>
      <c r="DW151" s="154" t="str">
        <f t="shared" si="169"/>
        <v>OK</v>
      </c>
      <c r="DX151" s="157">
        <f t="shared" si="170"/>
        <v>0</v>
      </c>
      <c r="DY151" s="156" t="str">
        <f t="shared" si="171"/>
        <v>OK</v>
      </c>
    </row>
    <row r="152" spans="1:129" ht="13" hidden="1" x14ac:dyDescent="0.3">
      <c r="A152" s="333"/>
      <c r="B152" s="333"/>
      <c r="C152" s="331" t="str">
        <f t="shared" si="181"/>
        <v>-</v>
      </c>
      <c r="D152" s="584">
        <f t="shared" si="176"/>
        <v>129</v>
      </c>
      <c r="E152" s="585"/>
      <c r="F152" s="586"/>
      <c r="G152" s="600"/>
      <c r="H152" s="587"/>
      <c r="I152" s="601"/>
      <c r="J152" s="585"/>
      <c r="K152" s="617"/>
      <c r="L152" s="602"/>
      <c r="M152" s="603"/>
      <c r="N152" s="588"/>
      <c r="O152" s="604"/>
      <c r="P152" s="605"/>
      <c r="Q152" s="588"/>
      <c r="R152" s="604"/>
      <c r="S152" s="605"/>
      <c r="T152" s="606"/>
      <c r="U152" s="606"/>
      <c r="V152" s="429" t="str">
        <f t="shared" si="178"/>
        <v/>
      </c>
      <c r="W152" s="430" t="str">
        <f t="shared" si="175"/>
        <v/>
      </c>
      <c r="X152" s="66" t="str">
        <f>IF(AND(ISNUMBER(P152),N152=FixedDim),MAX('Adjustment factors'!$S$16,0.2+0.8*P152),IF(ISTEXT(N152),VLOOKUP(N152,Afactors,2,TRUE),""))</f>
        <v/>
      </c>
      <c r="Y152" s="17" t="str">
        <f>IF(AND(ISNUMBER(S152),Q152=FixedDim),MAX('Adjustment factors'!$S$16,0.2+0.8*S152),IF(ISTEXT(Q152),VLOOKUP(Q152,Afactors,2,TRUE),""))</f>
        <v/>
      </c>
      <c r="Z152" s="297" t="str">
        <f>IF(ISBLANK(T152),"",VLOOKUP(T152,'Adjustment factors'!$R$27:$S$30,2,TRUE))</f>
        <v/>
      </c>
      <c r="AA152" s="297" t="str">
        <f>IF(ISBLANK(U152),"",VLOOKUP(U152,'Adjustment factors'!$R$27:$S$30,2,TRUE))</f>
        <v/>
      </c>
      <c r="AB152" s="480">
        <f t="shared" si="127"/>
        <v>1</v>
      </c>
      <c r="AC152" s="18" t="b">
        <f t="shared" ref="AC152:AC215" si="183">OR(ISNUMBER(X152),ISNUMBER(Y152))</f>
        <v>0</v>
      </c>
      <c r="AD152" s="18" t="b">
        <f t="shared" ref="AD152:AD215" si="184">AND(ISNUMBER(X152),ISNUMBER(Y152))</f>
        <v>0</v>
      </c>
      <c r="AE152" s="18" t="b">
        <f t="shared" si="172"/>
        <v>0</v>
      </c>
      <c r="AF152" s="17" t="str">
        <f t="shared" ref="AF152:AF215" si="185">IF(OR(ISNUMBER(X152),ISNUMBER(Y152)),SMALL(X152:Y152,1),"")</f>
        <v/>
      </c>
      <c r="AG152" s="18" t="str">
        <f t="shared" ref="AG152:AG215" si="186">IF(AD152,SMALL(X152:Y152,2),"")</f>
        <v/>
      </c>
      <c r="AH152" s="17" t="str">
        <f t="shared" si="173"/>
        <v/>
      </c>
      <c r="AI152" s="297" t="e">
        <f t="shared" si="129"/>
        <v>#VALUE!</v>
      </c>
      <c r="AJ152" s="79" t="e">
        <f t="shared" ref="AJ152:AJ215" si="187">IF(AND(AC152,AE152,AR152),AI152/X152,IF(AE152,AI152,IF(AND(AC152,AR152),AI152/X152,IF(AND(NOT(AC152),NOT(AE152)),CK152/AB152,""))))</f>
        <v>#VALUE!</v>
      </c>
      <c r="AK152" s="17" t="str">
        <f t="shared" si="174"/>
        <v/>
      </c>
      <c r="AL152" s="80" t="e">
        <f t="shared" ref="AL152:AL215" si="188">IF(AND(AD152,AE152),IF(Q152=FixedDim,IF(ISNUMBER(S152),AI152/AK152,""),AI152/AK152),IF(AND(AD152,Q152=FixedDim,ISNUMBER(S152)),CK152/AK152,IF(AND(AD152,Q152=FixedDim,ISBLANK(S152)),"",CK152/(AK152*AB152))))</f>
        <v>#VALUE!</v>
      </c>
      <c r="AM152" s="139" t="b">
        <f t="shared" ref="AM152:AM215" si="189">OR(AND(NOT(ISBLANK(E152)),AN152),COUNTA(E152:J152)+COUNTA(N152:S152)=0)</f>
        <v>1</v>
      </c>
      <c r="AN152" s="139" t="b">
        <f>AND(COUNTA(E152)&gt;0,ISNUMBER(F152),OR(COUNT(G152:H152)=0,COUNT(G152:H152)=2,AND(ISNUMBER(G152),ISNUMBER(VALUE(LEFT(H152,SUM(LEN(H152)-LEN(SUBSTITUTE(H152,{"0","1","2","3","4","5","6","7","8","9","."},"")))))))),ISNUMBER(I152),ISTEXT(J152))</f>
        <v>0</v>
      </c>
      <c r="AO152" s="19" t="b">
        <f t="shared" ref="AO152:AO215" si="190">NOT(COUNTBLANK(E152:J152)=6)</f>
        <v>0</v>
      </c>
      <c r="AP152" s="19" t="b">
        <f t="shared" ref="AP152:AP215" si="191">COUNTBLANK(E152:J152)=6</f>
        <v>1</v>
      </c>
      <c r="AQ152" s="19" t="b">
        <f>IF(AND(COUNTBLANK(E152:J152)=6,OR(AN153:AN$523)),NOT(AN152))</f>
        <v>0</v>
      </c>
      <c r="AR152" s="19" t="str">
        <f t="shared" ref="AR152:AR215" si="192">IF(COUNTBLANK(N152)&lt;=0,OR(AND(VLOOKUP(N152,Afactors,3,TRUE),NOT(ISNUMBER(O152)),NOT(ISNUMBER(P152))),AND(N152=FixedDim,NOT(ISNUMBER(O152)),(ISNUMBER(P152))),AND(N152=ProgDim,NOT(ISNUMBER(P152)),(ISNUMBER(O152)),O152&gt;=0.75)),IF(AS152,"",FALSE))</f>
        <v/>
      </c>
      <c r="AS152" s="19" t="b">
        <f t="shared" ref="AS152:AS215" si="193">AND(ISBLANK(O152),ISBLANK(P152))</f>
        <v>1</v>
      </c>
      <c r="AT152" s="19" t="str">
        <f t="shared" ref="AT152:AT215" si="194">IF(COUNTBLANK(Q152)&lt;=0,OR(AND(VLOOKUP(Q152,Afactors,3,TRUE),NOT(ISNUMBER(R152)),NOT(ISNUMBER(S152))),AND(Q152=FixedDim,NOT(ISNUMBER(R152)),(ISNUMBER(S152))),AND(Q152=ProgDim,NOT(ISNUMBER(S152)),(ISNUMBER(R152)),R152&gt;=0.75)),IF(AU152,"",FALSE))</f>
        <v/>
      </c>
      <c r="AU152" s="19" t="b">
        <f t="shared" ref="AU152:AU215" si="195">AND(ISBLANK(R152),ISBLANK(S152))</f>
        <v>1</v>
      </c>
      <c r="AV152" s="140" t="str">
        <f t="shared" si="156"/>
        <v/>
      </c>
      <c r="AW152" s="19" t="str">
        <f t="shared" ref="AW152:AW215" si="196">IF(AND(AM152,AN152,AR152,AT152),BP152,"")</f>
        <v/>
      </c>
      <c r="AX152" s="81">
        <f t="shared" ref="AX152:AX215" si="197">I152</f>
        <v>0</v>
      </c>
      <c r="AY152" s="81" t="str">
        <f t="shared" ref="AY152:AY215" si="198">V152</f>
        <v/>
      </c>
      <c r="AZ152" s="307" t="str">
        <f t="shared" si="131"/>
        <v/>
      </c>
      <c r="BA152" s="281" t="str">
        <f t="shared" si="157"/>
        <v/>
      </c>
      <c r="BB152" s="281" t="str">
        <f t="shared" si="158"/>
        <v/>
      </c>
      <c r="BC152" s="953"/>
      <c r="BD152" s="955"/>
      <c r="BE152" s="219" t="str">
        <f t="shared" ref="BE152:BE215" si="199">IF(G152=0,"n/a",G152&gt;=2*PI()*(F152/PI())^0.5)</f>
        <v>n/a</v>
      </c>
      <c r="BF152" s="215" t="b">
        <f t="shared" ref="BF152:BF215" si="200">AND(AM152,AN152,I152&gt;CQ152,Passcheck,InputIssuesOne=0,TopInputsOKOne)</f>
        <v>0</v>
      </c>
      <c r="BG152" s="145" t="b">
        <f t="shared" ref="BG152:BG215" si="201">AND(AM152,AN152,AR152,AT152,I152&lt;=CQ152,Passcheck,InputIssuesOne=0,TopInputsOKOne)</f>
        <v>0</v>
      </c>
      <c r="BH152" s="145" t="b">
        <f t="shared" ref="BH152:BH215" si="202">AND(AM152,AN152,AR152,AT152,I152&gt;CQ152,FailCheck,InputIssuesOne=0,TopInputsOKOne)</f>
        <v>0</v>
      </c>
      <c r="BI152" s="216" t="b">
        <f t="shared" ref="BI152:BI215" si="203">AND(AM152,AN152,I152&lt;=CQ152,InputIssuesOne=0,TopInputsOKOne)</f>
        <v>0</v>
      </c>
      <c r="BJ152" s="215" t="b">
        <f t="shared" ref="BJ152:BJ215" si="204">AND(AM152,AN152,AR152,AT152,Passcheck,InputIssuesOne=0,TopInputsOKOne)</f>
        <v>0</v>
      </c>
      <c r="BK152" s="145" t="b">
        <f t="shared" ref="BK152:BK215" si="205">AND(AM152,AN152,AR152,AT152,FailCheck,InputIssuesOne=0,TopInputsOKOne)</f>
        <v>0</v>
      </c>
      <c r="BL152" s="216" t="b">
        <f t="shared" ref="BL152:BL215" si="206">DX152&gt;0</f>
        <v>0</v>
      </c>
      <c r="BM152" s="217" t="str">
        <f t="shared" si="159"/>
        <v/>
      </c>
      <c r="BN152" s="146" t="str">
        <f t="shared" si="160"/>
        <v/>
      </c>
      <c r="BO152" s="147" t="str">
        <f t="shared" si="161"/>
        <v/>
      </c>
      <c r="BP152" s="148" t="str">
        <f t="shared" si="162"/>
        <v/>
      </c>
      <c r="BT152" s="50">
        <f t="shared" si="177"/>
        <v>129</v>
      </c>
      <c r="BU152" s="50" t="str">
        <f t="shared" si="180"/>
        <v>-</v>
      </c>
      <c r="BW152" s="333"/>
      <c r="BX152" s="333"/>
      <c r="BY152" s="333"/>
      <c r="BZ152" s="333"/>
      <c r="CA152" s="333"/>
      <c r="CB152" s="333"/>
      <c r="CC152" s="333"/>
      <c r="CD152" s="333"/>
      <c r="CE152" s="333"/>
      <c r="CF152" s="333"/>
      <c r="CG152" s="354">
        <f t="shared" ref="CG152:CG215" si="207">D152</f>
        <v>129</v>
      </c>
      <c r="CH152" s="613">
        <f t="shared" ref="CH152:CH215" si="208">E152</f>
        <v>0</v>
      </c>
      <c r="CI152" s="613">
        <f t="shared" ref="CI152:CI215" si="209">J152</f>
        <v>0</v>
      </c>
      <c r="CJ152" s="614" t="str">
        <f t="shared" ref="CJ152:CJ215" si="210">IF(ISBLANK(J152),"",VLOOKUP(J152,SpaceS1,5,FALSE))</f>
        <v/>
      </c>
      <c r="CK152" s="615" t="str">
        <f t="shared" ref="CK152:CK215" si="211">IF(ISBLANK(J152),"",ROUND(VLOOKUP(J152,SpaceS1,5,FALSE)*F152,0))</f>
        <v/>
      </c>
      <c r="CL152" s="610" t="str">
        <f>IF(ISBLANK(H152),"",IF(AND(ISNUMBER(F152),ISNUMBER(G152),ISNUMBER(H152)),ROUND(F152/(H152*G152),2),ROUND(F152/(VALUE(LEFT(H152,SUM(LEN(H152)-LEN(SUBSTITUTE(H152,{"0","1","2","3","4","5","6","7","8","9","."},"")))))*G152),2)))</f>
        <v/>
      </c>
      <c r="CM152" s="616" t="str">
        <f t="shared" si="163"/>
        <v/>
      </c>
      <c r="CN152" s="616" t="str">
        <f>IF(ISNUMBER(P152),MAX('Adjustment factors'!$S$16,(0.2+0.8*P152)),IF(ISTEXT(N152),VLOOKUP(N152,Afactors,2,FALSE),""))</f>
        <v/>
      </c>
      <c r="CO152" s="616" t="str">
        <f>IF(ISNUMBER(S152),MAX('Adjustment factors'!$S$16,0.2+0.8*S152),IF(ISTEXT(Q152),VLOOKUP(Q152,Afactors,2,FALSE),""))</f>
        <v/>
      </c>
      <c r="CP152" s="611" t="str">
        <f t="shared" si="139"/>
        <v/>
      </c>
      <c r="CQ152" s="612" t="str">
        <f t="shared" si="140"/>
        <v/>
      </c>
      <c r="CR152" s="340"/>
      <c r="CS152" s="340"/>
      <c r="CT152" s="340"/>
      <c r="CU152" s="340"/>
      <c r="CV152" s="333"/>
      <c r="CW152" s="333"/>
      <c r="CX152" s="333"/>
      <c r="CY152" s="333"/>
      <c r="DA152" s="313" t="str">
        <f t="shared" ref="DA152:DA215" si="212">IF(AND(COUNTA(DescriptionOne,ClassificationOne)=2,ISBLANK(E152),COUNTA(F152:J152)+COUNTA(N152:S152)&gt;0),"Enter Description","OK")</f>
        <v>OK</v>
      </c>
      <c r="DB152" s="313" t="str">
        <f t="shared" ref="DB152:DB215" si="213">IF(AND(COUNTA(DescriptionOne,ClassificationOne)=2,COUNTA(E152:J152)+COUNTA(N152:S152)&gt;0,ISBLANK(F152)),"Enter Floor area of the space","OK")</f>
        <v>OK</v>
      </c>
      <c r="DC152" s="313" t="str">
        <f t="shared" ref="DC152:DC215" si="214">IF(AND(COUNTA(DescriptionOne,ClassificationOne)=2,COUNTA(E152:J152)+COUNTA(N152:S152)&gt;0,ISBLANK(G152),H152&gt;0),"Enter Perimeter or clear height","OK")</f>
        <v>OK</v>
      </c>
      <c r="DD152" s="313" t="str">
        <f t="shared" ref="DD152:DD215" si="215">IF(AND(COUNTA(DescriptionOne,ClassificationOne)=2,COUNTA(E152:J152)+COUNTA(N152:S152)&gt;0,G152&gt;0,ISBLANK(H152)),"Enter Floor to ceiling height","OK")</f>
        <v>OK</v>
      </c>
      <c r="DE152" s="153" t="str">
        <f t="shared" ref="DE152:DE215" si="216">IF(AND(COUNTA(DescriptionOne,ClassificationOne)=2,COUNTA(E152:H152)&gt;1,ISBLANK(I152)),"Enter Design Illumination Power","OK")</f>
        <v>OK</v>
      </c>
      <c r="DF152" s="314" t="str">
        <f t="shared" ref="DF152:DF215" si="217">IF(AND(COUNTA(DescriptionOne,ClassificationOne)=2,COUNTA(E152:J152)+COUNTA(N152:S152)&gt;0,ISBLANK(J152)),"Enter Space","OK")</f>
        <v>OK</v>
      </c>
      <c r="DG152" s="482" t="str">
        <f t="shared" si="141"/>
        <v>OK</v>
      </c>
      <c r="DH152" s="482" t="str">
        <f>IF(OR(AND(T152='Adjustment factors'!$R$28,'Class 3, 5-9'!U152='Adjustment factors'!$R$29),AND('Class 3, 5-9'!T152='Adjustment factors'!$R$29,'Class 3, 5-9'!U152='Adjustment factors'!$R$28)),"Invalid combination of adjustment factors",IF(AND(T152=U152,NOT(ISBLANK(T152)),NOT(ISBLANK(U152))),"Same colour factor selected twice","OK"))</f>
        <v>OK</v>
      </c>
      <c r="DI152" s="313" t="str">
        <f t="shared" ref="DI152:DI215" si="218">IF(AND(COUNTA(DescriptionOne,ClassificationOne)=2,COUNTA(E152:J152)+COUNTA(N152:S152)&gt;0,OR(N152=ProgDim),ISBLANK(O152)),"Enter % of floor area controlled","OK")</f>
        <v>OK</v>
      </c>
      <c r="DJ152" s="153" t="str">
        <f t="shared" si="164"/>
        <v>OK</v>
      </c>
      <c r="DK152" s="153" t="str">
        <f t="shared" ref="DK152:DK215" si="219">IF(AND(COUNTA(O152)&gt;0, NOT(OR(N152=ProgDim))), "Adjustment factor is missing", "OK")</f>
        <v>OK</v>
      </c>
      <c r="DL152" s="313" t="str">
        <f t="shared" ref="DL152:DL215" si="220">IF(AND(ISNUMBER(P152),N152&lt;&gt;FixedDim),"Illuminance turndown is only valid for Fixed Dimming","OK")</f>
        <v>OK</v>
      </c>
      <c r="DM152" s="153" t="str">
        <f t="shared" ref="DM152:DM215" si="221">IF(AND(NOT(ISNUMBER(P152)),N152=FixedDim),"Enter an illuminance factor","OK")</f>
        <v>OK</v>
      </c>
      <c r="DN152" s="153" t="str">
        <f t="shared" si="165"/>
        <v>OK</v>
      </c>
      <c r="DO152" s="154" t="str">
        <f t="shared" si="166"/>
        <v>OK</v>
      </c>
      <c r="DP152" s="153" t="str">
        <f t="shared" ref="DP152:DP215" si="222">IF(AND(ISTEXT(Q152),NOT(ISTEXT(N152))),"Adjustment Factor 1 is missing","OK")</f>
        <v>OK</v>
      </c>
      <c r="DQ152" s="313" t="str">
        <f t="shared" ref="DQ152:DQ215" si="223">IF(AND(COUNTA(DescriptionOne,ClassificationOne)=2,COUNTA(E152:J152)+COUNTA(N152:S152)&gt;0,OR(Q152=ProgDim),ISBLANK(R152)),"Enter % of floor area controlled","OK")</f>
        <v>OK</v>
      </c>
      <c r="DR152" s="153" t="str">
        <f t="shared" si="167"/>
        <v>OK</v>
      </c>
      <c r="DS152" s="153" t="str">
        <f t="shared" ref="DS152:DS215" si="224">IF(AND(COUNTA(R152)&gt;0, NOT(OR(Q152=ProgDim))), "Adjustment factor is missing", "OK")</f>
        <v>OK</v>
      </c>
      <c r="DT152" s="313" t="str">
        <f t="shared" si="182"/>
        <v>OK</v>
      </c>
      <c r="DU152" s="153" t="str">
        <f t="shared" ref="DU152:DU215" si="225">IF(AND(NOT(ISNUMBER(S152)),Q152=FixedDim),"Enter an illuminance factor","OK")</f>
        <v>OK</v>
      </c>
      <c r="DV152" s="153" t="str">
        <f t="shared" si="168"/>
        <v>OK</v>
      </c>
      <c r="DW152" s="154" t="str">
        <f t="shared" si="169"/>
        <v>OK</v>
      </c>
      <c r="DX152" s="157">
        <f t="shared" si="170"/>
        <v>0</v>
      </c>
      <c r="DY152" s="156" t="str">
        <f t="shared" si="171"/>
        <v>OK</v>
      </c>
    </row>
    <row r="153" spans="1:129" ht="13" hidden="1" x14ac:dyDescent="0.3">
      <c r="A153" s="333"/>
      <c r="B153" s="333"/>
      <c r="C153" s="331" t="str">
        <f t="shared" si="181"/>
        <v>-</v>
      </c>
      <c r="D153" s="584">
        <f t="shared" si="176"/>
        <v>130</v>
      </c>
      <c r="E153" s="585"/>
      <c r="F153" s="586"/>
      <c r="G153" s="600"/>
      <c r="H153" s="587"/>
      <c r="I153" s="601"/>
      <c r="J153" s="585"/>
      <c r="K153" s="617"/>
      <c r="L153" s="602"/>
      <c r="M153" s="603"/>
      <c r="N153" s="588"/>
      <c r="O153" s="604"/>
      <c r="P153" s="605"/>
      <c r="Q153" s="588"/>
      <c r="R153" s="604"/>
      <c r="S153" s="605"/>
      <c r="T153" s="606"/>
      <c r="U153" s="606"/>
      <c r="V153" s="429" t="str">
        <f t="shared" si="178"/>
        <v/>
      </c>
      <c r="W153" s="430" t="str">
        <f t="shared" si="175"/>
        <v/>
      </c>
      <c r="X153" s="66" t="str">
        <f>IF(AND(ISNUMBER(P153),N153=FixedDim),MAX('Adjustment factors'!$S$16,0.2+0.8*P153),IF(ISTEXT(N153),VLOOKUP(N153,Afactors,2,TRUE),""))</f>
        <v/>
      </c>
      <c r="Y153" s="17" t="str">
        <f>IF(AND(ISNUMBER(S153),Q153=FixedDim),MAX('Adjustment factors'!$S$16,0.2+0.8*S153),IF(ISTEXT(Q153),VLOOKUP(Q153,Afactors,2,TRUE),""))</f>
        <v/>
      </c>
      <c r="Z153" s="297" t="str">
        <f>IF(ISBLANK(T153),"",VLOOKUP(T153,'Adjustment factors'!$R$27:$S$30,2,TRUE))</f>
        <v/>
      </c>
      <c r="AA153" s="297" t="str">
        <f>IF(ISBLANK(U153),"",VLOOKUP(U153,'Adjustment factors'!$R$27:$S$30,2,TRUE))</f>
        <v/>
      </c>
      <c r="AB153" s="480">
        <f t="shared" ref="AB153:AB216" si="226">IF(Z153="",1,IF(AA153="",Z153,Z153*AA153))</f>
        <v>1</v>
      </c>
      <c r="AC153" s="18" t="b">
        <f t="shared" si="183"/>
        <v>0</v>
      </c>
      <c r="AD153" s="18" t="b">
        <f t="shared" si="184"/>
        <v>0</v>
      </c>
      <c r="AE153" s="18" t="b">
        <f t="shared" si="172"/>
        <v>0</v>
      </c>
      <c r="AF153" s="17" t="str">
        <f t="shared" si="185"/>
        <v/>
      </c>
      <c r="AG153" s="18" t="str">
        <f t="shared" si="186"/>
        <v/>
      </c>
      <c r="AH153" s="17" t="str">
        <f t="shared" si="173"/>
        <v/>
      </c>
      <c r="AI153" s="297" t="e">
        <f t="shared" ref="AI153:AI216" si="227">IF(AND(ISNUMBER(AB153),ISNUMBER(AH153)),AH153/AB153,CK153/AB153)</f>
        <v>#VALUE!</v>
      </c>
      <c r="AJ153" s="79" t="e">
        <f t="shared" si="187"/>
        <v>#VALUE!</v>
      </c>
      <c r="AK153" s="17" t="str">
        <f t="shared" si="174"/>
        <v/>
      </c>
      <c r="AL153" s="80" t="e">
        <f t="shared" si="188"/>
        <v>#VALUE!</v>
      </c>
      <c r="AM153" s="139" t="b">
        <f t="shared" si="189"/>
        <v>1</v>
      </c>
      <c r="AN153" s="139" t="b">
        <f>AND(COUNTA(E153)&gt;0,ISNUMBER(F153),OR(COUNT(G153:H153)=0,COUNT(G153:H153)=2,AND(ISNUMBER(G153),ISNUMBER(VALUE(LEFT(H153,SUM(LEN(H153)-LEN(SUBSTITUTE(H153,{"0","1","2","3","4","5","6","7","8","9","."},"")))))))),ISNUMBER(I153),ISTEXT(J153))</f>
        <v>0</v>
      </c>
      <c r="AO153" s="19" t="b">
        <f t="shared" si="190"/>
        <v>0</v>
      </c>
      <c r="AP153" s="19" t="b">
        <f t="shared" si="191"/>
        <v>1</v>
      </c>
      <c r="AQ153" s="19" t="b">
        <f>IF(AND(COUNTBLANK(E153:J153)=6,OR(AN154:AN$523)),NOT(AN153))</f>
        <v>0</v>
      </c>
      <c r="AR153" s="19" t="str">
        <f t="shared" si="192"/>
        <v/>
      </c>
      <c r="AS153" s="19" t="b">
        <f t="shared" si="193"/>
        <v>1</v>
      </c>
      <c r="AT153" s="19" t="str">
        <f t="shared" si="194"/>
        <v/>
      </c>
      <c r="AU153" s="19" t="b">
        <f t="shared" si="195"/>
        <v>1</v>
      </c>
      <c r="AV153" s="140" t="str">
        <f t="shared" si="156"/>
        <v/>
      </c>
      <c r="AW153" s="19" t="str">
        <f t="shared" si="196"/>
        <v/>
      </c>
      <c r="AX153" s="81">
        <f t="shared" si="197"/>
        <v>0</v>
      </c>
      <c r="AY153" s="81" t="str">
        <f t="shared" si="198"/>
        <v/>
      </c>
      <c r="AZ153" s="307" t="str">
        <f t="shared" ref="AZ153:AZ216" si="228">IF(DA153&lt;&gt;"OK",DA153,IF(DB153&lt;&gt;"OK",DB153,IF(DC153&lt;&gt;"OK",DC153,IF(DD153&lt;&gt;"OK",DD153,IF(DE153&lt;&gt;"OK",DE153,IF(DF153&lt;&gt;"OK",DF153,IF(DG153&lt;&gt;"OK",DG153,IF(DH153&lt;&gt;"OK",DH153,BA153))))))))</f>
        <v/>
      </c>
      <c r="BA153" s="281" t="str">
        <f t="shared" si="157"/>
        <v/>
      </c>
      <c r="BB153" s="281" t="str">
        <f t="shared" si="158"/>
        <v/>
      </c>
      <c r="BC153" s="953"/>
      <c r="BD153" s="955"/>
      <c r="BE153" s="219" t="str">
        <f t="shared" si="199"/>
        <v>n/a</v>
      </c>
      <c r="BF153" s="215" t="b">
        <f t="shared" si="200"/>
        <v>0</v>
      </c>
      <c r="BG153" s="145" t="b">
        <f t="shared" si="201"/>
        <v>0</v>
      </c>
      <c r="BH153" s="145" t="b">
        <f t="shared" si="202"/>
        <v>0</v>
      </c>
      <c r="BI153" s="216" t="b">
        <f t="shared" si="203"/>
        <v>0</v>
      </c>
      <c r="BJ153" s="215" t="b">
        <f t="shared" si="204"/>
        <v>0</v>
      </c>
      <c r="BK153" s="145" t="b">
        <f t="shared" si="205"/>
        <v>0</v>
      </c>
      <c r="BL153" s="216" t="b">
        <f t="shared" si="206"/>
        <v>0</v>
      </c>
      <c r="BM153" s="217" t="str">
        <f t="shared" si="159"/>
        <v/>
      </c>
      <c r="BN153" s="146" t="str">
        <f t="shared" si="160"/>
        <v/>
      </c>
      <c r="BO153" s="147" t="str">
        <f t="shared" si="161"/>
        <v/>
      </c>
      <c r="BP153" s="148" t="str">
        <f t="shared" si="162"/>
        <v/>
      </c>
      <c r="BT153" s="50">
        <f t="shared" si="177"/>
        <v>130</v>
      </c>
      <c r="BU153" s="50" t="str">
        <f t="shared" si="180"/>
        <v>-</v>
      </c>
      <c r="BW153" s="333"/>
      <c r="BX153" s="333"/>
      <c r="BY153" s="333"/>
      <c r="BZ153" s="333"/>
      <c r="CA153" s="333"/>
      <c r="CB153" s="333"/>
      <c r="CC153" s="333"/>
      <c r="CD153" s="333"/>
      <c r="CE153" s="333"/>
      <c r="CF153" s="333"/>
      <c r="CG153" s="354">
        <f t="shared" si="207"/>
        <v>130</v>
      </c>
      <c r="CH153" s="613">
        <f t="shared" si="208"/>
        <v>0</v>
      </c>
      <c r="CI153" s="613">
        <f t="shared" si="209"/>
        <v>0</v>
      </c>
      <c r="CJ153" s="614" t="str">
        <f t="shared" si="210"/>
        <v/>
      </c>
      <c r="CK153" s="615" t="str">
        <f t="shared" si="211"/>
        <v/>
      </c>
      <c r="CL153" s="610" t="str">
        <f>IF(ISBLANK(H153),"",IF(AND(ISNUMBER(F153),ISNUMBER(G153),ISNUMBER(H153)),ROUND(F153/(H153*G153),2),ROUND(F153/(VALUE(LEFT(H153,SUM(LEN(H153)-LEN(SUBSTITUTE(H153,{"0","1","2","3","4","5","6","7","8","9","."},"")))))*G153),2)))</f>
        <v/>
      </c>
      <c r="CM153" s="616" t="str">
        <f t="shared" si="163"/>
        <v/>
      </c>
      <c r="CN153" s="616" t="str">
        <f>IF(ISNUMBER(P153),MAX('Adjustment factors'!$S$16,(0.2+0.8*P153)),IF(ISTEXT(N153),VLOOKUP(N153,Afactors,2,FALSE),""))</f>
        <v/>
      </c>
      <c r="CO153" s="616" t="str">
        <f>IF(ISNUMBER(S153),MAX('Adjustment factors'!$S$16,0.2+0.8*S153),IF(ISTEXT(Q153),VLOOKUP(Q153,Afactors,2,FALSE),""))</f>
        <v/>
      </c>
      <c r="CP153" s="611" t="str">
        <f t="shared" ref="CP153:CP216" si="229">IF(AB153&lt;&gt;1,AB153,"")</f>
        <v/>
      </c>
      <c r="CQ153" s="612" t="str">
        <f t="shared" ref="CQ153:CQ216" si="230">IFERROR(IF(AO153=TRUE,IF(ISNUMBER(AG153),ROUND(AL153,0),ROUND(AJ153,0)),""),"")</f>
        <v/>
      </c>
      <c r="CR153" s="340"/>
      <c r="CS153" s="340"/>
      <c r="CT153" s="340"/>
      <c r="CU153" s="340"/>
      <c r="CV153" s="333"/>
      <c r="CW153" s="333"/>
      <c r="CX153" s="333"/>
      <c r="CY153" s="333"/>
      <c r="DA153" s="313" t="str">
        <f t="shared" si="212"/>
        <v>OK</v>
      </c>
      <c r="DB153" s="313" t="str">
        <f t="shared" si="213"/>
        <v>OK</v>
      </c>
      <c r="DC153" s="313" t="str">
        <f t="shared" si="214"/>
        <v>OK</v>
      </c>
      <c r="DD153" s="313" t="str">
        <f t="shared" si="215"/>
        <v>OK</v>
      </c>
      <c r="DE153" s="153" t="str">
        <f t="shared" si="216"/>
        <v>OK</v>
      </c>
      <c r="DF153" s="314" t="str">
        <f t="shared" si="217"/>
        <v>OK</v>
      </c>
      <c r="DG153" s="482" t="str">
        <f t="shared" ref="DG153:DG216" si="231">IF(AND(COUNTBLANK(T153)=1,COUNTBLANK(U153)=0),"Second Colour Factor entered without First","OK")</f>
        <v>OK</v>
      </c>
      <c r="DH153" s="482" t="str">
        <f>IF(OR(AND(T153='Adjustment factors'!$R$28,'Class 3, 5-9'!U153='Adjustment factors'!$R$29),AND('Class 3, 5-9'!T153='Adjustment factors'!$R$29,'Class 3, 5-9'!U153='Adjustment factors'!$R$28)),"Invalid combination of adjustment factors",IF(AND(T153=U153,NOT(ISBLANK(T153)),NOT(ISBLANK(U153))),"Same colour factor selected twice","OK"))</f>
        <v>OK</v>
      </c>
      <c r="DI153" s="313" t="str">
        <f t="shared" si="218"/>
        <v>OK</v>
      </c>
      <c r="DJ153" s="153" t="str">
        <f t="shared" si="164"/>
        <v>OK</v>
      </c>
      <c r="DK153" s="153" t="str">
        <f t="shared" si="219"/>
        <v>OK</v>
      </c>
      <c r="DL153" s="313" t="str">
        <f t="shared" si="220"/>
        <v>OK</v>
      </c>
      <c r="DM153" s="153" t="str">
        <f t="shared" si="221"/>
        <v>OK</v>
      </c>
      <c r="DN153" s="153" t="str">
        <f t="shared" si="165"/>
        <v>OK</v>
      </c>
      <c r="DO153" s="154" t="str">
        <f t="shared" si="166"/>
        <v>OK</v>
      </c>
      <c r="DP153" s="153" t="str">
        <f t="shared" si="222"/>
        <v>OK</v>
      </c>
      <c r="DQ153" s="313" t="str">
        <f t="shared" si="223"/>
        <v>OK</v>
      </c>
      <c r="DR153" s="153" t="str">
        <f t="shared" si="167"/>
        <v>OK</v>
      </c>
      <c r="DS153" s="153" t="str">
        <f t="shared" si="224"/>
        <v>OK</v>
      </c>
      <c r="DT153" s="313" t="str">
        <f t="shared" si="182"/>
        <v>OK</v>
      </c>
      <c r="DU153" s="153" t="str">
        <f t="shared" si="225"/>
        <v>OK</v>
      </c>
      <c r="DV153" s="153" t="str">
        <f t="shared" si="168"/>
        <v>OK</v>
      </c>
      <c r="DW153" s="154" t="str">
        <f t="shared" si="169"/>
        <v>OK</v>
      </c>
      <c r="DX153" s="157">
        <f t="shared" si="170"/>
        <v>0</v>
      </c>
      <c r="DY153" s="156" t="str">
        <f t="shared" si="171"/>
        <v>OK</v>
      </c>
    </row>
    <row r="154" spans="1:129" ht="13" hidden="1" x14ac:dyDescent="0.3">
      <c r="A154" s="333"/>
      <c r="B154" s="333"/>
      <c r="C154" s="331" t="str">
        <f t="shared" si="181"/>
        <v>-</v>
      </c>
      <c r="D154" s="584">
        <f t="shared" si="176"/>
        <v>131</v>
      </c>
      <c r="E154" s="585"/>
      <c r="F154" s="586"/>
      <c r="G154" s="600"/>
      <c r="H154" s="587"/>
      <c r="I154" s="601"/>
      <c r="J154" s="585"/>
      <c r="K154" s="617"/>
      <c r="L154" s="602"/>
      <c r="M154" s="603"/>
      <c r="N154" s="588"/>
      <c r="O154" s="604"/>
      <c r="P154" s="605"/>
      <c r="Q154" s="588"/>
      <c r="R154" s="604"/>
      <c r="S154" s="605"/>
      <c r="T154" s="606"/>
      <c r="U154" s="606"/>
      <c r="V154" s="429" t="str">
        <f t="shared" si="178"/>
        <v/>
      </c>
      <c r="W154" s="430" t="str">
        <f t="shared" si="175"/>
        <v/>
      </c>
      <c r="X154" s="66" t="str">
        <f>IF(AND(ISNUMBER(P154),N154=FixedDim),MAX('Adjustment factors'!$S$16,0.2+0.8*P154),IF(ISTEXT(N154),VLOOKUP(N154,Afactors,2,TRUE),""))</f>
        <v/>
      </c>
      <c r="Y154" s="17" t="str">
        <f>IF(AND(ISNUMBER(S154),Q154=FixedDim),MAX('Adjustment factors'!$S$16,0.2+0.8*S154),IF(ISTEXT(Q154),VLOOKUP(Q154,Afactors,2,TRUE),""))</f>
        <v/>
      </c>
      <c r="Z154" s="297" t="str">
        <f>IF(ISBLANK(T154),"",VLOOKUP(T154,'Adjustment factors'!$R$27:$S$30,2,TRUE))</f>
        <v/>
      </c>
      <c r="AA154" s="297" t="str">
        <f>IF(ISBLANK(U154),"",VLOOKUP(U154,'Adjustment factors'!$R$27:$S$30,2,TRUE))</f>
        <v/>
      </c>
      <c r="AB154" s="480">
        <f t="shared" si="226"/>
        <v>1</v>
      </c>
      <c r="AC154" s="18" t="b">
        <f t="shared" si="183"/>
        <v>0</v>
      </c>
      <c r="AD154" s="18" t="b">
        <f t="shared" si="184"/>
        <v>0</v>
      </c>
      <c r="AE154" s="18" t="b">
        <f t="shared" si="172"/>
        <v>0</v>
      </c>
      <c r="AF154" s="17" t="str">
        <f t="shared" si="185"/>
        <v/>
      </c>
      <c r="AG154" s="18" t="str">
        <f t="shared" si="186"/>
        <v/>
      </c>
      <c r="AH154" s="17" t="str">
        <f t="shared" si="173"/>
        <v/>
      </c>
      <c r="AI154" s="297" t="e">
        <f t="shared" si="227"/>
        <v>#VALUE!</v>
      </c>
      <c r="AJ154" s="79" t="e">
        <f t="shared" si="187"/>
        <v>#VALUE!</v>
      </c>
      <c r="AK154" s="17" t="str">
        <f t="shared" si="174"/>
        <v/>
      </c>
      <c r="AL154" s="80" t="e">
        <f t="shared" si="188"/>
        <v>#VALUE!</v>
      </c>
      <c r="AM154" s="139" t="b">
        <f t="shared" si="189"/>
        <v>1</v>
      </c>
      <c r="AN154" s="139" t="b">
        <f>AND(COUNTA(E154)&gt;0,ISNUMBER(F154),OR(COUNT(G154:H154)=0,COUNT(G154:H154)=2,AND(ISNUMBER(G154),ISNUMBER(VALUE(LEFT(H154,SUM(LEN(H154)-LEN(SUBSTITUTE(H154,{"0","1","2","3","4","5","6","7","8","9","."},"")))))))),ISNUMBER(I154),ISTEXT(J154))</f>
        <v>0</v>
      </c>
      <c r="AO154" s="19" t="b">
        <f t="shared" si="190"/>
        <v>0</v>
      </c>
      <c r="AP154" s="19" t="b">
        <f t="shared" si="191"/>
        <v>1</v>
      </c>
      <c r="AQ154" s="19" t="b">
        <f>IF(AND(COUNTBLANK(E154:J154)=6,OR(AN155:AN$523)),NOT(AN154))</f>
        <v>0</v>
      </c>
      <c r="AR154" s="19" t="str">
        <f t="shared" si="192"/>
        <v/>
      </c>
      <c r="AS154" s="19" t="b">
        <f t="shared" si="193"/>
        <v>1</v>
      </c>
      <c r="AT154" s="19" t="str">
        <f t="shared" si="194"/>
        <v/>
      </c>
      <c r="AU154" s="19" t="b">
        <f t="shared" si="195"/>
        <v>1</v>
      </c>
      <c r="AV154" s="140" t="str">
        <f t="shared" si="156"/>
        <v/>
      </c>
      <c r="AW154" s="19" t="str">
        <f t="shared" si="196"/>
        <v/>
      </c>
      <c r="AX154" s="81">
        <f t="shared" si="197"/>
        <v>0</v>
      </c>
      <c r="AY154" s="81" t="str">
        <f t="shared" si="198"/>
        <v/>
      </c>
      <c r="AZ154" s="307" t="str">
        <f t="shared" si="228"/>
        <v/>
      </c>
      <c r="BA154" s="281" t="str">
        <f t="shared" si="157"/>
        <v/>
      </c>
      <c r="BB154" s="281" t="str">
        <f t="shared" si="158"/>
        <v/>
      </c>
      <c r="BC154" s="953"/>
      <c r="BD154" s="955"/>
      <c r="BE154" s="219" t="str">
        <f t="shared" si="199"/>
        <v>n/a</v>
      </c>
      <c r="BF154" s="215" t="b">
        <f t="shared" si="200"/>
        <v>0</v>
      </c>
      <c r="BG154" s="145" t="b">
        <f t="shared" si="201"/>
        <v>0</v>
      </c>
      <c r="BH154" s="145" t="b">
        <f t="shared" si="202"/>
        <v>0</v>
      </c>
      <c r="BI154" s="216" t="b">
        <f t="shared" si="203"/>
        <v>0</v>
      </c>
      <c r="BJ154" s="215" t="b">
        <f t="shared" si="204"/>
        <v>0</v>
      </c>
      <c r="BK154" s="145" t="b">
        <f t="shared" si="205"/>
        <v>0</v>
      </c>
      <c r="BL154" s="216" t="b">
        <f t="shared" si="206"/>
        <v>0</v>
      </c>
      <c r="BM154" s="217" t="str">
        <f t="shared" si="159"/>
        <v/>
      </c>
      <c r="BN154" s="146" t="str">
        <f t="shared" si="160"/>
        <v/>
      </c>
      <c r="BO154" s="147" t="str">
        <f t="shared" si="161"/>
        <v/>
      </c>
      <c r="BP154" s="148" t="str">
        <f t="shared" si="162"/>
        <v/>
      </c>
      <c r="BT154" s="50">
        <f t="shared" si="177"/>
        <v>131</v>
      </c>
      <c r="BU154" s="50" t="str">
        <f t="shared" si="180"/>
        <v>-</v>
      </c>
      <c r="BW154" s="333"/>
      <c r="BX154" s="333"/>
      <c r="BY154" s="333"/>
      <c r="BZ154" s="333"/>
      <c r="CA154" s="333"/>
      <c r="CB154" s="333"/>
      <c r="CC154" s="333"/>
      <c r="CD154" s="333"/>
      <c r="CE154" s="333"/>
      <c r="CF154" s="333"/>
      <c r="CG154" s="354">
        <f t="shared" si="207"/>
        <v>131</v>
      </c>
      <c r="CH154" s="613">
        <f t="shared" si="208"/>
        <v>0</v>
      </c>
      <c r="CI154" s="613">
        <f t="shared" si="209"/>
        <v>0</v>
      </c>
      <c r="CJ154" s="614" t="str">
        <f t="shared" si="210"/>
        <v/>
      </c>
      <c r="CK154" s="615" t="str">
        <f t="shared" si="211"/>
        <v/>
      </c>
      <c r="CL154" s="610" t="str">
        <f>IF(ISBLANK(H154),"",IF(AND(ISNUMBER(F154),ISNUMBER(G154),ISNUMBER(H154)),ROUND(F154/(H154*G154),2),ROUND(F154/(VALUE(LEFT(H154,SUM(LEN(H154)-LEN(SUBSTITUTE(H154,{"0","1","2","3","4","5","6","7","8","9","."},"")))))*G154),2)))</f>
        <v/>
      </c>
      <c r="CM154" s="616" t="str">
        <f t="shared" si="163"/>
        <v/>
      </c>
      <c r="CN154" s="616" t="str">
        <f>IF(ISNUMBER(P154),MAX('Adjustment factors'!$S$16,(0.2+0.8*P154)),IF(ISTEXT(N154),VLOOKUP(N154,Afactors,2,FALSE),""))</f>
        <v/>
      </c>
      <c r="CO154" s="616" t="str">
        <f>IF(ISNUMBER(S154),MAX('Adjustment factors'!$S$16,0.2+0.8*S154),IF(ISTEXT(Q154),VLOOKUP(Q154,Afactors,2,FALSE),""))</f>
        <v/>
      </c>
      <c r="CP154" s="611" t="str">
        <f t="shared" si="229"/>
        <v/>
      </c>
      <c r="CQ154" s="612" t="str">
        <f t="shared" si="230"/>
        <v/>
      </c>
      <c r="CR154" s="340"/>
      <c r="CS154" s="340"/>
      <c r="CT154" s="340"/>
      <c r="CU154" s="340"/>
      <c r="CV154" s="333"/>
      <c r="CW154" s="333"/>
      <c r="CX154" s="333"/>
      <c r="CY154" s="333"/>
      <c r="DA154" s="313" t="str">
        <f t="shared" si="212"/>
        <v>OK</v>
      </c>
      <c r="DB154" s="313" t="str">
        <f t="shared" si="213"/>
        <v>OK</v>
      </c>
      <c r="DC154" s="313" t="str">
        <f t="shared" si="214"/>
        <v>OK</v>
      </c>
      <c r="DD154" s="313" t="str">
        <f t="shared" si="215"/>
        <v>OK</v>
      </c>
      <c r="DE154" s="153" t="str">
        <f t="shared" si="216"/>
        <v>OK</v>
      </c>
      <c r="DF154" s="314" t="str">
        <f t="shared" si="217"/>
        <v>OK</v>
      </c>
      <c r="DG154" s="482" t="str">
        <f t="shared" si="231"/>
        <v>OK</v>
      </c>
      <c r="DH154" s="482" t="str">
        <f>IF(OR(AND(T154='Adjustment factors'!$R$28,'Class 3, 5-9'!U154='Adjustment factors'!$R$29),AND('Class 3, 5-9'!T154='Adjustment factors'!$R$29,'Class 3, 5-9'!U154='Adjustment factors'!$R$28)),"Invalid combination of adjustment factors",IF(AND(T154=U154,NOT(ISBLANK(T154)),NOT(ISBLANK(U154))),"Same colour factor selected twice","OK"))</f>
        <v>OK</v>
      </c>
      <c r="DI154" s="313" t="str">
        <f t="shared" si="218"/>
        <v>OK</v>
      </c>
      <c r="DJ154" s="153" t="str">
        <f t="shared" si="164"/>
        <v>OK</v>
      </c>
      <c r="DK154" s="153" t="str">
        <f t="shared" si="219"/>
        <v>OK</v>
      </c>
      <c r="DL154" s="313" t="str">
        <f t="shared" si="220"/>
        <v>OK</v>
      </c>
      <c r="DM154" s="153" t="str">
        <f t="shared" si="221"/>
        <v>OK</v>
      </c>
      <c r="DN154" s="153" t="str">
        <f t="shared" si="165"/>
        <v>OK</v>
      </c>
      <c r="DO154" s="154" t="str">
        <f t="shared" si="166"/>
        <v>OK</v>
      </c>
      <c r="DP154" s="153" t="str">
        <f t="shared" si="222"/>
        <v>OK</v>
      </c>
      <c r="DQ154" s="313" t="str">
        <f t="shared" si="223"/>
        <v>OK</v>
      </c>
      <c r="DR154" s="153" t="str">
        <f t="shared" si="167"/>
        <v>OK</v>
      </c>
      <c r="DS154" s="153" t="str">
        <f t="shared" si="224"/>
        <v>OK</v>
      </c>
      <c r="DT154" s="313" t="str">
        <f t="shared" si="182"/>
        <v>OK</v>
      </c>
      <c r="DU154" s="153" t="str">
        <f t="shared" si="225"/>
        <v>OK</v>
      </c>
      <c r="DV154" s="153" t="str">
        <f t="shared" si="168"/>
        <v>OK</v>
      </c>
      <c r="DW154" s="154" t="str">
        <f t="shared" si="169"/>
        <v>OK</v>
      </c>
      <c r="DX154" s="157">
        <f t="shared" si="170"/>
        <v>0</v>
      </c>
      <c r="DY154" s="156" t="str">
        <f t="shared" si="171"/>
        <v>OK</v>
      </c>
    </row>
    <row r="155" spans="1:129" ht="13" hidden="1" x14ac:dyDescent="0.3">
      <c r="A155" s="333"/>
      <c r="B155" s="333"/>
      <c r="C155" s="331" t="str">
        <f t="shared" si="181"/>
        <v>-</v>
      </c>
      <c r="D155" s="584">
        <f t="shared" si="176"/>
        <v>132</v>
      </c>
      <c r="E155" s="585"/>
      <c r="F155" s="586"/>
      <c r="G155" s="600"/>
      <c r="H155" s="587"/>
      <c r="I155" s="601"/>
      <c r="J155" s="585"/>
      <c r="K155" s="617"/>
      <c r="L155" s="602"/>
      <c r="M155" s="603"/>
      <c r="N155" s="588"/>
      <c r="O155" s="604"/>
      <c r="P155" s="605"/>
      <c r="Q155" s="588"/>
      <c r="R155" s="604"/>
      <c r="S155" s="605"/>
      <c r="T155" s="606"/>
      <c r="U155" s="606"/>
      <c r="V155" s="429" t="str">
        <f t="shared" si="178"/>
        <v/>
      </c>
      <c r="W155" s="430" t="str">
        <f t="shared" si="175"/>
        <v/>
      </c>
      <c r="X155" s="66" t="str">
        <f>IF(AND(ISNUMBER(P155),N155=FixedDim),MAX('Adjustment factors'!$S$16,0.2+0.8*P155),IF(ISTEXT(N155),VLOOKUP(N155,Afactors,2,TRUE),""))</f>
        <v/>
      </c>
      <c r="Y155" s="17" t="str">
        <f>IF(AND(ISNUMBER(S155),Q155=FixedDim),MAX('Adjustment factors'!$S$16,0.2+0.8*S155),IF(ISTEXT(Q155),VLOOKUP(Q155,Afactors,2,TRUE),""))</f>
        <v/>
      </c>
      <c r="Z155" s="297" t="str">
        <f>IF(ISBLANK(T155),"",VLOOKUP(T155,'Adjustment factors'!$R$27:$S$30,2,TRUE))</f>
        <v/>
      </c>
      <c r="AA155" s="297" t="str">
        <f>IF(ISBLANK(U155),"",VLOOKUP(U155,'Adjustment factors'!$R$27:$S$30,2,TRUE))</f>
        <v/>
      </c>
      <c r="AB155" s="480">
        <f t="shared" si="226"/>
        <v>1</v>
      </c>
      <c r="AC155" s="18" t="b">
        <f t="shared" si="183"/>
        <v>0</v>
      </c>
      <c r="AD155" s="18" t="b">
        <f t="shared" si="184"/>
        <v>0</v>
      </c>
      <c r="AE155" s="18" t="b">
        <f t="shared" si="172"/>
        <v>0</v>
      </c>
      <c r="AF155" s="17" t="str">
        <f t="shared" si="185"/>
        <v/>
      </c>
      <c r="AG155" s="18" t="str">
        <f t="shared" si="186"/>
        <v/>
      </c>
      <c r="AH155" s="17" t="str">
        <f t="shared" si="173"/>
        <v/>
      </c>
      <c r="AI155" s="297" t="e">
        <f t="shared" si="227"/>
        <v>#VALUE!</v>
      </c>
      <c r="AJ155" s="79" t="e">
        <f t="shared" si="187"/>
        <v>#VALUE!</v>
      </c>
      <c r="AK155" s="17" t="str">
        <f t="shared" si="174"/>
        <v/>
      </c>
      <c r="AL155" s="80" t="e">
        <f t="shared" si="188"/>
        <v>#VALUE!</v>
      </c>
      <c r="AM155" s="139" t="b">
        <f t="shared" si="189"/>
        <v>1</v>
      </c>
      <c r="AN155" s="139" t="b">
        <f>AND(COUNTA(E155)&gt;0,ISNUMBER(F155),OR(COUNT(G155:H155)=0,COUNT(G155:H155)=2,AND(ISNUMBER(G155),ISNUMBER(VALUE(LEFT(H155,SUM(LEN(H155)-LEN(SUBSTITUTE(H155,{"0","1","2","3","4","5","6","7","8","9","."},"")))))))),ISNUMBER(I155),ISTEXT(J155))</f>
        <v>0</v>
      </c>
      <c r="AO155" s="19" t="b">
        <f t="shared" si="190"/>
        <v>0</v>
      </c>
      <c r="AP155" s="19" t="b">
        <f t="shared" si="191"/>
        <v>1</v>
      </c>
      <c r="AQ155" s="19" t="b">
        <f>IF(AND(COUNTBLANK(E155:J155)=6,OR(AN156:AN$523)),NOT(AN155))</f>
        <v>0</v>
      </c>
      <c r="AR155" s="19" t="str">
        <f t="shared" si="192"/>
        <v/>
      </c>
      <c r="AS155" s="19" t="b">
        <f t="shared" si="193"/>
        <v>1</v>
      </c>
      <c r="AT155" s="19" t="str">
        <f t="shared" si="194"/>
        <v/>
      </c>
      <c r="AU155" s="19" t="b">
        <f t="shared" si="195"/>
        <v>1</v>
      </c>
      <c r="AV155" s="140" t="str">
        <f t="shared" si="156"/>
        <v/>
      </c>
      <c r="AW155" s="19" t="str">
        <f t="shared" si="196"/>
        <v/>
      </c>
      <c r="AX155" s="81">
        <f t="shared" si="197"/>
        <v>0</v>
      </c>
      <c r="AY155" s="81" t="str">
        <f t="shared" si="198"/>
        <v/>
      </c>
      <c r="AZ155" s="307" t="str">
        <f t="shared" si="228"/>
        <v/>
      </c>
      <c r="BA155" s="281" t="str">
        <f t="shared" si="157"/>
        <v/>
      </c>
      <c r="BB155" s="281" t="str">
        <f t="shared" si="158"/>
        <v/>
      </c>
      <c r="BC155" s="953"/>
      <c r="BD155" s="955"/>
      <c r="BE155" s="219" t="str">
        <f t="shared" si="199"/>
        <v>n/a</v>
      </c>
      <c r="BF155" s="215" t="b">
        <f t="shared" si="200"/>
        <v>0</v>
      </c>
      <c r="BG155" s="145" t="b">
        <f t="shared" si="201"/>
        <v>0</v>
      </c>
      <c r="BH155" s="145" t="b">
        <f t="shared" si="202"/>
        <v>0</v>
      </c>
      <c r="BI155" s="216" t="b">
        <f t="shared" si="203"/>
        <v>0</v>
      </c>
      <c r="BJ155" s="215" t="b">
        <f t="shared" si="204"/>
        <v>0</v>
      </c>
      <c r="BK155" s="145" t="b">
        <f t="shared" si="205"/>
        <v>0</v>
      </c>
      <c r="BL155" s="216" t="b">
        <f t="shared" si="206"/>
        <v>0</v>
      </c>
      <c r="BM155" s="217" t="str">
        <f t="shared" si="159"/>
        <v/>
      </c>
      <c r="BN155" s="146" t="str">
        <f t="shared" si="160"/>
        <v/>
      </c>
      <c r="BO155" s="147" t="str">
        <f t="shared" si="161"/>
        <v/>
      </c>
      <c r="BP155" s="148" t="str">
        <f t="shared" si="162"/>
        <v/>
      </c>
      <c r="BT155" s="50">
        <f t="shared" si="177"/>
        <v>132</v>
      </c>
      <c r="BU155" s="50" t="str">
        <f t="shared" si="180"/>
        <v>-</v>
      </c>
      <c r="BW155" s="333"/>
      <c r="BX155" s="333"/>
      <c r="BY155" s="333"/>
      <c r="BZ155" s="333"/>
      <c r="CA155" s="333"/>
      <c r="CB155" s="333"/>
      <c r="CC155" s="333"/>
      <c r="CD155" s="333"/>
      <c r="CE155" s="333"/>
      <c r="CF155" s="333"/>
      <c r="CG155" s="354">
        <f t="shared" si="207"/>
        <v>132</v>
      </c>
      <c r="CH155" s="613">
        <f t="shared" si="208"/>
        <v>0</v>
      </c>
      <c r="CI155" s="613">
        <f t="shared" si="209"/>
        <v>0</v>
      </c>
      <c r="CJ155" s="614" t="str">
        <f t="shared" si="210"/>
        <v/>
      </c>
      <c r="CK155" s="615" t="str">
        <f t="shared" si="211"/>
        <v/>
      </c>
      <c r="CL155" s="610" t="str">
        <f>IF(ISBLANK(H155),"",IF(AND(ISNUMBER(F155),ISNUMBER(G155),ISNUMBER(H155)),ROUND(F155/(H155*G155),2),ROUND(F155/(VALUE(LEFT(H155,SUM(LEN(H155)-LEN(SUBSTITUTE(H155,{"0","1","2","3","4","5","6","7","8","9","."},"")))))*G155),2)))</f>
        <v/>
      </c>
      <c r="CM155" s="616" t="str">
        <f t="shared" si="163"/>
        <v/>
      </c>
      <c r="CN155" s="616" t="str">
        <f>IF(ISNUMBER(P155),MAX('Adjustment factors'!$S$16,(0.2+0.8*P155)),IF(ISTEXT(N155),VLOOKUP(N155,Afactors,2,FALSE),""))</f>
        <v/>
      </c>
      <c r="CO155" s="616" t="str">
        <f>IF(ISNUMBER(S155),MAX('Adjustment factors'!$S$16,0.2+0.8*S155),IF(ISTEXT(Q155),VLOOKUP(Q155,Afactors,2,FALSE),""))</f>
        <v/>
      </c>
      <c r="CP155" s="611" t="str">
        <f t="shared" si="229"/>
        <v/>
      </c>
      <c r="CQ155" s="612" t="str">
        <f t="shared" si="230"/>
        <v/>
      </c>
      <c r="CR155" s="340"/>
      <c r="CS155" s="340"/>
      <c r="CT155" s="340"/>
      <c r="CU155" s="340"/>
      <c r="CV155" s="333"/>
      <c r="CW155" s="333"/>
      <c r="CX155" s="333"/>
      <c r="CY155" s="333"/>
      <c r="DA155" s="313" t="str">
        <f t="shared" si="212"/>
        <v>OK</v>
      </c>
      <c r="DB155" s="313" t="str">
        <f t="shared" si="213"/>
        <v>OK</v>
      </c>
      <c r="DC155" s="313" t="str">
        <f t="shared" si="214"/>
        <v>OK</v>
      </c>
      <c r="DD155" s="313" t="str">
        <f t="shared" si="215"/>
        <v>OK</v>
      </c>
      <c r="DE155" s="153" t="str">
        <f t="shared" si="216"/>
        <v>OK</v>
      </c>
      <c r="DF155" s="314" t="str">
        <f t="shared" si="217"/>
        <v>OK</v>
      </c>
      <c r="DG155" s="482" t="str">
        <f t="shared" si="231"/>
        <v>OK</v>
      </c>
      <c r="DH155" s="482" t="str">
        <f>IF(OR(AND(T155='Adjustment factors'!$R$28,'Class 3, 5-9'!U155='Adjustment factors'!$R$29),AND('Class 3, 5-9'!T155='Adjustment factors'!$R$29,'Class 3, 5-9'!U155='Adjustment factors'!$R$28)),"Invalid combination of adjustment factors",IF(AND(T155=U155,NOT(ISBLANK(T155)),NOT(ISBLANK(U155))),"Same colour factor selected twice","OK"))</f>
        <v>OK</v>
      </c>
      <c r="DI155" s="313" t="str">
        <f t="shared" si="218"/>
        <v>OK</v>
      </c>
      <c r="DJ155" s="153" t="str">
        <f t="shared" si="164"/>
        <v>OK</v>
      </c>
      <c r="DK155" s="153" t="str">
        <f t="shared" si="219"/>
        <v>OK</v>
      </c>
      <c r="DL155" s="313" t="str">
        <f t="shared" si="220"/>
        <v>OK</v>
      </c>
      <c r="DM155" s="153" t="str">
        <f t="shared" si="221"/>
        <v>OK</v>
      </c>
      <c r="DN155" s="153" t="str">
        <f t="shared" si="165"/>
        <v>OK</v>
      </c>
      <c r="DO155" s="154" t="str">
        <f t="shared" si="166"/>
        <v>OK</v>
      </c>
      <c r="DP155" s="153" t="str">
        <f t="shared" si="222"/>
        <v>OK</v>
      </c>
      <c r="DQ155" s="313" t="str">
        <f t="shared" si="223"/>
        <v>OK</v>
      </c>
      <c r="DR155" s="153" t="str">
        <f t="shared" si="167"/>
        <v>OK</v>
      </c>
      <c r="DS155" s="153" t="str">
        <f t="shared" si="224"/>
        <v>OK</v>
      </c>
      <c r="DT155" s="313" t="str">
        <f t="shared" si="182"/>
        <v>OK</v>
      </c>
      <c r="DU155" s="153" t="str">
        <f t="shared" si="225"/>
        <v>OK</v>
      </c>
      <c r="DV155" s="153" t="str">
        <f t="shared" si="168"/>
        <v>OK</v>
      </c>
      <c r="DW155" s="154" t="str">
        <f t="shared" si="169"/>
        <v>OK</v>
      </c>
      <c r="DX155" s="157">
        <f t="shared" si="170"/>
        <v>0</v>
      </c>
      <c r="DY155" s="156" t="str">
        <f t="shared" si="171"/>
        <v>OK</v>
      </c>
    </row>
    <row r="156" spans="1:129" ht="13" hidden="1" x14ac:dyDescent="0.3">
      <c r="A156" s="333"/>
      <c r="B156" s="333"/>
      <c r="C156" s="331" t="str">
        <f t="shared" si="181"/>
        <v>-</v>
      </c>
      <c r="D156" s="584">
        <f t="shared" si="176"/>
        <v>133</v>
      </c>
      <c r="E156" s="585"/>
      <c r="F156" s="586"/>
      <c r="G156" s="600"/>
      <c r="H156" s="587"/>
      <c r="I156" s="601"/>
      <c r="J156" s="585"/>
      <c r="K156" s="617"/>
      <c r="L156" s="602"/>
      <c r="M156" s="603"/>
      <c r="N156" s="588"/>
      <c r="O156" s="604"/>
      <c r="P156" s="605"/>
      <c r="Q156" s="588"/>
      <c r="R156" s="604"/>
      <c r="S156" s="605"/>
      <c r="T156" s="606"/>
      <c r="U156" s="606"/>
      <c r="V156" s="429" t="str">
        <f t="shared" si="178"/>
        <v/>
      </c>
      <c r="W156" s="430" t="str">
        <f t="shared" si="175"/>
        <v/>
      </c>
      <c r="X156" s="66" t="str">
        <f>IF(AND(ISNUMBER(P156),N156=FixedDim),MAX('Adjustment factors'!$S$16,0.2+0.8*P156),IF(ISTEXT(N156),VLOOKUP(N156,Afactors,2,TRUE),""))</f>
        <v/>
      </c>
      <c r="Y156" s="17" t="str">
        <f>IF(AND(ISNUMBER(S156),Q156=FixedDim),MAX('Adjustment factors'!$S$16,0.2+0.8*S156),IF(ISTEXT(Q156),VLOOKUP(Q156,Afactors,2,TRUE),""))</f>
        <v/>
      </c>
      <c r="Z156" s="297" t="str">
        <f>IF(ISBLANK(T156),"",VLOOKUP(T156,'Adjustment factors'!$R$27:$S$30,2,TRUE))</f>
        <v/>
      </c>
      <c r="AA156" s="297" t="str">
        <f>IF(ISBLANK(U156),"",VLOOKUP(U156,'Adjustment factors'!$R$27:$S$30,2,TRUE))</f>
        <v/>
      </c>
      <c r="AB156" s="480">
        <f t="shared" si="226"/>
        <v>1</v>
      </c>
      <c r="AC156" s="18" t="b">
        <f t="shared" si="183"/>
        <v>0</v>
      </c>
      <c r="AD156" s="18" t="b">
        <f t="shared" si="184"/>
        <v>0</v>
      </c>
      <c r="AE156" s="18" t="b">
        <f t="shared" si="172"/>
        <v>0</v>
      </c>
      <c r="AF156" s="17" t="str">
        <f t="shared" si="185"/>
        <v/>
      </c>
      <c r="AG156" s="18" t="str">
        <f t="shared" si="186"/>
        <v/>
      </c>
      <c r="AH156" s="17" t="str">
        <f t="shared" si="173"/>
        <v/>
      </c>
      <c r="AI156" s="297" t="e">
        <f t="shared" si="227"/>
        <v>#VALUE!</v>
      </c>
      <c r="AJ156" s="79" t="e">
        <f t="shared" si="187"/>
        <v>#VALUE!</v>
      </c>
      <c r="AK156" s="17" t="str">
        <f t="shared" si="174"/>
        <v/>
      </c>
      <c r="AL156" s="80" t="e">
        <f t="shared" si="188"/>
        <v>#VALUE!</v>
      </c>
      <c r="AM156" s="139" t="b">
        <f t="shared" si="189"/>
        <v>1</v>
      </c>
      <c r="AN156" s="139" t="b">
        <f>AND(COUNTA(E156)&gt;0,ISNUMBER(F156),OR(COUNT(G156:H156)=0,COUNT(G156:H156)=2,AND(ISNUMBER(G156),ISNUMBER(VALUE(LEFT(H156,SUM(LEN(H156)-LEN(SUBSTITUTE(H156,{"0","1","2","3","4","5","6","7","8","9","."},"")))))))),ISNUMBER(I156),ISTEXT(J156))</f>
        <v>0</v>
      </c>
      <c r="AO156" s="19" t="b">
        <f t="shared" si="190"/>
        <v>0</v>
      </c>
      <c r="AP156" s="19" t="b">
        <f t="shared" si="191"/>
        <v>1</v>
      </c>
      <c r="AQ156" s="19" t="b">
        <f>IF(AND(COUNTBLANK(E156:J156)=6,OR(AN157:AN$523)),NOT(AN156))</f>
        <v>0</v>
      </c>
      <c r="AR156" s="19" t="str">
        <f t="shared" si="192"/>
        <v/>
      </c>
      <c r="AS156" s="19" t="b">
        <f t="shared" si="193"/>
        <v>1</v>
      </c>
      <c r="AT156" s="19" t="str">
        <f t="shared" si="194"/>
        <v/>
      </c>
      <c r="AU156" s="19" t="b">
        <f t="shared" si="195"/>
        <v>1</v>
      </c>
      <c r="AV156" s="140" t="str">
        <f t="shared" si="156"/>
        <v/>
      </c>
      <c r="AW156" s="19" t="str">
        <f t="shared" si="196"/>
        <v/>
      </c>
      <c r="AX156" s="81">
        <f t="shared" si="197"/>
        <v>0</v>
      </c>
      <c r="AY156" s="81" t="str">
        <f t="shared" si="198"/>
        <v/>
      </c>
      <c r="AZ156" s="307" t="str">
        <f t="shared" si="228"/>
        <v/>
      </c>
      <c r="BA156" s="281" t="str">
        <f t="shared" si="157"/>
        <v/>
      </c>
      <c r="BB156" s="281" t="str">
        <f t="shared" si="158"/>
        <v/>
      </c>
      <c r="BC156" s="953"/>
      <c r="BD156" s="955"/>
      <c r="BE156" s="219" t="str">
        <f t="shared" si="199"/>
        <v>n/a</v>
      </c>
      <c r="BF156" s="215" t="b">
        <f t="shared" si="200"/>
        <v>0</v>
      </c>
      <c r="BG156" s="145" t="b">
        <f t="shared" si="201"/>
        <v>0</v>
      </c>
      <c r="BH156" s="145" t="b">
        <f t="shared" si="202"/>
        <v>0</v>
      </c>
      <c r="BI156" s="216" t="b">
        <f t="shared" si="203"/>
        <v>0</v>
      </c>
      <c r="BJ156" s="215" t="b">
        <f t="shared" si="204"/>
        <v>0</v>
      </c>
      <c r="BK156" s="145" t="b">
        <f t="shared" si="205"/>
        <v>0</v>
      </c>
      <c r="BL156" s="216" t="b">
        <f t="shared" si="206"/>
        <v>0</v>
      </c>
      <c r="BM156" s="217" t="str">
        <f t="shared" si="159"/>
        <v/>
      </c>
      <c r="BN156" s="146" t="str">
        <f t="shared" si="160"/>
        <v/>
      </c>
      <c r="BO156" s="147" t="str">
        <f t="shared" si="161"/>
        <v/>
      </c>
      <c r="BP156" s="148" t="str">
        <f t="shared" si="162"/>
        <v/>
      </c>
      <c r="BT156" s="50">
        <f t="shared" si="177"/>
        <v>133</v>
      </c>
      <c r="BU156" s="50" t="str">
        <f t="shared" si="180"/>
        <v>-</v>
      </c>
      <c r="BW156" s="333"/>
      <c r="BX156" s="333"/>
      <c r="BY156" s="333"/>
      <c r="BZ156" s="333"/>
      <c r="CA156" s="333"/>
      <c r="CB156" s="333"/>
      <c r="CC156" s="333"/>
      <c r="CD156" s="333"/>
      <c r="CE156" s="333"/>
      <c r="CF156" s="333"/>
      <c r="CG156" s="354">
        <f t="shared" si="207"/>
        <v>133</v>
      </c>
      <c r="CH156" s="613">
        <f t="shared" si="208"/>
        <v>0</v>
      </c>
      <c r="CI156" s="613">
        <f t="shared" si="209"/>
        <v>0</v>
      </c>
      <c r="CJ156" s="614" t="str">
        <f t="shared" si="210"/>
        <v/>
      </c>
      <c r="CK156" s="615" t="str">
        <f t="shared" si="211"/>
        <v/>
      </c>
      <c r="CL156" s="610" t="str">
        <f>IF(ISBLANK(H156),"",IF(AND(ISNUMBER(F156),ISNUMBER(G156),ISNUMBER(H156)),ROUND(F156/(H156*G156),2),ROUND(F156/(VALUE(LEFT(H156,SUM(LEN(H156)-LEN(SUBSTITUTE(H156,{"0","1","2","3","4","5","6","7","8","9","."},"")))))*G156),2)))</f>
        <v/>
      </c>
      <c r="CM156" s="616" t="str">
        <f t="shared" si="163"/>
        <v/>
      </c>
      <c r="CN156" s="616" t="str">
        <f>IF(ISNUMBER(P156),MAX('Adjustment factors'!$S$16,(0.2+0.8*P156)),IF(ISTEXT(N156),VLOOKUP(N156,Afactors,2,FALSE),""))</f>
        <v/>
      </c>
      <c r="CO156" s="616" t="str">
        <f>IF(ISNUMBER(S156),MAX('Adjustment factors'!$S$16,0.2+0.8*S156),IF(ISTEXT(Q156),VLOOKUP(Q156,Afactors,2,FALSE),""))</f>
        <v/>
      </c>
      <c r="CP156" s="611" t="str">
        <f t="shared" si="229"/>
        <v/>
      </c>
      <c r="CQ156" s="612" t="str">
        <f t="shared" si="230"/>
        <v/>
      </c>
      <c r="CR156" s="340"/>
      <c r="CS156" s="340"/>
      <c r="CT156" s="340"/>
      <c r="CU156" s="340"/>
      <c r="CV156" s="333"/>
      <c r="CW156" s="333"/>
      <c r="CX156" s="333"/>
      <c r="CY156" s="333"/>
      <c r="DA156" s="313" t="str">
        <f t="shared" si="212"/>
        <v>OK</v>
      </c>
      <c r="DB156" s="313" t="str">
        <f t="shared" si="213"/>
        <v>OK</v>
      </c>
      <c r="DC156" s="313" t="str">
        <f t="shared" si="214"/>
        <v>OK</v>
      </c>
      <c r="DD156" s="313" t="str">
        <f t="shared" si="215"/>
        <v>OK</v>
      </c>
      <c r="DE156" s="153" t="str">
        <f t="shared" si="216"/>
        <v>OK</v>
      </c>
      <c r="DF156" s="314" t="str">
        <f t="shared" si="217"/>
        <v>OK</v>
      </c>
      <c r="DG156" s="482" t="str">
        <f t="shared" si="231"/>
        <v>OK</v>
      </c>
      <c r="DH156" s="482" t="str">
        <f>IF(OR(AND(T156='Adjustment factors'!$R$28,'Class 3, 5-9'!U156='Adjustment factors'!$R$29),AND('Class 3, 5-9'!T156='Adjustment factors'!$R$29,'Class 3, 5-9'!U156='Adjustment factors'!$R$28)),"Invalid combination of adjustment factors",IF(AND(T156=U156,NOT(ISBLANK(T156)),NOT(ISBLANK(U156))),"Same colour factor selected twice","OK"))</f>
        <v>OK</v>
      </c>
      <c r="DI156" s="313" t="str">
        <f t="shared" si="218"/>
        <v>OK</v>
      </c>
      <c r="DJ156" s="153" t="str">
        <f t="shared" si="164"/>
        <v>OK</v>
      </c>
      <c r="DK156" s="153" t="str">
        <f t="shared" si="219"/>
        <v>OK</v>
      </c>
      <c r="DL156" s="313" t="str">
        <f t="shared" si="220"/>
        <v>OK</v>
      </c>
      <c r="DM156" s="153" t="str">
        <f t="shared" si="221"/>
        <v>OK</v>
      </c>
      <c r="DN156" s="153" t="str">
        <f t="shared" si="165"/>
        <v>OK</v>
      </c>
      <c r="DO156" s="154" t="str">
        <f t="shared" si="166"/>
        <v>OK</v>
      </c>
      <c r="DP156" s="153" t="str">
        <f t="shared" si="222"/>
        <v>OK</v>
      </c>
      <c r="DQ156" s="313" t="str">
        <f t="shared" si="223"/>
        <v>OK</v>
      </c>
      <c r="DR156" s="153" t="str">
        <f t="shared" si="167"/>
        <v>OK</v>
      </c>
      <c r="DS156" s="153" t="str">
        <f t="shared" si="224"/>
        <v>OK</v>
      </c>
      <c r="DT156" s="313" t="str">
        <f t="shared" si="182"/>
        <v>OK</v>
      </c>
      <c r="DU156" s="153" t="str">
        <f t="shared" si="225"/>
        <v>OK</v>
      </c>
      <c r="DV156" s="153" t="str">
        <f t="shared" si="168"/>
        <v>OK</v>
      </c>
      <c r="DW156" s="154" t="str">
        <f t="shared" si="169"/>
        <v>OK</v>
      </c>
      <c r="DX156" s="157">
        <f t="shared" si="170"/>
        <v>0</v>
      </c>
      <c r="DY156" s="156" t="str">
        <f t="shared" si="171"/>
        <v>OK</v>
      </c>
    </row>
    <row r="157" spans="1:129" ht="13" hidden="1" x14ac:dyDescent="0.3">
      <c r="A157" s="333"/>
      <c r="B157" s="333"/>
      <c r="C157" s="331" t="str">
        <f t="shared" si="181"/>
        <v>-</v>
      </c>
      <c r="D157" s="584">
        <f t="shared" si="176"/>
        <v>134</v>
      </c>
      <c r="E157" s="585"/>
      <c r="F157" s="586"/>
      <c r="G157" s="600"/>
      <c r="H157" s="587"/>
      <c r="I157" s="601"/>
      <c r="J157" s="585"/>
      <c r="K157" s="617"/>
      <c r="L157" s="602"/>
      <c r="M157" s="603"/>
      <c r="N157" s="588"/>
      <c r="O157" s="604"/>
      <c r="P157" s="605"/>
      <c r="Q157" s="588"/>
      <c r="R157" s="604"/>
      <c r="S157" s="605"/>
      <c r="T157" s="606"/>
      <c r="U157" s="606"/>
      <c r="V157" s="429" t="str">
        <f t="shared" si="178"/>
        <v/>
      </c>
      <c r="W157" s="430" t="str">
        <f t="shared" si="175"/>
        <v/>
      </c>
      <c r="X157" s="66" t="str">
        <f>IF(AND(ISNUMBER(P157),N157=FixedDim),MAX('Adjustment factors'!$S$16,0.2+0.8*P157),IF(ISTEXT(N157),VLOOKUP(N157,Afactors,2,TRUE),""))</f>
        <v/>
      </c>
      <c r="Y157" s="17" t="str">
        <f>IF(AND(ISNUMBER(S157),Q157=FixedDim),MAX('Adjustment factors'!$S$16,0.2+0.8*S157),IF(ISTEXT(Q157),VLOOKUP(Q157,Afactors,2,TRUE),""))</f>
        <v/>
      </c>
      <c r="Z157" s="297" t="str">
        <f>IF(ISBLANK(T157),"",VLOOKUP(T157,'Adjustment factors'!$R$27:$S$30,2,TRUE))</f>
        <v/>
      </c>
      <c r="AA157" s="297" t="str">
        <f>IF(ISBLANK(U157),"",VLOOKUP(U157,'Adjustment factors'!$R$27:$S$30,2,TRUE))</f>
        <v/>
      </c>
      <c r="AB157" s="480">
        <f t="shared" si="226"/>
        <v>1</v>
      </c>
      <c r="AC157" s="18" t="b">
        <f t="shared" si="183"/>
        <v>0</v>
      </c>
      <c r="AD157" s="18" t="b">
        <f t="shared" si="184"/>
        <v>0</v>
      </c>
      <c r="AE157" s="18" t="b">
        <f t="shared" si="172"/>
        <v>0</v>
      </c>
      <c r="AF157" s="17" t="str">
        <f t="shared" si="185"/>
        <v/>
      </c>
      <c r="AG157" s="18" t="str">
        <f t="shared" si="186"/>
        <v/>
      </c>
      <c r="AH157" s="17" t="str">
        <f t="shared" si="173"/>
        <v/>
      </c>
      <c r="AI157" s="297" t="e">
        <f t="shared" si="227"/>
        <v>#VALUE!</v>
      </c>
      <c r="AJ157" s="79" t="e">
        <f t="shared" si="187"/>
        <v>#VALUE!</v>
      </c>
      <c r="AK157" s="17" t="str">
        <f t="shared" si="174"/>
        <v/>
      </c>
      <c r="AL157" s="80" t="e">
        <f t="shared" si="188"/>
        <v>#VALUE!</v>
      </c>
      <c r="AM157" s="139" t="b">
        <f t="shared" si="189"/>
        <v>1</v>
      </c>
      <c r="AN157" s="139" t="b">
        <f>AND(COUNTA(E157)&gt;0,ISNUMBER(F157),OR(COUNT(G157:H157)=0,COUNT(G157:H157)=2,AND(ISNUMBER(G157),ISNUMBER(VALUE(LEFT(H157,SUM(LEN(H157)-LEN(SUBSTITUTE(H157,{"0","1","2","3","4","5","6","7","8","9","."},"")))))))),ISNUMBER(I157),ISTEXT(J157))</f>
        <v>0</v>
      </c>
      <c r="AO157" s="19" t="b">
        <f t="shared" si="190"/>
        <v>0</v>
      </c>
      <c r="AP157" s="19" t="b">
        <f t="shared" si="191"/>
        <v>1</v>
      </c>
      <c r="AQ157" s="19" t="b">
        <f>IF(AND(COUNTBLANK(E157:J157)=6,OR(AN158:AN$523)),NOT(AN157))</f>
        <v>0</v>
      </c>
      <c r="AR157" s="19" t="str">
        <f t="shared" si="192"/>
        <v/>
      </c>
      <c r="AS157" s="19" t="b">
        <f t="shared" si="193"/>
        <v>1</v>
      </c>
      <c r="AT157" s="19" t="str">
        <f t="shared" si="194"/>
        <v/>
      </c>
      <c r="AU157" s="19" t="b">
        <f t="shared" si="195"/>
        <v>1</v>
      </c>
      <c r="AV157" s="140" t="str">
        <f t="shared" si="156"/>
        <v/>
      </c>
      <c r="AW157" s="19" t="str">
        <f t="shared" si="196"/>
        <v/>
      </c>
      <c r="AX157" s="81">
        <f t="shared" si="197"/>
        <v>0</v>
      </c>
      <c r="AY157" s="81" t="str">
        <f t="shared" si="198"/>
        <v/>
      </c>
      <c r="AZ157" s="307" t="str">
        <f t="shared" si="228"/>
        <v/>
      </c>
      <c r="BA157" s="281" t="str">
        <f t="shared" si="157"/>
        <v/>
      </c>
      <c r="BB157" s="281" t="str">
        <f t="shared" si="158"/>
        <v/>
      </c>
      <c r="BC157" s="953"/>
      <c r="BD157" s="955"/>
      <c r="BE157" s="219" t="str">
        <f t="shared" si="199"/>
        <v>n/a</v>
      </c>
      <c r="BF157" s="215" t="b">
        <f t="shared" si="200"/>
        <v>0</v>
      </c>
      <c r="BG157" s="145" t="b">
        <f t="shared" si="201"/>
        <v>0</v>
      </c>
      <c r="BH157" s="145" t="b">
        <f t="shared" si="202"/>
        <v>0</v>
      </c>
      <c r="BI157" s="216" t="b">
        <f t="shared" si="203"/>
        <v>0</v>
      </c>
      <c r="BJ157" s="215" t="b">
        <f t="shared" si="204"/>
        <v>0</v>
      </c>
      <c r="BK157" s="145" t="b">
        <f t="shared" si="205"/>
        <v>0</v>
      </c>
      <c r="BL157" s="216" t="b">
        <f t="shared" si="206"/>
        <v>0</v>
      </c>
      <c r="BM157" s="217" t="str">
        <f t="shared" si="159"/>
        <v/>
      </c>
      <c r="BN157" s="146" t="str">
        <f t="shared" si="160"/>
        <v/>
      </c>
      <c r="BO157" s="147" t="str">
        <f t="shared" si="161"/>
        <v/>
      </c>
      <c r="BP157" s="148" t="str">
        <f t="shared" si="162"/>
        <v/>
      </c>
      <c r="BT157" s="50">
        <f t="shared" si="177"/>
        <v>134</v>
      </c>
      <c r="BU157" s="50" t="str">
        <f t="shared" si="180"/>
        <v>-</v>
      </c>
      <c r="BW157" s="333"/>
      <c r="BX157" s="333"/>
      <c r="BY157" s="333"/>
      <c r="BZ157" s="333"/>
      <c r="CA157" s="333"/>
      <c r="CB157" s="333"/>
      <c r="CC157" s="333"/>
      <c r="CD157" s="333"/>
      <c r="CE157" s="333"/>
      <c r="CF157" s="333"/>
      <c r="CG157" s="354">
        <f t="shared" si="207"/>
        <v>134</v>
      </c>
      <c r="CH157" s="613">
        <f t="shared" si="208"/>
        <v>0</v>
      </c>
      <c r="CI157" s="613">
        <f t="shared" si="209"/>
        <v>0</v>
      </c>
      <c r="CJ157" s="614" t="str">
        <f t="shared" si="210"/>
        <v/>
      </c>
      <c r="CK157" s="615" t="str">
        <f t="shared" si="211"/>
        <v/>
      </c>
      <c r="CL157" s="610" t="str">
        <f>IF(ISBLANK(H157),"",IF(AND(ISNUMBER(F157),ISNUMBER(G157),ISNUMBER(H157)),ROUND(F157/(H157*G157),2),ROUND(F157/(VALUE(LEFT(H157,SUM(LEN(H157)-LEN(SUBSTITUTE(H157,{"0","1","2","3","4","5","6","7","8","9","."},"")))))*G157),2)))</f>
        <v/>
      </c>
      <c r="CM157" s="616" t="str">
        <f t="shared" si="163"/>
        <v/>
      </c>
      <c r="CN157" s="616" t="str">
        <f>IF(ISNUMBER(P157),MAX('Adjustment factors'!$S$16,(0.2+0.8*P157)),IF(ISTEXT(N157),VLOOKUP(N157,Afactors,2,FALSE),""))</f>
        <v/>
      </c>
      <c r="CO157" s="616" t="str">
        <f>IF(ISNUMBER(S157),MAX('Adjustment factors'!$S$16,0.2+0.8*S157),IF(ISTEXT(Q157),VLOOKUP(Q157,Afactors,2,FALSE),""))</f>
        <v/>
      </c>
      <c r="CP157" s="611" t="str">
        <f t="shared" si="229"/>
        <v/>
      </c>
      <c r="CQ157" s="612" t="str">
        <f t="shared" si="230"/>
        <v/>
      </c>
      <c r="CR157" s="340"/>
      <c r="CS157" s="340"/>
      <c r="CT157" s="340"/>
      <c r="CU157" s="340"/>
      <c r="CV157" s="333"/>
      <c r="CW157" s="333"/>
      <c r="CX157" s="333"/>
      <c r="CY157" s="333"/>
      <c r="DA157" s="313" t="str">
        <f t="shared" si="212"/>
        <v>OK</v>
      </c>
      <c r="DB157" s="313" t="str">
        <f t="shared" si="213"/>
        <v>OK</v>
      </c>
      <c r="DC157" s="313" t="str">
        <f t="shared" si="214"/>
        <v>OK</v>
      </c>
      <c r="DD157" s="313" t="str">
        <f t="shared" si="215"/>
        <v>OK</v>
      </c>
      <c r="DE157" s="153" t="str">
        <f t="shared" si="216"/>
        <v>OK</v>
      </c>
      <c r="DF157" s="314" t="str">
        <f t="shared" si="217"/>
        <v>OK</v>
      </c>
      <c r="DG157" s="482" t="str">
        <f t="shared" si="231"/>
        <v>OK</v>
      </c>
      <c r="DH157" s="482" t="str">
        <f>IF(OR(AND(T157='Adjustment factors'!$R$28,'Class 3, 5-9'!U157='Adjustment factors'!$R$29),AND('Class 3, 5-9'!T157='Adjustment factors'!$R$29,'Class 3, 5-9'!U157='Adjustment factors'!$R$28)),"Invalid combination of adjustment factors",IF(AND(T157=U157,NOT(ISBLANK(T157)),NOT(ISBLANK(U157))),"Same colour factor selected twice","OK"))</f>
        <v>OK</v>
      </c>
      <c r="DI157" s="313" t="str">
        <f t="shared" si="218"/>
        <v>OK</v>
      </c>
      <c r="DJ157" s="153" t="str">
        <f t="shared" si="164"/>
        <v>OK</v>
      </c>
      <c r="DK157" s="153" t="str">
        <f t="shared" si="219"/>
        <v>OK</v>
      </c>
      <c r="DL157" s="313" t="str">
        <f t="shared" si="220"/>
        <v>OK</v>
      </c>
      <c r="DM157" s="153" t="str">
        <f t="shared" si="221"/>
        <v>OK</v>
      </c>
      <c r="DN157" s="153" t="str">
        <f t="shared" si="165"/>
        <v>OK</v>
      </c>
      <c r="DO157" s="154" t="str">
        <f t="shared" si="166"/>
        <v>OK</v>
      </c>
      <c r="DP157" s="153" t="str">
        <f t="shared" si="222"/>
        <v>OK</v>
      </c>
      <c r="DQ157" s="313" t="str">
        <f t="shared" si="223"/>
        <v>OK</v>
      </c>
      <c r="DR157" s="153" t="str">
        <f t="shared" si="167"/>
        <v>OK</v>
      </c>
      <c r="DS157" s="153" t="str">
        <f t="shared" si="224"/>
        <v>OK</v>
      </c>
      <c r="DT157" s="313" t="str">
        <f t="shared" si="182"/>
        <v>OK</v>
      </c>
      <c r="DU157" s="153" t="str">
        <f t="shared" si="225"/>
        <v>OK</v>
      </c>
      <c r="DV157" s="153" t="str">
        <f t="shared" si="168"/>
        <v>OK</v>
      </c>
      <c r="DW157" s="154" t="str">
        <f t="shared" si="169"/>
        <v>OK</v>
      </c>
      <c r="DX157" s="157">
        <f t="shared" si="170"/>
        <v>0</v>
      </c>
      <c r="DY157" s="156" t="str">
        <f t="shared" si="171"/>
        <v>OK</v>
      </c>
    </row>
    <row r="158" spans="1:129" ht="13" hidden="1" x14ac:dyDescent="0.3">
      <c r="A158" s="333"/>
      <c r="B158" s="333"/>
      <c r="C158" s="331" t="str">
        <f t="shared" si="181"/>
        <v>-</v>
      </c>
      <c r="D158" s="584">
        <f t="shared" si="176"/>
        <v>135</v>
      </c>
      <c r="E158" s="585"/>
      <c r="F158" s="586"/>
      <c r="G158" s="600"/>
      <c r="H158" s="587"/>
      <c r="I158" s="601"/>
      <c r="J158" s="585"/>
      <c r="K158" s="617"/>
      <c r="L158" s="602"/>
      <c r="M158" s="603"/>
      <c r="N158" s="588"/>
      <c r="O158" s="604"/>
      <c r="P158" s="605"/>
      <c r="Q158" s="588"/>
      <c r="R158" s="604"/>
      <c r="S158" s="605"/>
      <c r="T158" s="606"/>
      <c r="U158" s="606"/>
      <c r="V158" s="429" t="str">
        <f t="shared" si="178"/>
        <v/>
      </c>
      <c r="W158" s="430" t="str">
        <f t="shared" si="175"/>
        <v/>
      </c>
      <c r="X158" s="66" t="str">
        <f>IF(AND(ISNUMBER(P158),N158=FixedDim),MAX('Adjustment factors'!$S$16,0.2+0.8*P158),IF(ISTEXT(N158),VLOOKUP(N158,Afactors,2,TRUE),""))</f>
        <v/>
      </c>
      <c r="Y158" s="17" t="str">
        <f>IF(AND(ISNUMBER(S158),Q158=FixedDim),MAX('Adjustment factors'!$S$16,0.2+0.8*S158),IF(ISTEXT(Q158),VLOOKUP(Q158,Afactors,2,TRUE),""))</f>
        <v/>
      </c>
      <c r="Z158" s="297" t="str">
        <f>IF(ISBLANK(T158),"",VLOOKUP(T158,'Adjustment factors'!$R$27:$S$30,2,TRUE))</f>
        <v/>
      </c>
      <c r="AA158" s="297" t="str">
        <f>IF(ISBLANK(U158),"",VLOOKUP(U158,'Adjustment factors'!$R$27:$S$30,2,TRUE))</f>
        <v/>
      </c>
      <c r="AB158" s="480">
        <f t="shared" si="226"/>
        <v>1</v>
      </c>
      <c r="AC158" s="18" t="b">
        <f t="shared" si="183"/>
        <v>0</v>
      </c>
      <c r="AD158" s="18" t="b">
        <f t="shared" si="184"/>
        <v>0</v>
      </c>
      <c r="AE158" s="18" t="b">
        <f t="shared" si="172"/>
        <v>0</v>
      </c>
      <c r="AF158" s="17" t="str">
        <f t="shared" si="185"/>
        <v/>
      </c>
      <c r="AG158" s="18" t="str">
        <f t="shared" si="186"/>
        <v/>
      </c>
      <c r="AH158" s="17" t="str">
        <f t="shared" si="173"/>
        <v/>
      </c>
      <c r="AI158" s="297" t="e">
        <f t="shared" si="227"/>
        <v>#VALUE!</v>
      </c>
      <c r="AJ158" s="79" t="e">
        <f t="shared" si="187"/>
        <v>#VALUE!</v>
      </c>
      <c r="AK158" s="17" t="str">
        <f t="shared" si="174"/>
        <v/>
      </c>
      <c r="AL158" s="80" t="e">
        <f t="shared" si="188"/>
        <v>#VALUE!</v>
      </c>
      <c r="AM158" s="139" t="b">
        <f t="shared" si="189"/>
        <v>1</v>
      </c>
      <c r="AN158" s="139" t="b">
        <f>AND(COUNTA(E158)&gt;0,ISNUMBER(F158),OR(COUNT(G158:H158)=0,COUNT(G158:H158)=2,AND(ISNUMBER(G158),ISNUMBER(VALUE(LEFT(H158,SUM(LEN(H158)-LEN(SUBSTITUTE(H158,{"0","1","2","3","4","5","6","7","8","9","."},"")))))))),ISNUMBER(I158),ISTEXT(J158))</f>
        <v>0</v>
      </c>
      <c r="AO158" s="19" t="b">
        <f t="shared" si="190"/>
        <v>0</v>
      </c>
      <c r="AP158" s="19" t="b">
        <f t="shared" si="191"/>
        <v>1</v>
      </c>
      <c r="AQ158" s="19" t="b">
        <f>IF(AND(COUNTBLANK(E158:J158)=6,OR(AN159:AN$523)),NOT(AN158))</f>
        <v>0</v>
      </c>
      <c r="AR158" s="19" t="str">
        <f t="shared" si="192"/>
        <v/>
      </c>
      <c r="AS158" s="19" t="b">
        <f t="shared" si="193"/>
        <v>1</v>
      </c>
      <c r="AT158" s="19" t="str">
        <f t="shared" si="194"/>
        <v/>
      </c>
      <c r="AU158" s="19" t="b">
        <f t="shared" si="195"/>
        <v>1</v>
      </c>
      <c r="AV158" s="140" t="str">
        <f t="shared" si="156"/>
        <v/>
      </c>
      <c r="AW158" s="19" t="str">
        <f t="shared" si="196"/>
        <v/>
      </c>
      <c r="AX158" s="81">
        <f t="shared" si="197"/>
        <v>0</v>
      </c>
      <c r="AY158" s="81" t="str">
        <f t="shared" si="198"/>
        <v/>
      </c>
      <c r="AZ158" s="307" t="str">
        <f t="shared" si="228"/>
        <v/>
      </c>
      <c r="BA158" s="281" t="str">
        <f t="shared" si="157"/>
        <v/>
      </c>
      <c r="BB158" s="281" t="str">
        <f t="shared" si="158"/>
        <v/>
      </c>
      <c r="BC158" s="953"/>
      <c r="BD158" s="955"/>
      <c r="BE158" s="219" t="str">
        <f t="shared" si="199"/>
        <v>n/a</v>
      </c>
      <c r="BF158" s="215" t="b">
        <f t="shared" si="200"/>
        <v>0</v>
      </c>
      <c r="BG158" s="145" t="b">
        <f t="shared" si="201"/>
        <v>0</v>
      </c>
      <c r="BH158" s="145" t="b">
        <f t="shared" si="202"/>
        <v>0</v>
      </c>
      <c r="BI158" s="216" t="b">
        <f t="shared" si="203"/>
        <v>0</v>
      </c>
      <c r="BJ158" s="215" t="b">
        <f t="shared" si="204"/>
        <v>0</v>
      </c>
      <c r="BK158" s="145" t="b">
        <f t="shared" si="205"/>
        <v>0</v>
      </c>
      <c r="BL158" s="216" t="b">
        <f t="shared" si="206"/>
        <v>0</v>
      </c>
      <c r="BM158" s="217" t="str">
        <f t="shared" si="159"/>
        <v/>
      </c>
      <c r="BN158" s="146" t="str">
        <f t="shared" si="160"/>
        <v/>
      </c>
      <c r="BO158" s="147" t="str">
        <f t="shared" si="161"/>
        <v/>
      </c>
      <c r="BP158" s="148" t="str">
        <f t="shared" si="162"/>
        <v/>
      </c>
      <c r="BT158" s="50">
        <f t="shared" si="177"/>
        <v>135</v>
      </c>
      <c r="BU158" s="50" t="str">
        <f t="shared" si="180"/>
        <v>-</v>
      </c>
      <c r="BW158" s="333"/>
      <c r="BX158" s="333"/>
      <c r="BY158" s="333"/>
      <c r="BZ158" s="333"/>
      <c r="CA158" s="333"/>
      <c r="CB158" s="333"/>
      <c r="CC158" s="333"/>
      <c r="CD158" s="333"/>
      <c r="CE158" s="333"/>
      <c r="CF158" s="333"/>
      <c r="CG158" s="354">
        <f t="shared" si="207"/>
        <v>135</v>
      </c>
      <c r="CH158" s="613">
        <f t="shared" si="208"/>
        <v>0</v>
      </c>
      <c r="CI158" s="613">
        <f t="shared" si="209"/>
        <v>0</v>
      </c>
      <c r="CJ158" s="614" t="str">
        <f t="shared" si="210"/>
        <v/>
      </c>
      <c r="CK158" s="615" t="str">
        <f t="shared" si="211"/>
        <v/>
      </c>
      <c r="CL158" s="610" t="str">
        <f>IF(ISBLANK(H158),"",IF(AND(ISNUMBER(F158),ISNUMBER(G158),ISNUMBER(H158)),ROUND(F158/(H158*G158),2),ROUND(F158/(VALUE(LEFT(H158,SUM(LEN(H158)-LEN(SUBSTITUTE(H158,{"0","1","2","3","4","5","6","7","8","9","."},"")))))*G158),2)))</f>
        <v/>
      </c>
      <c r="CM158" s="616" t="str">
        <f t="shared" si="163"/>
        <v/>
      </c>
      <c r="CN158" s="616" t="str">
        <f>IF(ISNUMBER(P158),MAX('Adjustment factors'!$S$16,(0.2+0.8*P158)),IF(ISTEXT(N158),VLOOKUP(N158,Afactors,2,FALSE),""))</f>
        <v/>
      </c>
      <c r="CO158" s="616" t="str">
        <f>IF(ISNUMBER(S158),MAX('Adjustment factors'!$S$16,0.2+0.8*S158),IF(ISTEXT(Q158),VLOOKUP(Q158,Afactors,2,FALSE),""))</f>
        <v/>
      </c>
      <c r="CP158" s="611" t="str">
        <f t="shared" si="229"/>
        <v/>
      </c>
      <c r="CQ158" s="612" t="str">
        <f t="shared" si="230"/>
        <v/>
      </c>
      <c r="CR158" s="340"/>
      <c r="CS158" s="340"/>
      <c r="CT158" s="340"/>
      <c r="CU158" s="340"/>
      <c r="CV158" s="333"/>
      <c r="CW158" s="333"/>
      <c r="CX158" s="333"/>
      <c r="CY158" s="333"/>
      <c r="DA158" s="313" t="str">
        <f t="shared" si="212"/>
        <v>OK</v>
      </c>
      <c r="DB158" s="313" t="str">
        <f t="shared" si="213"/>
        <v>OK</v>
      </c>
      <c r="DC158" s="313" t="str">
        <f t="shared" si="214"/>
        <v>OK</v>
      </c>
      <c r="DD158" s="313" t="str">
        <f t="shared" si="215"/>
        <v>OK</v>
      </c>
      <c r="DE158" s="153" t="str">
        <f t="shared" si="216"/>
        <v>OK</v>
      </c>
      <c r="DF158" s="314" t="str">
        <f t="shared" si="217"/>
        <v>OK</v>
      </c>
      <c r="DG158" s="482" t="str">
        <f t="shared" si="231"/>
        <v>OK</v>
      </c>
      <c r="DH158" s="482" t="str">
        <f>IF(OR(AND(T158='Adjustment factors'!$R$28,'Class 3, 5-9'!U158='Adjustment factors'!$R$29),AND('Class 3, 5-9'!T158='Adjustment factors'!$R$29,'Class 3, 5-9'!U158='Adjustment factors'!$R$28)),"Invalid combination of adjustment factors",IF(AND(T158=U158,NOT(ISBLANK(T158)),NOT(ISBLANK(U158))),"Same colour factor selected twice","OK"))</f>
        <v>OK</v>
      </c>
      <c r="DI158" s="313" t="str">
        <f t="shared" si="218"/>
        <v>OK</v>
      </c>
      <c r="DJ158" s="153" t="str">
        <f t="shared" si="164"/>
        <v>OK</v>
      </c>
      <c r="DK158" s="153" t="str">
        <f t="shared" si="219"/>
        <v>OK</v>
      </c>
      <c r="DL158" s="313" t="str">
        <f t="shared" si="220"/>
        <v>OK</v>
      </c>
      <c r="DM158" s="153" t="str">
        <f t="shared" si="221"/>
        <v>OK</v>
      </c>
      <c r="DN158" s="153" t="str">
        <f t="shared" si="165"/>
        <v>OK</v>
      </c>
      <c r="DO158" s="154" t="str">
        <f t="shared" si="166"/>
        <v>OK</v>
      </c>
      <c r="DP158" s="153" t="str">
        <f t="shared" si="222"/>
        <v>OK</v>
      </c>
      <c r="DQ158" s="313" t="str">
        <f t="shared" si="223"/>
        <v>OK</v>
      </c>
      <c r="DR158" s="153" t="str">
        <f t="shared" si="167"/>
        <v>OK</v>
      </c>
      <c r="DS158" s="153" t="str">
        <f t="shared" si="224"/>
        <v>OK</v>
      </c>
      <c r="DT158" s="313" t="str">
        <f t="shared" si="182"/>
        <v>OK</v>
      </c>
      <c r="DU158" s="153" t="str">
        <f t="shared" si="225"/>
        <v>OK</v>
      </c>
      <c r="DV158" s="153" t="str">
        <f t="shared" si="168"/>
        <v>OK</v>
      </c>
      <c r="DW158" s="154" t="str">
        <f t="shared" si="169"/>
        <v>OK</v>
      </c>
      <c r="DX158" s="157">
        <f t="shared" si="170"/>
        <v>0</v>
      </c>
      <c r="DY158" s="156" t="str">
        <f t="shared" si="171"/>
        <v>OK</v>
      </c>
    </row>
    <row r="159" spans="1:129" ht="13" hidden="1" x14ac:dyDescent="0.3">
      <c r="A159" s="333"/>
      <c r="B159" s="333"/>
      <c r="C159" s="331" t="str">
        <f t="shared" si="181"/>
        <v>-</v>
      </c>
      <c r="D159" s="584">
        <f t="shared" si="176"/>
        <v>136</v>
      </c>
      <c r="E159" s="585"/>
      <c r="F159" s="586"/>
      <c r="G159" s="600"/>
      <c r="H159" s="587"/>
      <c r="I159" s="601"/>
      <c r="J159" s="585"/>
      <c r="K159" s="617"/>
      <c r="L159" s="602"/>
      <c r="M159" s="603"/>
      <c r="N159" s="588"/>
      <c r="O159" s="604"/>
      <c r="P159" s="605"/>
      <c r="Q159" s="588"/>
      <c r="R159" s="604"/>
      <c r="S159" s="605"/>
      <c r="T159" s="606"/>
      <c r="U159" s="606"/>
      <c r="V159" s="429" t="str">
        <f t="shared" si="178"/>
        <v/>
      </c>
      <c r="W159" s="430" t="str">
        <f t="shared" si="175"/>
        <v/>
      </c>
      <c r="X159" s="66" t="str">
        <f>IF(AND(ISNUMBER(P159),N159=FixedDim),MAX('Adjustment factors'!$S$16,0.2+0.8*P159),IF(ISTEXT(N159),VLOOKUP(N159,Afactors,2,TRUE),""))</f>
        <v/>
      </c>
      <c r="Y159" s="17" t="str">
        <f>IF(AND(ISNUMBER(S159),Q159=FixedDim),MAX('Adjustment factors'!$S$16,0.2+0.8*S159),IF(ISTEXT(Q159),VLOOKUP(Q159,Afactors,2,TRUE),""))</f>
        <v/>
      </c>
      <c r="Z159" s="297" t="str">
        <f>IF(ISBLANK(T159),"",VLOOKUP(T159,'Adjustment factors'!$R$27:$S$30,2,TRUE))</f>
        <v/>
      </c>
      <c r="AA159" s="297" t="str">
        <f>IF(ISBLANK(U159),"",VLOOKUP(U159,'Adjustment factors'!$R$27:$S$30,2,TRUE))</f>
        <v/>
      </c>
      <c r="AB159" s="480">
        <f t="shared" si="226"/>
        <v>1</v>
      </c>
      <c r="AC159" s="18" t="b">
        <f t="shared" si="183"/>
        <v>0</v>
      </c>
      <c r="AD159" s="18" t="b">
        <f t="shared" si="184"/>
        <v>0</v>
      </c>
      <c r="AE159" s="18" t="b">
        <f t="shared" si="172"/>
        <v>0</v>
      </c>
      <c r="AF159" s="17" t="str">
        <f t="shared" si="185"/>
        <v/>
      </c>
      <c r="AG159" s="18" t="str">
        <f t="shared" si="186"/>
        <v/>
      </c>
      <c r="AH159" s="17" t="str">
        <f t="shared" si="173"/>
        <v/>
      </c>
      <c r="AI159" s="297" t="e">
        <f t="shared" si="227"/>
        <v>#VALUE!</v>
      </c>
      <c r="AJ159" s="79" t="e">
        <f t="shared" si="187"/>
        <v>#VALUE!</v>
      </c>
      <c r="AK159" s="17" t="str">
        <f t="shared" si="174"/>
        <v/>
      </c>
      <c r="AL159" s="80" t="e">
        <f t="shared" si="188"/>
        <v>#VALUE!</v>
      </c>
      <c r="AM159" s="139" t="b">
        <f t="shared" si="189"/>
        <v>1</v>
      </c>
      <c r="AN159" s="139" t="b">
        <f>AND(COUNTA(E159)&gt;0,ISNUMBER(F159),OR(COUNT(G159:H159)=0,COUNT(G159:H159)=2,AND(ISNUMBER(G159),ISNUMBER(VALUE(LEFT(H159,SUM(LEN(H159)-LEN(SUBSTITUTE(H159,{"0","1","2","3","4","5","6","7","8","9","."},"")))))))),ISNUMBER(I159),ISTEXT(J159))</f>
        <v>0</v>
      </c>
      <c r="AO159" s="19" t="b">
        <f t="shared" si="190"/>
        <v>0</v>
      </c>
      <c r="AP159" s="19" t="b">
        <f t="shared" si="191"/>
        <v>1</v>
      </c>
      <c r="AQ159" s="19" t="b">
        <f>IF(AND(COUNTBLANK(E159:J159)=6,OR(AN160:AN$523)),NOT(AN159))</f>
        <v>0</v>
      </c>
      <c r="AR159" s="19" t="str">
        <f t="shared" si="192"/>
        <v/>
      </c>
      <c r="AS159" s="19" t="b">
        <f t="shared" si="193"/>
        <v>1</v>
      </c>
      <c r="AT159" s="19" t="str">
        <f t="shared" si="194"/>
        <v/>
      </c>
      <c r="AU159" s="19" t="b">
        <f t="shared" si="195"/>
        <v>1</v>
      </c>
      <c r="AV159" s="140" t="str">
        <f t="shared" si="156"/>
        <v/>
      </c>
      <c r="AW159" s="19" t="str">
        <f t="shared" si="196"/>
        <v/>
      </c>
      <c r="AX159" s="81">
        <f t="shared" si="197"/>
        <v>0</v>
      </c>
      <c r="AY159" s="81" t="str">
        <f t="shared" si="198"/>
        <v/>
      </c>
      <c r="AZ159" s="307" t="str">
        <f t="shared" si="228"/>
        <v/>
      </c>
      <c r="BA159" s="281" t="str">
        <f t="shared" si="157"/>
        <v/>
      </c>
      <c r="BB159" s="281" t="str">
        <f t="shared" si="158"/>
        <v/>
      </c>
      <c r="BC159" s="953"/>
      <c r="BD159" s="955"/>
      <c r="BE159" s="219" t="str">
        <f t="shared" si="199"/>
        <v>n/a</v>
      </c>
      <c r="BF159" s="215" t="b">
        <f t="shared" si="200"/>
        <v>0</v>
      </c>
      <c r="BG159" s="145" t="b">
        <f t="shared" si="201"/>
        <v>0</v>
      </c>
      <c r="BH159" s="145" t="b">
        <f t="shared" si="202"/>
        <v>0</v>
      </c>
      <c r="BI159" s="216" t="b">
        <f t="shared" si="203"/>
        <v>0</v>
      </c>
      <c r="BJ159" s="215" t="b">
        <f t="shared" si="204"/>
        <v>0</v>
      </c>
      <c r="BK159" s="145" t="b">
        <f t="shared" si="205"/>
        <v>0</v>
      </c>
      <c r="BL159" s="216" t="b">
        <f t="shared" si="206"/>
        <v>0</v>
      </c>
      <c r="BM159" s="217" t="str">
        <f t="shared" si="159"/>
        <v/>
      </c>
      <c r="BN159" s="146" t="str">
        <f t="shared" si="160"/>
        <v/>
      </c>
      <c r="BO159" s="147" t="str">
        <f t="shared" si="161"/>
        <v/>
      </c>
      <c r="BP159" s="148" t="str">
        <f t="shared" si="162"/>
        <v/>
      </c>
      <c r="BT159" s="50">
        <f t="shared" si="177"/>
        <v>136</v>
      </c>
      <c r="BU159" s="50" t="str">
        <f t="shared" si="180"/>
        <v>-</v>
      </c>
      <c r="BW159" s="333"/>
      <c r="BX159" s="333"/>
      <c r="BY159" s="333"/>
      <c r="BZ159" s="333"/>
      <c r="CA159" s="333"/>
      <c r="CB159" s="333"/>
      <c r="CC159" s="333"/>
      <c r="CD159" s="333"/>
      <c r="CE159" s="333"/>
      <c r="CF159" s="333"/>
      <c r="CG159" s="354">
        <f t="shared" si="207"/>
        <v>136</v>
      </c>
      <c r="CH159" s="613">
        <f t="shared" si="208"/>
        <v>0</v>
      </c>
      <c r="CI159" s="613">
        <f t="shared" si="209"/>
        <v>0</v>
      </c>
      <c r="CJ159" s="614" t="str">
        <f t="shared" si="210"/>
        <v/>
      </c>
      <c r="CK159" s="615" t="str">
        <f t="shared" si="211"/>
        <v/>
      </c>
      <c r="CL159" s="610" t="str">
        <f>IF(ISBLANK(H159),"",IF(AND(ISNUMBER(F159),ISNUMBER(G159),ISNUMBER(H159)),ROUND(F159/(H159*G159),2),ROUND(F159/(VALUE(LEFT(H159,SUM(LEN(H159)-LEN(SUBSTITUTE(H159,{"0","1","2","3","4","5","6","7","8","9","."},"")))))*G159),2)))</f>
        <v/>
      </c>
      <c r="CM159" s="616" t="str">
        <f t="shared" si="163"/>
        <v/>
      </c>
      <c r="CN159" s="616" t="str">
        <f>IF(ISNUMBER(P159),MAX('Adjustment factors'!$S$16,(0.2+0.8*P159)),IF(ISTEXT(N159),VLOOKUP(N159,Afactors,2,FALSE),""))</f>
        <v/>
      </c>
      <c r="CO159" s="616" t="str">
        <f>IF(ISNUMBER(S159),MAX('Adjustment factors'!$S$16,0.2+0.8*S159),IF(ISTEXT(Q159),VLOOKUP(Q159,Afactors,2,FALSE),""))</f>
        <v/>
      </c>
      <c r="CP159" s="611" t="str">
        <f t="shared" si="229"/>
        <v/>
      </c>
      <c r="CQ159" s="612" t="str">
        <f t="shared" si="230"/>
        <v/>
      </c>
      <c r="CR159" s="340"/>
      <c r="CS159" s="340"/>
      <c r="CT159" s="340"/>
      <c r="CU159" s="340"/>
      <c r="CV159" s="333"/>
      <c r="CW159" s="333"/>
      <c r="CX159" s="333"/>
      <c r="CY159" s="333"/>
      <c r="DA159" s="313" t="str">
        <f t="shared" si="212"/>
        <v>OK</v>
      </c>
      <c r="DB159" s="313" t="str">
        <f t="shared" si="213"/>
        <v>OK</v>
      </c>
      <c r="DC159" s="313" t="str">
        <f t="shared" si="214"/>
        <v>OK</v>
      </c>
      <c r="DD159" s="313" t="str">
        <f t="shared" si="215"/>
        <v>OK</v>
      </c>
      <c r="DE159" s="153" t="str">
        <f t="shared" si="216"/>
        <v>OK</v>
      </c>
      <c r="DF159" s="314" t="str">
        <f t="shared" si="217"/>
        <v>OK</v>
      </c>
      <c r="DG159" s="482" t="str">
        <f t="shared" si="231"/>
        <v>OK</v>
      </c>
      <c r="DH159" s="482" t="str">
        <f>IF(OR(AND(T159='Adjustment factors'!$R$28,'Class 3, 5-9'!U159='Adjustment factors'!$R$29),AND('Class 3, 5-9'!T159='Adjustment factors'!$R$29,'Class 3, 5-9'!U159='Adjustment factors'!$R$28)),"Invalid combination of adjustment factors",IF(AND(T159=U159,NOT(ISBLANK(T159)),NOT(ISBLANK(U159))),"Same colour factor selected twice","OK"))</f>
        <v>OK</v>
      </c>
      <c r="DI159" s="313" t="str">
        <f t="shared" si="218"/>
        <v>OK</v>
      </c>
      <c r="DJ159" s="153" t="str">
        <f t="shared" si="164"/>
        <v>OK</v>
      </c>
      <c r="DK159" s="153" t="str">
        <f t="shared" si="219"/>
        <v>OK</v>
      </c>
      <c r="DL159" s="313" t="str">
        <f t="shared" si="220"/>
        <v>OK</v>
      </c>
      <c r="DM159" s="153" t="str">
        <f t="shared" si="221"/>
        <v>OK</v>
      </c>
      <c r="DN159" s="153" t="str">
        <f t="shared" si="165"/>
        <v>OK</v>
      </c>
      <c r="DO159" s="154" t="str">
        <f t="shared" si="166"/>
        <v>OK</v>
      </c>
      <c r="DP159" s="153" t="str">
        <f t="shared" si="222"/>
        <v>OK</v>
      </c>
      <c r="DQ159" s="313" t="str">
        <f t="shared" si="223"/>
        <v>OK</v>
      </c>
      <c r="DR159" s="153" t="str">
        <f t="shared" si="167"/>
        <v>OK</v>
      </c>
      <c r="DS159" s="153" t="str">
        <f t="shared" si="224"/>
        <v>OK</v>
      </c>
      <c r="DT159" s="313" t="str">
        <f t="shared" si="182"/>
        <v>OK</v>
      </c>
      <c r="DU159" s="153" t="str">
        <f t="shared" si="225"/>
        <v>OK</v>
      </c>
      <c r="DV159" s="153" t="str">
        <f t="shared" si="168"/>
        <v>OK</v>
      </c>
      <c r="DW159" s="154" t="str">
        <f t="shared" si="169"/>
        <v>OK</v>
      </c>
      <c r="DX159" s="157">
        <f t="shared" si="170"/>
        <v>0</v>
      </c>
      <c r="DY159" s="156" t="str">
        <f t="shared" si="171"/>
        <v>OK</v>
      </c>
    </row>
    <row r="160" spans="1:129" ht="13" hidden="1" x14ac:dyDescent="0.3">
      <c r="A160" s="333"/>
      <c r="B160" s="333"/>
      <c r="C160" s="331" t="str">
        <f t="shared" si="181"/>
        <v>-</v>
      </c>
      <c r="D160" s="584">
        <f t="shared" si="176"/>
        <v>137</v>
      </c>
      <c r="E160" s="585"/>
      <c r="F160" s="586"/>
      <c r="G160" s="600"/>
      <c r="H160" s="587"/>
      <c r="I160" s="601"/>
      <c r="J160" s="585"/>
      <c r="K160" s="617"/>
      <c r="L160" s="602"/>
      <c r="M160" s="603"/>
      <c r="N160" s="588"/>
      <c r="O160" s="604"/>
      <c r="P160" s="605"/>
      <c r="Q160" s="588"/>
      <c r="R160" s="604"/>
      <c r="S160" s="605"/>
      <c r="T160" s="606"/>
      <c r="U160" s="606"/>
      <c r="V160" s="429" t="str">
        <f t="shared" si="178"/>
        <v/>
      </c>
      <c r="W160" s="430" t="str">
        <f t="shared" si="175"/>
        <v/>
      </c>
      <c r="X160" s="66" t="str">
        <f>IF(AND(ISNUMBER(P160),N160=FixedDim),MAX('Adjustment factors'!$S$16,0.2+0.8*P160),IF(ISTEXT(N160),VLOOKUP(N160,Afactors,2,TRUE),""))</f>
        <v/>
      </c>
      <c r="Y160" s="17" t="str">
        <f>IF(AND(ISNUMBER(S160),Q160=FixedDim),MAX('Adjustment factors'!$S$16,0.2+0.8*S160),IF(ISTEXT(Q160),VLOOKUP(Q160,Afactors,2,TRUE),""))</f>
        <v/>
      </c>
      <c r="Z160" s="297" t="str">
        <f>IF(ISBLANK(T160),"",VLOOKUP(T160,'Adjustment factors'!$R$27:$S$30,2,TRUE))</f>
        <v/>
      </c>
      <c r="AA160" s="297" t="str">
        <f>IF(ISBLANK(U160),"",VLOOKUP(U160,'Adjustment factors'!$R$27:$S$30,2,TRUE))</f>
        <v/>
      </c>
      <c r="AB160" s="480">
        <f t="shared" si="226"/>
        <v>1</v>
      </c>
      <c r="AC160" s="18" t="b">
        <f t="shared" si="183"/>
        <v>0</v>
      </c>
      <c r="AD160" s="18" t="b">
        <f t="shared" si="184"/>
        <v>0</v>
      </c>
      <c r="AE160" s="18" t="b">
        <f t="shared" si="172"/>
        <v>0</v>
      </c>
      <c r="AF160" s="17" t="str">
        <f t="shared" si="185"/>
        <v/>
      </c>
      <c r="AG160" s="18" t="str">
        <f t="shared" si="186"/>
        <v/>
      </c>
      <c r="AH160" s="17" t="str">
        <f t="shared" si="173"/>
        <v/>
      </c>
      <c r="AI160" s="297" t="e">
        <f t="shared" si="227"/>
        <v>#VALUE!</v>
      </c>
      <c r="AJ160" s="79" t="e">
        <f t="shared" si="187"/>
        <v>#VALUE!</v>
      </c>
      <c r="AK160" s="17" t="str">
        <f t="shared" si="174"/>
        <v/>
      </c>
      <c r="AL160" s="80" t="e">
        <f t="shared" si="188"/>
        <v>#VALUE!</v>
      </c>
      <c r="AM160" s="139" t="b">
        <f t="shared" si="189"/>
        <v>1</v>
      </c>
      <c r="AN160" s="139" t="b">
        <f>AND(COUNTA(E160)&gt;0,ISNUMBER(F160),OR(COUNT(G160:H160)=0,COUNT(G160:H160)=2,AND(ISNUMBER(G160),ISNUMBER(VALUE(LEFT(H160,SUM(LEN(H160)-LEN(SUBSTITUTE(H160,{"0","1","2","3","4","5","6","7","8","9","."},"")))))))),ISNUMBER(I160),ISTEXT(J160))</f>
        <v>0</v>
      </c>
      <c r="AO160" s="19" t="b">
        <f t="shared" si="190"/>
        <v>0</v>
      </c>
      <c r="AP160" s="19" t="b">
        <f t="shared" si="191"/>
        <v>1</v>
      </c>
      <c r="AQ160" s="19" t="b">
        <f>IF(AND(COUNTBLANK(E160:J160)=6,OR(AN161:AN$523)),NOT(AN160))</f>
        <v>0</v>
      </c>
      <c r="AR160" s="19" t="str">
        <f t="shared" si="192"/>
        <v/>
      </c>
      <c r="AS160" s="19" t="b">
        <f t="shared" si="193"/>
        <v>1</v>
      </c>
      <c r="AT160" s="19" t="str">
        <f t="shared" si="194"/>
        <v/>
      </c>
      <c r="AU160" s="19" t="b">
        <f t="shared" si="195"/>
        <v>1</v>
      </c>
      <c r="AV160" s="140" t="str">
        <f t="shared" si="156"/>
        <v/>
      </c>
      <c r="AW160" s="19" t="str">
        <f t="shared" si="196"/>
        <v/>
      </c>
      <c r="AX160" s="81">
        <f t="shared" si="197"/>
        <v>0</v>
      </c>
      <c r="AY160" s="81" t="str">
        <f t="shared" si="198"/>
        <v/>
      </c>
      <c r="AZ160" s="307" t="str">
        <f t="shared" si="228"/>
        <v/>
      </c>
      <c r="BA160" s="281" t="str">
        <f t="shared" si="157"/>
        <v/>
      </c>
      <c r="BB160" s="281" t="str">
        <f t="shared" si="158"/>
        <v/>
      </c>
      <c r="BC160" s="953"/>
      <c r="BD160" s="955"/>
      <c r="BE160" s="219" t="str">
        <f t="shared" si="199"/>
        <v>n/a</v>
      </c>
      <c r="BF160" s="215" t="b">
        <f t="shared" si="200"/>
        <v>0</v>
      </c>
      <c r="BG160" s="145" t="b">
        <f t="shared" si="201"/>
        <v>0</v>
      </c>
      <c r="BH160" s="145" t="b">
        <f t="shared" si="202"/>
        <v>0</v>
      </c>
      <c r="BI160" s="216" t="b">
        <f t="shared" si="203"/>
        <v>0</v>
      </c>
      <c r="BJ160" s="215" t="b">
        <f t="shared" si="204"/>
        <v>0</v>
      </c>
      <c r="BK160" s="145" t="b">
        <f t="shared" si="205"/>
        <v>0</v>
      </c>
      <c r="BL160" s="216" t="b">
        <f t="shared" si="206"/>
        <v>0</v>
      </c>
      <c r="BM160" s="217" t="str">
        <f t="shared" si="159"/>
        <v/>
      </c>
      <c r="BN160" s="146" t="str">
        <f t="shared" si="160"/>
        <v/>
      </c>
      <c r="BO160" s="147" t="str">
        <f t="shared" si="161"/>
        <v/>
      </c>
      <c r="BP160" s="148" t="str">
        <f t="shared" si="162"/>
        <v/>
      </c>
      <c r="BT160" s="50">
        <f t="shared" si="177"/>
        <v>137</v>
      </c>
      <c r="BU160" s="50" t="str">
        <f t="shared" si="180"/>
        <v>-</v>
      </c>
      <c r="BW160" s="333"/>
      <c r="BX160" s="333"/>
      <c r="BY160" s="333"/>
      <c r="BZ160" s="333"/>
      <c r="CA160" s="333"/>
      <c r="CB160" s="333"/>
      <c r="CC160" s="333"/>
      <c r="CD160" s="333"/>
      <c r="CE160" s="333"/>
      <c r="CF160" s="333"/>
      <c r="CG160" s="354">
        <f t="shared" si="207"/>
        <v>137</v>
      </c>
      <c r="CH160" s="613">
        <f t="shared" si="208"/>
        <v>0</v>
      </c>
      <c r="CI160" s="613">
        <f t="shared" si="209"/>
        <v>0</v>
      </c>
      <c r="CJ160" s="614" t="str">
        <f t="shared" si="210"/>
        <v/>
      </c>
      <c r="CK160" s="615" t="str">
        <f t="shared" si="211"/>
        <v/>
      </c>
      <c r="CL160" s="610" t="str">
        <f>IF(ISBLANK(H160),"",IF(AND(ISNUMBER(F160),ISNUMBER(G160),ISNUMBER(H160)),ROUND(F160/(H160*G160),2),ROUND(F160/(VALUE(LEFT(H160,SUM(LEN(H160)-LEN(SUBSTITUTE(H160,{"0","1","2","3","4","5","6","7","8","9","."},"")))))*G160),2)))</f>
        <v/>
      </c>
      <c r="CM160" s="616" t="str">
        <f t="shared" si="163"/>
        <v/>
      </c>
      <c r="CN160" s="616" t="str">
        <f>IF(ISNUMBER(P160),MAX('Adjustment factors'!$S$16,(0.2+0.8*P160)),IF(ISTEXT(N160),VLOOKUP(N160,Afactors,2,FALSE),""))</f>
        <v/>
      </c>
      <c r="CO160" s="616" t="str">
        <f>IF(ISNUMBER(S160),MAX('Adjustment factors'!$S$16,0.2+0.8*S160),IF(ISTEXT(Q160),VLOOKUP(Q160,Afactors,2,FALSE),""))</f>
        <v/>
      </c>
      <c r="CP160" s="611" t="str">
        <f t="shared" si="229"/>
        <v/>
      </c>
      <c r="CQ160" s="612" t="str">
        <f t="shared" si="230"/>
        <v/>
      </c>
      <c r="CR160" s="340"/>
      <c r="CS160" s="340"/>
      <c r="CT160" s="340"/>
      <c r="CU160" s="340"/>
      <c r="CV160" s="333"/>
      <c r="CW160" s="333"/>
      <c r="CX160" s="333"/>
      <c r="CY160" s="333"/>
      <c r="DA160" s="313" t="str">
        <f t="shared" si="212"/>
        <v>OK</v>
      </c>
      <c r="DB160" s="313" t="str">
        <f t="shared" si="213"/>
        <v>OK</v>
      </c>
      <c r="DC160" s="313" t="str">
        <f t="shared" si="214"/>
        <v>OK</v>
      </c>
      <c r="DD160" s="313" t="str">
        <f t="shared" si="215"/>
        <v>OK</v>
      </c>
      <c r="DE160" s="153" t="str">
        <f t="shared" si="216"/>
        <v>OK</v>
      </c>
      <c r="DF160" s="314" t="str">
        <f t="shared" si="217"/>
        <v>OK</v>
      </c>
      <c r="DG160" s="482" t="str">
        <f t="shared" si="231"/>
        <v>OK</v>
      </c>
      <c r="DH160" s="482" t="str">
        <f>IF(OR(AND(T160='Adjustment factors'!$R$28,'Class 3, 5-9'!U160='Adjustment factors'!$R$29),AND('Class 3, 5-9'!T160='Adjustment factors'!$R$29,'Class 3, 5-9'!U160='Adjustment factors'!$R$28)),"Invalid combination of adjustment factors",IF(AND(T160=U160,NOT(ISBLANK(T160)),NOT(ISBLANK(U160))),"Same colour factor selected twice","OK"))</f>
        <v>OK</v>
      </c>
      <c r="DI160" s="313" t="str">
        <f t="shared" si="218"/>
        <v>OK</v>
      </c>
      <c r="DJ160" s="153" t="str">
        <f t="shared" si="164"/>
        <v>OK</v>
      </c>
      <c r="DK160" s="153" t="str">
        <f t="shared" si="219"/>
        <v>OK</v>
      </c>
      <c r="DL160" s="313" t="str">
        <f t="shared" si="220"/>
        <v>OK</v>
      </c>
      <c r="DM160" s="153" t="str">
        <f t="shared" si="221"/>
        <v>OK</v>
      </c>
      <c r="DN160" s="153" t="str">
        <f t="shared" si="165"/>
        <v>OK</v>
      </c>
      <c r="DO160" s="154" t="str">
        <f t="shared" si="166"/>
        <v>OK</v>
      </c>
      <c r="DP160" s="153" t="str">
        <f t="shared" si="222"/>
        <v>OK</v>
      </c>
      <c r="DQ160" s="313" t="str">
        <f t="shared" si="223"/>
        <v>OK</v>
      </c>
      <c r="DR160" s="153" t="str">
        <f t="shared" si="167"/>
        <v>OK</v>
      </c>
      <c r="DS160" s="153" t="str">
        <f t="shared" si="224"/>
        <v>OK</v>
      </c>
      <c r="DT160" s="313" t="str">
        <f t="shared" si="182"/>
        <v>OK</v>
      </c>
      <c r="DU160" s="153" t="str">
        <f t="shared" si="225"/>
        <v>OK</v>
      </c>
      <c r="DV160" s="153" t="str">
        <f t="shared" si="168"/>
        <v>OK</v>
      </c>
      <c r="DW160" s="154" t="str">
        <f t="shared" si="169"/>
        <v>OK</v>
      </c>
      <c r="DX160" s="157">
        <f t="shared" si="170"/>
        <v>0</v>
      </c>
      <c r="DY160" s="156" t="str">
        <f t="shared" si="171"/>
        <v>OK</v>
      </c>
    </row>
    <row r="161" spans="1:129" ht="13" hidden="1" x14ac:dyDescent="0.3">
      <c r="A161" s="333"/>
      <c r="B161" s="333"/>
      <c r="C161" s="331" t="str">
        <f t="shared" si="181"/>
        <v>-</v>
      </c>
      <c r="D161" s="584">
        <f t="shared" si="176"/>
        <v>138</v>
      </c>
      <c r="E161" s="585"/>
      <c r="F161" s="586"/>
      <c r="G161" s="600"/>
      <c r="H161" s="587"/>
      <c r="I161" s="601"/>
      <c r="J161" s="585"/>
      <c r="K161" s="617"/>
      <c r="L161" s="602"/>
      <c r="M161" s="603"/>
      <c r="N161" s="588"/>
      <c r="O161" s="604"/>
      <c r="P161" s="605"/>
      <c r="Q161" s="588"/>
      <c r="R161" s="604"/>
      <c r="S161" s="605"/>
      <c r="T161" s="606"/>
      <c r="U161" s="606"/>
      <c r="V161" s="429" t="str">
        <f t="shared" si="178"/>
        <v/>
      </c>
      <c r="W161" s="430" t="str">
        <f t="shared" si="175"/>
        <v/>
      </c>
      <c r="X161" s="66" t="str">
        <f>IF(AND(ISNUMBER(P161),N161=FixedDim),MAX('Adjustment factors'!$S$16,0.2+0.8*P161),IF(ISTEXT(N161),VLOOKUP(N161,Afactors,2,TRUE),""))</f>
        <v/>
      </c>
      <c r="Y161" s="17" t="str">
        <f>IF(AND(ISNUMBER(S161),Q161=FixedDim),MAX('Adjustment factors'!$S$16,0.2+0.8*S161),IF(ISTEXT(Q161),VLOOKUP(Q161,Afactors,2,TRUE),""))</f>
        <v/>
      </c>
      <c r="Z161" s="297" t="str">
        <f>IF(ISBLANK(T161),"",VLOOKUP(T161,'Adjustment factors'!$R$27:$S$30,2,TRUE))</f>
        <v/>
      </c>
      <c r="AA161" s="297" t="str">
        <f>IF(ISBLANK(U161),"",VLOOKUP(U161,'Adjustment factors'!$R$27:$S$30,2,TRUE))</f>
        <v/>
      </c>
      <c r="AB161" s="480">
        <f t="shared" si="226"/>
        <v>1</v>
      </c>
      <c r="AC161" s="18" t="b">
        <f t="shared" si="183"/>
        <v>0</v>
      </c>
      <c r="AD161" s="18" t="b">
        <f t="shared" si="184"/>
        <v>0</v>
      </c>
      <c r="AE161" s="18" t="b">
        <f t="shared" si="172"/>
        <v>0</v>
      </c>
      <c r="AF161" s="17" t="str">
        <f t="shared" si="185"/>
        <v/>
      </c>
      <c r="AG161" s="18" t="str">
        <f t="shared" si="186"/>
        <v/>
      </c>
      <c r="AH161" s="17" t="str">
        <f t="shared" si="173"/>
        <v/>
      </c>
      <c r="AI161" s="297" t="e">
        <f t="shared" si="227"/>
        <v>#VALUE!</v>
      </c>
      <c r="AJ161" s="79" t="e">
        <f t="shared" si="187"/>
        <v>#VALUE!</v>
      </c>
      <c r="AK161" s="17" t="str">
        <f t="shared" si="174"/>
        <v/>
      </c>
      <c r="AL161" s="80" t="e">
        <f t="shared" si="188"/>
        <v>#VALUE!</v>
      </c>
      <c r="AM161" s="139" t="b">
        <f t="shared" si="189"/>
        <v>1</v>
      </c>
      <c r="AN161" s="139" t="b">
        <f>AND(COUNTA(E161)&gt;0,ISNUMBER(F161),OR(COUNT(G161:H161)=0,COUNT(G161:H161)=2,AND(ISNUMBER(G161),ISNUMBER(VALUE(LEFT(H161,SUM(LEN(H161)-LEN(SUBSTITUTE(H161,{"0","1","2","3","4","5","6","7","8","9","."},"")))))))),ISNUMBER(I161),ISTEXT(J161))</f>
        <v>0</v>
      </c>
      <c r="AO161" s="19" t="b">
        <f t="shared" si="190"/>
        <v>0</v>
      </c>
      <c r="AP161" s="19" t="b">
        <f t="shared" si="191"/>
        <v>1</v>
      </c>
      <c r="AQ161" s="19" t="b">
        <f>IF(AND(COUNTBLANK(E161:J161)=6,OR(AN162:AN$523)),NOT(AN161))</f>
        <v>0</v>
      </c>
      <c r="AR161" s="19" t="str">
        <f t="shared" si="192"/>
        <v/>
      </c>
      <c r="AS161" s="19" t="b">
        <f t="shared" si="193"/>
        <v>1</v>
      </c>
      <c r="AT161" s="19" t="str">
        <f t="shared" si="194"/>
        <v/>
      </c>
      <c r="AU161" s="19" t="b">
        <f t="shared" si="195"/>
        <v>1</v>
      </c>
      <c r="AV161" s="140" t="str">
        <f t="shared" si="156"/>
        <v/>
      </c>
      <c r="AW161" s="19" t="str">
        <f t="shared" si="196"/>
        <v/>
      </c>
      <c r="AX161" s="81">
        <f t="shared" si="197"/>
        <v>0</v>
      </c>
      <c r="AY161" s="81" t="str">
        <f t="shared" si="198"/>
        <v/>
      </c>
      <c r="AZ161" s="307" t="str">
        <f t="shared" si="228"/>
        <v/>
      </c>
      <c r="BA161" s="281" t="str">
        <f t="shared" si="157"/>
        <v/>
      </c>
      <c r="BB161" s="281" t="str">
        <f t="shared" si="158"/>
        <v/>
      </c>
      <c r="BC161" s="953"/>
      <c r="BD161" s="955"/>
      <c r="BE161" s="219" t="str">
        <f t="shared" si="199"/>
        <v>n/a</v>
      </c>
      <c r="BF161" s="215" t="b">
        <f t="shared" si="200"/>
        <v>0</v>
      </c>
      <c r="BG161" s="145" t="b">
        <f t="shared" si="201"/>
        <v>0</v>
      </c>
      <c r="BH161" s="145" t="b">
        <f t="shared" si="202"/>
        <v>0</v>
      </c>
      <c r="BI161" s="216" t="b">
        <f t="shared" si="203"/>
        <v>0</v>
      </c>
      <c r="BJ161" s="215" t="b">
        <f t="shared" si="204"/>
        <v>0</v>
      </c>
      <c r="BK161" s="145" t="b">
        <f t="shared" si="205"/>
        <v>0</v>
      </c>
      <c r="BL161" s="216" t="b">
        <f t="shared" si="206"/>
        <v>0</v>
      </c>
      <c r="BM161" s="217" t="str">
        <f t="shared" si="159"/>
        <v/>
      </c>
      <c r="BN161" s="146" t="str">
        <f t="shared" si="160"/>
        <v/>
      </c>
      <c r="BO161" s="147" t="str">
        <f t="shared" si="161"/>
        <v/>
      </c>
      <c r="BP161" s="148" t="str">
        <f t="shared" si="162"/>
        <v/>
      </c>
      <c r="BT161" s="50">
        <f t="shared" si="177"/>
        <v>138</v>
      </c>
      <c r="BU161" s="50" t="str">
        <f t="shared" si="180"/>
        <v>-</v>
      </c>
      <c r="BW161" s="333"/>
      <c r="BX161" s="333"/>
      <c r="BY161" s="333"/>
      <c r="BZ161" s="333"/>
      <c r="CA161" s="333"/>
      <c r="CB161" s="333"/>
      <c r="CC161" s="333"/>
      <c r="CD161" s="333"/>
      <c r="CE161" s="333"/>
      <c r="CF161" s="333"/>
      <c r="CG161" s="354">
        <f t="shared" si="207"/>
        <v>138</v>
      </c>
      <c r="CH161" s="613">
        <f t="shared" si="208"/>
        <v>0</v>
      </c>
      <c r="CI161" s="613">
        <f t="shared" si="209"/>
        <v>0</v>
      </c>
      <c r="CJ161" s="614" t="str">
        <f t="shared" si="210"/>
        <v/>
      </c>
      <c r="CK161" s="615" t="str">
        <f t="shared" si="211"/>
        <v/>
      </c>
      <c r="CL161" s="610" t="str">
        <f>IF(ISBLANK(H161),"",IF(AND(ISNUMBER(F161),ISNUMBER(G161),ISNUMBER(H161)),ROUND(F161/(H161*G161),2),ROUND(F161/(VALUE(LEFT(H161,SUM(LEN(H161)-LEN(SUBSTITUTE(H161,{"0","1","2","3","4","5","6","7","8","9","."},"")))))*G161),2)))</f>
        <v/>
      </c>
      <c r="CM161" s="616" t="str">
        <f t="shared" si="163"/>
        <v/>
      </c>
      <c r="CN161" s="616" t="str">
        <f>IF(ISNUMBER(P161),MAX('Adjustment factors'!$S$16,(0.2+0.8*P161)),IF(ISTEXT(N161),VLOOKUP(N161,Afactors,2,FALSE),""))</f>
        <v/>
      </c>
      <c r="CO161" s="616" t="str">
        <f>IF(ISNUMBER(S161),MAX('Adjustment factors'!$S$16,0.2+0.8*S161),IF(ISTEXT(Q161),VLOOKUP(Q161,Afactors,2,FALSE),""))</f>
        <v/>
      </c>
      <c r="CP161" s="611" t="str">
        <f t="shared" si="229"/>
        <v/>
      </c>
      <c r="CQ161" s="612" t="str">
        <f t="shared" si="230"/>
        <v/>
      </c>
      <c r="CR161" s="340"/>
      <c r="CS161" s="340"/>
      <c r="CT161" s="340"/>
      <c r="CU161" s="340"/>
      <c r="CV161" s="333"/>
      <c r="CW161" s="333"/>
      <c r="CX161" s="333"/>
      <c r="CY161" s="333"/>
      <c r="DA161" s="313" t="str">
        <f t="shared" si="212"/>
        <v>OK</v>
      </c>
      <c r="DB161" s="313" t="str">
        <f t="shared" si="213"/>
        <v>OK</v>
      </c>
      <c r="DC161" s="313" t="str">
        <f t="shared" si="214"/>
        <v>OK</v>
      </c>
      <c r="DD161" s="313" t="str">
        <f t="shared" si="215"/>
        <v>OK</v>
      </c>
      <c r="DE161" s="153" t="str">
        <f t="shared" si="216"/>
        <v>OK</v>
      </c>
      <c r="DF161" s="314" t="str">
        <f t="shared" si="217"/>
        <v>OK</v>
      </c>
      <c r="DG161" s="482" t="str">
        <f t="shared" si="231"/>
        <v>OK</v>
      </c>
      <c r="DH161" s="482" t="str">
        <f>IF(OR(AND(T161='Adjustment factors'!$R$28,'Class 3, 5-9'!U161='Adjustment factors'!$R$29),AND('Class 3, 5-9'!T161='Adjustment factors'!$R$29,'Class 3, 5-9'!U161='Adjustment factors'!$R$28)),"Invalid combination of adjustment factors",IF(AND(T161=U161,NOT(ISBLANK(T161)),NOT(ISBLANK(U161))),"Same colour factor selected twice","OK"))</f>
        <v>OK</v>
      </c>
      <c r="DI161" s="313" t="str">
        <f t="shared" si="218"/>
        <v>OK</v>
      </c>
      <c r="DJ161" s="153" t="str">
        <f t="shared" si="164"/>
        <v>OK</v>
      </c>
      <c r="DK161" s="153" t="str">
        <f t="shared" si="219"/>
        <v>OK</v>
      </c>
      <c r="DL161" s="313" t="str">
        <f t="shared" si="220"/>
        <v>OK</v>
      </c>
      <c r="DM161" s="153" t="str">
        <f t="shared" si="221"/>
        <v>OK</v>
      </c>
      <c r="DN161" s="153" t="str">
        <f t="shared" si="165"/>
        <v>OK</v>
      </c>
      <c r="DO161" s="154" t="str">
        <f t="shared" si="166"/>
        <v>OK</v>
      </c>
      <c r="DP161" s="153" t="str">
        <f t="shared" si="222"/>
        <v>OK</v>
      </c>
      <c r="DQ161" s="313" t="str">
        <f t="shared" si="223"/>
        <v>OK</v>
      </c>
      <c r="DR161" s="153" t="str">
        <f t="shared" si="167"/>
        <v>OK</v>
      </c>
      <c r="DS161" s="153" t="str">
        <f t="shared" si="224"/>
        <v>OK</v>
      </c>
      <c r="DT161" s="313" t="str">
        <f t="shared" si="182"/>
        <v>OK</v>
      </c>
      <c r="DU161" s="153" t="str">
        <f t="shared" si="225"/>
        <v>OK</v>
      </c>
      <c r="DV161" s="153" t="str">
        <f t="shared" si="168"/>
        <v>OK</v>
      </c>
      <c r="DW161" s="154" t="str">
        <f t="shared" si="169"/>
        <v>OK</v>
      </c>
      <c r="DX161" s="157">
        <f t="shared" si="170"/>
        <v>0</v>
      </c>
      <c r="DY161" s="156" t="str">
        <f t="shared" si="171"/>
        <v>OK</v>
      </c>
    </row>
    <row r="162" spans="1:129" ht="13" hidden="1" x14ac:dyDescent="0.3">
      <c r="A162" s="333"/>
      <c r="B162" s="333"/>
      <c r="C162" s="331" t="str">
        <f t="shared" si="181"/>
        <v>-</v>
      </c>
      <c r="D162" s="584">
        <f t="shared" si="176"/>
        <v>139</v>
      </c>
      <c r="E162" s="585"/>
      <c r="F162" s="586"/>
      <c r="G162" s="600"/>
      <c r="H162" s="587"/>
      <c r="I162" s="601"/>
      <c r="J162" s="585"/>
      <c r="K162" s="617"/>
      <c r="L162" s="602"/>
      <c r="M162" s="603"/>
      <c r="N162" s="588"/>
      <c r="O162" s="604"/>
      <c r="P162" s="605"/>
      <c r="Q162" s="588"/>
      <c r="R162" s="604"/>
      <c r="S162" s="605"/>
      <c r="T162" s="606"/>
      <c r="U162" s="606"/>
      <c r="V162" s="429" t="str">
        <f t="shared" si="178"/>
        <v/>
      </c>
      <c r="W162" s="430" t="str">
        <f t="shared" si="175"/>
        <v/>
      </c>
      <c r="X162" s="66" t="str">
        <f>IF(AND(ISNUMBER(P162),N162=FixedDim),MAX('Adjustment factors'!$S$16,0.2+0.8*P162),IF(ISTEXT(N162),VLOOKUP(N162,Afactors,2,TRUE),""))</f>
        <v/>
      </c>
      <c r="Y162" s="17" t="str">
        <f>IF(AND(ISNUMBER(S162),Q162=FixedDim),MAX('Adjustment factors'!$S$16,0.2+0.8*S162),IF(ISTEXT(Q162),VLOOKUP(Q162,Afactors,2,TRUE),""))</f>
        <v/>
      </c>
      <c r="Z162" s="297" t="str">
        <f>IF(ISBLANK(T162),"",VLOOKUP(T162,'Adjustment factors'!$R$27:$S$30,2,TRUE))</f>
        <v/>
      </c>
      <c r="AA162" s="297" t="str">
        <f>IF(ISBLANK(U162),"",VLOOKUP(U162,'Adjustment factors'!$R$27:$S$30,2,TRUE))</f>
        <v/>
      </c>
      <c r="AB162" s="480">
        <f t="shared" si="226"/>
        <v>1</v>
      </c>
      <c r="AC162" s="18" t="b">
        <f t="shared" si="183"/>
        <v>0</v>
      </c>
      <c r="AD162" s="18" t="b">
        <f t="shared" si="184"/>
        <v>0</v>
      </c>
      <c r="AE162" s="18" t="b">
        <f t="shared" si="172"/>
        <v>0</v>
      </c>
      <c r="AF162" s="17" t="str">
        <f t="shared" si="185"/>
        <v/>
      </c>
      <c r="AG162" s="18" t="str">
        <f t="shared" si="186"/>
        <v/>
      </c>
      <c r="AH162" s="17" t="str">
        <f t="shared" si="173"/>
        <v/>
      </c>
      <c r="AI162" s="297" t="e">
        <f t="shared" si="227"/>
        <v>#VALUE!</v>
      </c>
      <c r="AJ162" s="79" t="e">
        <f t="shared" si="187"/>
        <v>#VALUE!</v>
      </c>
      <c r="AK162" s="17" t="str">
        <f t="shared" si="174"/>
        <v/>
      </c>
      <c r="AL162" s="80" t="e">
        <f t="shared" si="188"/>
        <v>#VALUE!</v>
      </c>
      <c r="AM162" s="139" t="b">
        <f t="shared" si="189"/>
        <v>1</v>
      </c>
      <c r="AN162" s="139" t="b">
        <f>AND(COUNTA(E162)&gt;0,ISNUMBER(F162),OR(COUNT(G162:H162)=0,COUNT(G162:H162)=2,AND(ISNUMBER(G162),ISNUMBER(VALUE(LEFT(H162,SUM(LEN(H162)-LEN(SUBSTITUTE(H162,{"0","1","2","3","4","5","6","7","8","9","."},"")))))))),ISNUMBER(I162),ISTEXT(J162))</f>
        <v>0</v>
      </c>
      <c r="AO162" s="19" t="b">
        <f t="shared" si="190"/>
        <v>0</v>
      </c>
      <c r="AP162" s="19" t="b">
        <f t="shared" si="191"/>
        <v>1</v>
      </c>
      <c r="AQ162" s="19" t="b">
        <f>IF(AND(COUNTBLANK(E162:J162)=6,OR(AN163:AN$523)),NOT(AN162))</f>
        <v>0</v>
      </c>
      <c r="AR162" s="19" t="str">
        <f t="shared" si="192"/>
        <v/>
      </c>
      <c r="AS162" s="19" t="b">
        <f t="shared" si="193"/>
        <v>1</v>
      </c>
      <c r="AT162" s="19" t="str">
        <f t="shared" si="194"/>
        <v/>
      </c>
      <c r="AU162" s="19" t="b">
        <f t="shared" si="195"/>
        <v>1</v>
      </c>
      <c r="AV162" s="140" t="str">
        <f t="shared" si="156"/>
        <v/>
      </c>
      <c r="AW162" s="19" t="str">
        <f t="shared" si="196"/>
        <v/>
      </c>
      <c r="AX162" s="81">
        <f t="shared" si="197"/>
        <v>0</v>
      </c>
      <c r="AY162" s="81" t="str">
        <f t="shared" si="198"/>
        <v/>
      </c>
      <c r="AZ162" s="307" t="str">
        <f t="shared" si="228"/>
        <v/>
      </c>
      <c r="BA162" s="281" t="str">
        <f t="shared" si="157"/>
        <v/>
      </c>
      <c r="BB162" s="281" t="str">
        <f t="shared" si="158"/>
        <v/>
      </c>
      <c r="BC162" s="953"/>
      <c r="BD162" s="955"/>
      <c r="BE162" s="219" t="str">
        <f t="shared" si="199"/>
        <v>n/a</v>
      </c>
      <c r="BF162" s="215" t="b">
        <f t="shared" si="200"/>
        <v>0</v>
      </c>
      <c r="BG162" s="145" t="b">
        <f t="shared" si="201"/>
        <v>0</v>
      </c>
      <c r="BH162" s="145" t="b">
        <f t="shared" si="202"/>
        <v>0</v>
      </c>
      <c r="BI162" s="216" t="b">
        <f t="shared" si="203"/>
        <v>0</v>
      </c>
      <c r="BJ162" s="215" t="b">
        <f t="shared" si="204"/>
        <v>0</v>
      </c>
      <c r="BK162" s="145" t="b">
        <f t="shared" si="205"/>
        <v>0</v>
      </c>
      <c r="BL162" s="216" t="b">
        <f t="shared" si="206"/>
        <v>0</v>
      </c>
      <c r="BM162" s="217" t="str">
        <f t="shared" si="159"/>
        <v/>
      </c>
      <c r="BN162" s="146" t="str">
        <f t="shared" si="160"/>
        <v/>
      </c>
      <c r="BO162" s="147" t="str">
        <f t="shared" si="161"/>
        <v/>
      </c>
      <c r="BP162" s="148" t="str">
        <f t="shared" si="162"/>
        <v/>
      </c>
      <c r="BT162" s="50">
        <f t="shared" si="177"/>
        <v>139</v>
      </c>
      <c r="BU162" s="50" t="str">
        <f t="shared" si="180"/>
        <v>-</v>
      </c>
      <c r="BW162" s="333"/>
      <c r="BX162" s="333"/>
      <c r="BY162" s="333"/>
      <c r="BZ162" s="333"/>
      <c r="CA162" s="333"/>
      <c r="CB162" s="333"/>
      <c r="CC162" s="333"/>
      <c r="CD162" s="333"/>
      <c r="CE162" s="333"/>
      <c r="CF162" s="333"/>
      <c r="CG162" s="354">
        <f t="shared" si="207"/>
        <v>139</v>
      </c>
      <c r="CH162" s="613">
        <f t="shared" si="208"/>
        <v>0</v>
      </c>
      <c r="CI162" s="613">
        <f t="shared" si="209"/>
        <v>0</v>
      </c>
      <c r="CJ162" s="614" t="str">
        <f t="shared" si="210"/>
        <v/>
      </c>
      <c r="CK162" s="615" t="str">
        <f t="shared" si="211"/>
        <v/>
      </c>
      <c r="CL162" s="610" t="str">
        <f>IF(ISBLANK(H162),"",IF(AND(ISNUMBER(F162),ISNUMBER(G162),ISNUMBER(H162)),ROUND(F162/(H162*G162),2),ROUND(F162/(VALUE(LEFT(H162,SUM(LEN(H162)-LEN(SUBSTITUTE(H162,{"0","1","2","3","4","5","6","7","8","9","."},"")))))*G162),2)))</f>
        <v/>
      </c>
      <c r="CM162" s="616" t="str">
        <f t="shared" si="163"/>
        <v/>
      </c>
      <c r="CN162" s="616" t="str">
        <f>IF(ISNUMBER(P162),MAX('Adjustment factors'!$S$16,(0.2+0.8*P162)),IF(ISTEXT(N162),VLOOKUP(N162,Afactors,2,FALSE),""))</f>
        <v/>
      </c>
      <c r="CO162" s="616" t="str">
        <f>IF(ISNUMBER(S162),MAX('Adjustment factors'!$S$16,0.2+0.8*S162),IF(ISTEXT(Q162),VLOOKUP(Q162,Afactors,2,FALSE),""))</f>
        <v/>
      </c>
      <c r="CP162" s="611" t="str">
        <f t="shared" si="229"/>
        <v/>
      </c>
      <c r="CQ162" s="612" t="str">
        <f t="shared" si="230"/>
        <v/>
      </c>
      <c r="CR162" s="340"/>
      <c r="CS162" s="340"/>
      <c r="CT162" s="340"/>
      <c r="CU162" s="340"/>
      <c r="CV162" s="333"/>
      <c r="CW162" s="333"/>
      <c r="CX162" s="333"/>
      <c r="CY162" s="333"/>
      <c r="DA162" s="313" t="str">
        <f t="shared" si="212"/>
        <v>OK</v>
      </c>
      <c r="DB162" s="313" t="str">
        <f t="shared" si="213"/>
        <v>OK</v>
      </c>
      <c r="DC162" s="313" t="str">
        <f t="shared" si="214"/>
        <v>OK</v>
      </c>
      <c r="DD162" s="313" t="str">
        <f t="shared" si="215"/>
        <v>OK</v>
      </c>
      <c r="DE162" s="153" t="str">
        <f t="shared" si="216"/>
        <v>OK</v>
      </c>
      <c r="DF162" s="314" t="str">
        <f t="shared" si="217"/>
        <v>OK</v>
      </c>
      <c r="DG162" s="482" t="str">
        <f t="shared" si="231"/>
        <v>OK</v>
      </c>
      <c r="DH162" s="482" t="str">
        <f>IF(OR(AND(T162='Adjustment factors'!$R$28,'Class 3, 5-9'!U162='Adjustment factors'!$R$29),AND('Class 3, 5-9'!T162='Adjustment factors'!$R$29,'Class 3, 5-9'!U162='Adjustment factors'!$R$28)),"Invalid combination of adjustment factors",IF(AND(T162=U162,NOT(ISBLANK(T162)),NOT(ISBLANK(U162))),"Same colour factor selected twice","OK"))</f>
        <v>OK</v>
      </c>
      <c r="DI162" s="313" t="str">
        <f t="shared" si="218"/>
        <v>OK</v>
      </c>
      <c r="DJ162" s="153" t="str">
        <f t="shared" si="164"/>
        <v>OK</v>
      </c>
      <c r="DK162" s="153" t="str">
        <f t="shared" si="219"/>
        <v>OK</v>
      </c>
      <c r="DL162" s="313" t="str">
        <f t="shared" si="220"/>
        <v>OK</v>
      </c>
      <c r="DM162" s="153" t="str">
        <f t="shared" si="221"/>
        <v>OK</v>
      </c>
      <c r="DN162" s="153" t="str">
        <f t="shared" si="165"/>
        <v>OK</v>
      </c>
      <c r="DO162" s="154" t="str">
        <f t="shared" si="166"/>
        <v>OK</v>
      </c>
      <c r="DP162" s="153" t="str">
        <f t="shared" si="222"/>
        <v>OK</v>
      </c>
      <c r="DQ162" s="313" t="str">
        <f t="shared" si="223"/>
        <v>OK</v>
      </c>
      <c r="DR162" s="153" t="str">
        <f t="shared" si="167"/>
        <v>OK</v>
      </c>
      <c r="DS162" s="153" t="str">
        <f t="shared" si="224"/>
        <v>OK</v>
      </c>
      <c r="DT162" s="313" t="str">
        <f t="shared" si="182"/>
        <v>OK</v>
      </c>
      <c r="DU162" s="153" t="str">
        <f t="shared" si="225"/>
        <v>OK</v>
      </c>
      <c r="DV162" s="153" t="str">
        <f t="shared" si="168"/>
        <v>OK</v>
      </c>
      <c r="DW162" s="154" t="str">
        <f t="shared" si="169"/>
        <v>OK</v>
      </c>
      <c r="DX162" s="157">
        <f t="shared" si="170"/>
        <v>0</v>
      </c>
      <c r="DY162" s="156" t="str">
        <f t="shared" si="171"/>
        <v>OK</v>
      </c>
    </row>
    <row r="163" spans="1:129" ht="13" hidden="1" x14ac:dyDescent="0.3">
      <c r="A163" s="333"/>
      <c r="B163" s="333"/>
      <c r="C163" s="332" t="str">
        <f t="shared" si="181"/>
        <v>-</v>
      </c>
      <c r="D163" s="584">
        <f t="shared" si="176"/>
        <v>140</v>
      </c>
      <c r="E163" s="585"/>
      <c r="F163" s="586"/>
      <c r="G163" s="600"/>
      <c r="H163" s="587"/>
      <c r="I163" s="601"/>
      <c r="J163" s="585"/>
      <c r="K163" s="617"/>
      <c r="L163" s="602"/>
      <c r="M163" s="603"/>
      <c r="N163" s="588"/>
      <c r="O163" s="604"/>
      <c r="P163" s="605"/>
      <c r="Q163" s="588"/>
      <c r="R163" s="604"/>
      <c r="S163" s="605"/>
      <c r="T163" s="606"/>
      <c r="U163" s="606"/>
      <c r="V163" s="429" t="str">
        <f t="shared" si="178"/>
        <v/>
      </c>
      <c r="W163" s="430" t="str">
        <f t="shared" si="175"/>
        <v/>
      </c>
      <c r="X163" s="66" t="str">
        <f>IF(AND(ISNUMBER(P163),N163=FixedDim),MAX('Adjustment factors'!$S$16,0.2+0.8*P163),IF(ISTEXT(N163),VLOOKUP(N163,Afactors,2,TRUE),""))</f>
        <v/>
      </c>
      <c r="Y163" s="17" t="str">
        <f>IF(AND(ISNUMBER(S163),Q163=FixedDim),MAX('Adjustment factors'!$S$16,0.2+0.8*S163),IF(ISTEXT(Q163),VLOOKUP(Q163,Afactors,2,TRUE),""))</f>
        <v/>
      </c>
      <c r="Z163" s="297" t="str">
        <f>IF(ISBLANK(T163),"",VLOOKUP(T163,'Adjustment factors'!$R$27:$S$30,2,TRUE))</f>
        <v/>
      </c>
      <c r="AA163" s="297" t="str">
        <f>IF(ISBLANK(U163),"",VLOOKUP(U163,'Adjustment factors'!$R$27:$S$30,2,TRUE))</f>
        <v/>
      </c>
      <c r="AB163" s="480">
        <f t="shared" si="226"/>
        <v>1</v>
      </c>
      <c r="AC163" s="18" t="b">
        <f t="shared" si="183"/>
        <v>0</v>
      </c>
      <c r="AD163" s="18" t="b">
        <f t="shared" si="184"/>
        <v>0</v>
      </c>
      <c r="AE163" s="18" t="b">
        <f t="shared" si="172"/>
        <v>0</v>
      </c>
      <c r="AF163" s="17" t="str">
        <f t="shared" si="185"/>
        <v/>
      </c>
      <c r="AG163" s="18" t="str">
        <f t="shared" si="186"/>
        <v/>
      </c>
      <c r="AH163" s="17" t="str">
        <f t="shared" si="173"/>
        <v/>
      </c>
      <c r="AI163" s="297" t="e">
        <f t="shared" si="227"/>
        <v>#VALUE!</v>
      </c>
      <c r="AJ163" s="79" t="e">
        <f t="shared" si="187"/>
        <v>#VALUE!</v>
      </c>
      <c r="AK163" s="17" t="str">
        <f t="shared" si="174"/>
        <v/>
      </c>
      <c r="AL163" s="80" t="e">
        <f t="shared" si="188"/>
        <v>#VALUE!</v>
      </c>
      <c r="AM163" s="139" t="b">
        <f t="shared" si="189"/>
        <v>1</v>
      </c>
      <c r="AN163" s="139" t="b">
        <f>AND(COUNTA(E163)&gt;0,ISNUMBER(F163),OR(COUNT(G163:H163)=0,COUNT(G163:H163)=2,AND(ISNUMBER(G163),ISNUMBER(VALUE(LEFT(H163,SUM(LEN(H163)-LEN(SUBSTITUTE(H163,{"0","1","2","3","4","5","6","7","8","9","."},"")))))))),ISNUMBER(I163),ISTEXT(J163))</f>
        <v>0</v>
      </c>
      <c r="AO163" s="19" t="b">
        <f t="shared" si="190"/>
        <v>0</v>
      </c>
      <c r="AP163" s="19" t="b">
        <f t="shared" si="191"/>
        <v>1</v>
      </c>
      <c r="AQ163" s="19" t="b">
        <f>IF(AND(COUNTBLANK(E163:J163)=6,OR(AN164:AN$523)),NOT(AN163))</f>
        <v>0</v>
      </c>
      <c r="AR163" s="19" t="str">
        <f t="shared" si="192"/>
        <v/>
      </c>
      <c r="AS163" s="19" t="b">
        <f t="shared" si="193"/>
        <v>1</v>
      </c>
      <c r="AT163" s="19" t="str">
        <f t="shared" si="194"/>
        <v/>
      </c>
      <c r="AU163" s="19" t="b">
        <f t="shared" si="195"/>
        <v>1</v>
      </c>
      <c r="AV163" s="140" t="str">
        <f t="shared" si="156"/>
        <v/>
      </c>
      <c r="AW163" s="19" t="str">
        <f t="shared" si="196"/>
        <v/>
      </c>
      <c r="AX163" s="81">
        <f t="shared" si="197"/>
        <v>0</v>
      </c>
      <c r="AY163" s="81" t="str">
        <f t="shared" si="198"/>
        <v/>
      </c>
      <c r="AZ163" s="307" t="str">
        <f t="shared" si="228"/>
        <v/>
      </c>
      <c r="BA163" s="281" t="str">
        <f t="shared" si="157"/>
        <v/>
      </c>
      <c r="BB163" s="281" t="str">
        <f t="shared" si="158"/>
        <v/>
      </c>
      <c r="BC163" s="953"/>
      <c r="BD163" s="955"/>
      <c r="BE163" s="219" t="str">
        <f t="shared" si="199"/>
        <v>n/a</v>
      </c>
      <c r="BF163" s="215" t="b">
        <f t="shared" si="200"/>
        <v>0</v>
      </c>
      <c r="BG163" s="145" t="b">
        <f t="shared" si="201"/>
        <v>0</v>
      </c>
      <c r="BH163" s="145" t="b">
        <f t="shared" si="202"/>
        <v>0</v>
      </c>
      <c r="BI163" s="216" t="b">
        <f t="shared" si="203"/>
        <v>0</v>
      </c>
      <c r="BJ163" s="215" t="b">
        <f t="shared" si="204"/>
        <v>0</v>
      </c>
      <c r="BK163" s="145" t="b">
        <f t="shared" si="205"/>
        <v>0</v>
      </c>
      <c r="BL163" s="216" t="b">
        <f t="shared" si="206"/>
        <v>0</v>
      </c>
      <c r="BM163" s="217" t="str">
        <f t="shared" si="159"/>
        <v/>
      </c>
      <c r="BN163" s="146" t="str">
        <f t="shared" si="160"/>
        <v/>
      </c>
      <c r="BO163" s="147" t="str">
        <f t="shared" si="161"/>
        <v/>
      </c>
      <c r="BP163" s="148" t="str">
        <f t="shared" si="162"/>
        <v/>
      </c>
      <c r="BT163" s="50">
        <f t="shared" si="177"/>
        <v>140</v>
      </c>
      <c r="BU163" s="50" t="str">
        <f t="shared" si="180"/>
        <v>-</v>
      </c>
      <c r="BW163" s="333"/>
      <c r="BX163" s="333"/>
      <c r="BY163" s="333"/>
      <c r="BZ163" s="333"/>
      <c r="CA163" s="333"/>
      <c r="CB163" s="333"/>
      <c r="CC163" s="333"/>
      <c r="CD163" s="333"/>
      <c r="CE163" s="333"/>
      <c r="CF163" s="333"/>
      <c r="CG163" s="354">
        <f t="shared" si="207"/>
        <v>140</v>
      </c>
      <c r="CH163" s="613">
        <f t="shared" si="208"/>
        <v>0</v>
      </c>
      <c r="CI163" s="613">
        <f t="shared" si="209"/>
        <v>0</v>
      </c>
      <c r="CJ163" s="614" t="str">
        <f t="shared" si="210"/>
        <v/>
      </c>
      <c r="CK163" s="615" t="str">
        <f t="shared" si="211"/>
        <v/>
      </c>
      <c r="CL163" s="610" t="str">
        <f>IF(ISBLANK(H163),"",IF(AND(ISNUMBER(F163),ISNUMBER(G163),ISNUMBER(H163)),ROUND(F163/(H163*G163),2),ROUND(F163/(VALUE(LEFT(H163,SUM(LEN(H163)-LEN(SUBSTITUTE(H163,{"0","1","2","3","4","5","6","7","8","9","."},"")))))*G163),2)))</f>
        <v/>
      </c>
      <c r="CM163" s="616" t="str">
        <f t="shared" si="163"/>
        <v/>
      </c>
      <c r="CN163" s="616" t="str">
        <f>IF(ISNUMBER(P163),MAX('Adjustment factors'!$S$16,(0.2+0.8*P163)),IF(ISTEXT(N163),VLOOKUP(N163,Afactors,2,FALSE),""))</f>
        <v/>
      </c>
      <c r="CO163" s="616" t="str">
        <f>IF(ISNUMBER(S163),MAX('Adjustment factors'!$S$16,0.2+0.8*S163),IF(ISTEXT(Q163),VLOOKUP(Q163,Afactors,2,FALSE),""))</f>
        <v/>
      </c>
      <c r="CP163" s="611" t="str">
        <f t="shared" si="229"/>
        <v/>
      </c>
      <c r="CQ163" s="612" t="str">
        <f t="shared" si="230"/>
        <v/>
      </c>
      <c r="CR163" s="340"/>
      <c r="CS163" s="340"/>
      <c r="CT163" s="340"/>
      <c r="CU163" s="340"/>
      <c r="CV163" s="333"/>
      <c r="CW163" s="333"/>
      <c r="CX163" s="333"/>
      <c r="CY163" s="333"/>
      <c r="DA163" s="313" t="str">
        <f t="shared" si="212"/>
        <v>OK</v>
      </c>
      <c r="DB163" s="313" t="str">
        <f t="shared" si="213"/>
        <v>OK</v>
      </c>
      <c r="DC163" s="313" t="str">
        <f t="shared" si="214"/>
        <v>OK</v>
      </c>
      <c r="DD163" s="313" t="str">
        <f t="shared" si="215"/>
        <v>OK</v>
      </c>
      <c r="DE163" s="153" t="str">
        <f t="shared" si="216"/>
        <v>OK</v>
      </c>
      <c r="DF163" s="314" t="str">
        <f t="shared" si="217"/>
        <v>OK</v>
      </c>
      <c r="DG163" s="482" t="str">
        <f t="shared" si="231"/>
        <v>OK</v>
      </c>
      <c r="DH163" s="482" t="str">
        <f>IF(OR(AND(T163='Adjustment factors'!$R$28,'Class 3, 5-9'!U163='Adjustment factors'!$R$29),AND('Class 3, 5-9'!T163='Adjustment factors'!$R$29,'Class 3, 5-9'!U163='Adjustment factors'!$R$28)),"Invalid combination of adjustment factors",IF(AND(T163=U163,NOT(ISBLANK(T163)),NOT(ISBLANK(U163))),"Same colour factor selected twice","OK"))</f>
        <v>OK</v>
      </c>
      <c r="DI163" s="313" t="str">
        <f t="shared" si="218"/>
        <v>OK</v>
      </c>
      <c r="DJ163" s="153" t="str">
        <f t="shared" si="164"/>
        <v>OK</v>
      </c>
      <c r="DK163" s="153" t="str">
        <f t="shared" si="219"/>
        <v>OK</v>
      </c>
      <c r="DL163" s="313" t="str">
        <f t="shared" si="220"/>
        <v>OK</v>
      </c>
      <c r="DM163" s="153" t="str">
        <f t="shared" si="221"/>
        <v>OK</v>
      </c>
      <c r="DN163" s="153" t="str">
        <f t="shared" si="165"/>
        <v>OK</v>
      </c>
      <c r="DO163" s="154" t="str">
        <f t="shared" si="166"/>
        <v>OK</v>
      </c>
      <c r="DP163" s="153" t="str">
        <f t="shared" si="222"/>
        <v>OK</v>
      </c>
      <c r="DQ163" s="313" t="str">
        <f t="shared" si="223"/>
        <v>OK</v>
      </c>
      <c r="DR163" s="153" t="str">
        <f t="shared" si="167"/>
        <v>OK</v>
      </c>
      <c r="DS163" s="153" t="str">
        <f t="shared" si="224"/>
        <v>OK</v>
      </c>
      <c r="DT163" s="313" t="str">
        <f t="shared" si="182"/>
        <v>OK</v>
      </c>
      <c r="DU163" s="153" t="str">
        <f t="shared" si="225"/>
        <v>OK</v>
      </c>
      <c r="DV163" s="153" t="str">
        <f t="shared" si="168"/>
        <v>OK</v>
      </c>
      <c r="DW163" s="154" t="str">
        <f t="shared" si="169"/>
        <v>OK</v>
      </c>
      <c r="DX163" s="157">
        <f t="shared" si="170"/>
        <v>0</v>
      </c>
      <c r="DY163" s="156" t="str">
        <f t="shared" si="171"/>
        <v>OK</v>
      </c>
    </row>
    <row r="164" spans="1:129" ht="13" hidden="1" x14ac:dyDescent="0.3">
      <c r="A164" s="333"/>
      <c r="B164" s="333"/>
      <c r="C164" s="332" t="str">
        <f t="shared" si="181"/>
        <v>-</v>
      </c>
      <c r="D164" s="584">
        <f t="shared" si="176"/>
        <v>141</v>
      </c>
      <c r="E164" s="585"/>
      <c r="F164" s="586"/>
      <c r="G164" s="600"/>
      <c r="H164" s="587"/>
      <c r="I164" s="601"/>
      <c r="J164" s="585"/>
      <c r="K164" s="617"/>
      <c r="L164" s="602"/>
      <c r="M164" s="603"/>
      <c r="N164" s="588"/>
      <c r="O164" s="604"/>
      <c r="P164" s="605"/>
      <c r="Q164" s="588"/>
      <c r="R164" s="604"/>
      <c r="S164" s="605"/>
      <c r="T164" s="606"/>
      <c r="U164" s="606"/>
      <c r="V164" s="429" t="str">
        <f t="shared" si="178"/>
        <v/>
      </c>
      <c r="W164" s="430" t="str">
        <f t="shared" si="175"/>
        <v/>
      </c>
      <c r="X164" s="66" t="str">
        <f>IF(AND(ISNUMBER(P164),N164=FixedDim),MAX('Adjustment factors'!$S$16,0.2+0.8*P164),IF(ISTEXT(N164),VLOOKUP(N164,Afactors,2,TRUE),""))</f>
        <v/>
      </c>
      <c r="Y164" s="17" t="str">
        <f>IF(AND(ISNUMBER(S164),Q164=FixedDim),MAX('Adjustment factors'!$S$16,0.2+0.8*S164),IF(ISTEXT(Q164),VLOOKUP(Q164,Afactors,2,TRUE),""))</f>
        <v/>
      </c>
      <c r="Z164" s="297" t="str">
        <f>IF(ISBLANK(T164),"",VLOOKUP(T164,'Adjustment factors'!$R$27:$S$30,2,TRUE))</f>
        <v/>
      </c>
      <c r="AA164" s="297" t="str">
        <f>IF(ISBLANK(U164),"",VLOOKUP(U164,'Adjustment factors'!$R$27:$S$30,2,TRUE))</f>
        <v/>
      </c>
      <c r="AB164" s="480">
        <f t="shared" si="226"/>
        <v>1</v>
      </c>
      <c r="AC164" s="18" t="b">
        <f t="shared" si="183"/>
        <v>0</v>
      </c>
      <c r="AD164" s="18" t="b">
        <f t="shared" si="184"/>
        <v>0</v>
      </c>
      <c r="AE164" s="18" t="b">
        <f t="shared" si="172"/>
        <v>0</v>
      </c>
      <c r="AF164" s="17" t="str">
        <f t="shared" si="185"/>
        <v/>
      </c>
      <c r="AG164" s="18" t="str">
        <f t="shared" si="186"/>
        <v/>
      </c>
      <c r="AH164" s="17" t="str">
        <f t="shared" si="173"/>
        <v/>
      </c>
      <c r="AI164" s="297" t="e">
        <f t="shared" si="227"/>
        <v>#VALUE!</v>
      </c>
      <c r="AJ164" s="79" t="e">
        <f t="shared" si="187"/>
        <v>#VALUE!</v>
      </c>
      <c r="AK164" s="17" t="str">
        <f t="shared" si="174"/>
        <v/>
      </c>
      <c r="AL164" s="80" t="e">
        <f t="shared" si="188"/>
        <v>#VALUE!</v>
      </c>
      <c r="AM164" s="139" t="b">
        <f t="shared" si="189"/>
        <v>1</v>
      </c>
      <c r="AN164" s="139" t="b">
        <f>AND(COUNTA(E164)&gt;0,ISNUMBER(F164),OR(COUNT(G164:H164)=0,COUNT(G164:H164)=2,AND(ISNUMBER(G164),ISNUMBER(VALUE(LEFT(H164,SUM(LEN(H164)-LEN(SUBSTITUTE(H164,{"0","1","2","3","4","5","6","7","8","9","."},"")))))))),ISNUMBER(I164),ISTEXT(J164))</f>
        <v>0</v>
      </c>
      <c r="AO164" s="19" t="b">
        <f t="shared" si="190"/>
        <v>0</v>
      </c>
      <c r="AP164" s="19" t="b">
        <f t="shared" si="191"/>
        <v>1</v>
      </c>
      <c r="AQ164" s="19" t="b">
        <f>IF(AND(COUNTBLANK(E164:J164)=6,OR(AN165:AN$523)),NOT(AN164))</f>
        <v>0</v>
      </c>
      <c r="AR164" s="19" t="str">
        <f t="shared" si="192"/>
        <v/>
      </c>
      <c r="AS164" s="19" t="b">
        <f t="shared" si="193"/>
        <v>1</v>
      </c>
      <c r="AT164" s="19" t="str">
        <f t="shared" si="194"/>
        <v/>
      </c>
      <c r="AU164" s="19" t="b">
        <f t="shared" si="195"/>
        <v>1</v>
      </c>
      <c r="AV164" s="140" t="str">
        <f t="shared" si="156"/>
        <v/>
      </c>
      <c r="AW164" s="19" t="str">
        <f t="shared" si="196"/>
        <v/>
      </c>
      <c r="AX164" s="81">
        <f t="shared" si="197"/>
        <v>0</v>
      </c>
      <c r="AY164" s="81" t="str">
        <f t="shared" si="198"/>
        <v/>
      </c>
      <c r="AZ164" s="307" t="str">
        <f t="shared" si="228"/>
        <v/>
      </c>
      <c r="BA164" s="281" t="str">
        <f t="shared" si="157"/>
        <v/>
      </c>
      <c r="BB164" s="281" t="str">
        <f t="shared" si="158"/>
        <v/>
      </c>
      <c r="BC164" s="953"/>
      <c r="BD164" s="955"/>
      <c r="BE164" s="219" t="str">
        <f t="shared" si="199"/>
        <v>n/a</v>
      </c>
      <c r="BF164" s="215" t="b">
        <f t="shared" si="200"/>
        <v>0</v>
      </c>
      <c r="BG164" s="145" t="b">
        <f t="shared" si="201"/>
        <v>0</v>
      </c>
      <c r="BH164" s="145" t="b">
        <f t="shared" si="202"/>
        <v>0</v>
      </c>
      <c r="BI164" s="216" t="b">
        <f t="shared" si="203"/>
        <v>0</v>
      </c>
      <c r="BJ164" s="215" t="b">
        <f t="shared" si="204"/>
        <v>0</v>
      </c>
      <c r="BK164" s="145" t="b">
        <f t="shared" si="205"/>
        <v>0</v>
      </c>
      <c r="BL164" s="216" t="b">
        <f t="shared" si="206"/>
        <v>0</v>
      </c>
      <c r="BM164" s="217" t="str">
        <f t="shared" si="159"/>
        <v/>
      </c>
      <c r="BN164" s="146" t="str">
        <f t="shared" si="160"/>
        <v/>
      </c>
      <c r="BO164" s="147" t="str">
        <f t="shared" si="161"/>
        <v/>
      </c>
      <c r="BP164" s="148" t="str">
        <f t="shared" si="162"/>
        <v/>
      </c>
      <c r="BT164" s="50">
        <f t="shared" si="177"/>
        <v>141</v>
      </c>
      <c r="BU164" s="50" t="str">
        <f t="shared" si="180"/>
        <v>-</v>
      </c>
      <c r="BW164" s="340"/>
      <c r="BX164" s="333"/>
      <c r="BY164" s="333"/>
      <c r="BZ164" s="333"/>
      <c r="CA164" s="333"/>
      <c r="CB164" s="333"/>
      <c r="CC164" s="333"/>
      <c r="CD164" s="333"/>
      <c r="CE164" s="333"/>
      <c r="CF164" s="333"/>
      <c r="CG164" s="354">
        <f t="shared" si="207"/>
        <v>141</v>
      </c>
      <c r="CH164" s="613">
        <f t="shared" si="208"/>
        <v>0</v>
      </c>
      <c r="CI164" s="613">
        <f t="shared" si="209"/>
        <v>0</v>
      </c>
      <c r="CJ164" s="614" t="str">
        <f t="shared" si="210"/>
        <v/>
      </c>
      <c r="CK164" s="615" t="str">
        <f t="shared" si="211"/>
        <v/>
      </c>
      <c r="CL164" s="610" t="str">
        <f>IF(ISBLANK(H164),"",IF(AND(ISNUMBER(F164),ISNUMBER(G164),ISNUMBER(H164)),ROUND(F164/(H164*G164),2),ROUND(F164/(VALUE(LEFT(H164,SUM(LEN(H164)-LEN(SUBSTITUTE(H164,{"0","1","2","3","4","5","6","7","8","9","."},"")))))*G164),2)))</f>
        <v/>
      </c>
      <c r="CM164" s="616" t="str">
        <f t="shared" si="163"/>
        <v/>
      </c>
      <c r="CN164" s="616" t="str">
        <f>IF(ISNUMBER(P164),MAX('Adjustment factors'!$S$16,(0.2+0.8*P164)),IF(ISTEXT(N164),VLOOKUP(N164,Afactors,2,FALSE),""))</f>
        <v/>
      </c>
      <c r="CO164" s="616" t="str">
        <f>IF(ISNUMBER(S164),MAX('Adjustment factors'!$S$16,0.2+0.8*S164),IF(ISTEXT(Q164),VLOOKUP(Q164,Afactors,2,FALSE),""))</f>
        <v/>
      </c>
      <c r="CP164" s="611" t="str">
        <f t="shared" si="229"/>
        <v/>
      </c>
      <c r="CQ164" s="612" t="str">
        <f t="shared" si="230"/>
        <v/>
      </c>
      <c r="CR164" s="340"/>
      <c r="CS164" s="340"/>
      <c r="CT164" s="340"/>
      <c r="CU164" s="340"/>
      <c r="CV164" s="333"/>
      <c r="CW164" s="333"/>
      <c r="CX164" s="333"/>
      <c r="CY164" s="333"/>
      <c r="DA164" s="313" t="str">
        <f t="shared" si="212"/>
        <v>OK</v>
      </c>
      <c r="DB164" s="313" t="str">
        <f t="shared" si="213"/>
        <v>OK</v>
      </c>
      <c r="DC164" s="313" t="str">
        <f t="shared" si="214"/>
        <v>OK</v>
      </c>
      <c r="DD164" s="313" t="str">
        <f t="shared" si="215"/>
        <v>OK</v>
      </c>
      <c r="DE164" s="153" t="str">
        <f t="shared" si="216"/>
        <v>OK</v>
      </c>
      <c r="DF164" s="314" t="str">
        <f t="shared" si="217"/>
        <v>OK</v>
      </c>
      <c r="DG164" s="482" t="str">
        <f t="shared" si="231"/>
        <v>OK</v>
      </c>
      <c r="DH164" s="482" t="str">
        <f>IF(OR(AND(T164='Adjustment factors'!$R$28,'Class 3, 5-9'!U164='Adjustment factors'!$R$29),AND('Class 3, 5-9'!T164='Adjustment factors'!$R$29,'Class 3, 5-9'!U164='Adjustment factors'!$R$28)),"Invalid combination of adjustment factors",IF(AND(T164=U164,NOT(ISBLANK(T164)),NOT(ISBLANK(U164))),"Same colour factor selected twice","OK"))</f>
        <v>OK</v>
      </c>
      <c r="DI164" s="313" t="str">
        <f t="shared" si="218"/>
        <v>OK</v>
      </c>
      <c r="DJ164" s="153" t="str">
        <f t="shared" si="164"/>
        <v>OK</v>
      </c>
      <c r="DK164" s="153" t="str">
        <f t="shared" si="219"/>
        <v>OK</v>
      </c>
      <c r="DL164" s="313" t="str">
        <f t="shared" si="220"/>
        <v>OK</v>
      </c>
      <c r="DM164" s="153" t="str">
        <f t="shared" si="221"/>
        <v>OK</v>
      </c>
      <c r="DN164" s="153" t="str">
        <f t="shared" si="165"/>
        <v>OK</v>
      </c>
      <c r="DO164" s="154" t="str">
        <f t="shared" si="166"/>
        <v>OK</v>
      </c>
      <c r="DP164" s="153" t="str">
        <f t="shared" si="222"/>
        <v>OK</v>
      </c>
      <c r="DQ164" s="313" t="str">
        <f t="shared" si="223"/>
        <v>OK</v>
      </c>
      <c r="DR164" s="153" t="str">
        <f t="shared" si="167"/>
        <v>OK</v>
      </c>
      <c r="DS164" s="153" t="str">
        <f t="shared" si="224"/>
        <v>OK</v>
      </c>
      <c r="DT164" s="313" t="str">
        <f t="shared" si="182"/>
        <v>OK</v>
      </c>
      <c r="DU164" s="153" t="str">
        <f t="shared" si="225"/>
        <v>OK</v>
      </c>
      <c r="DV164" s="153" t="str">
        <f t="shared" si="168"/>
        <v>OK</v>
      </c>
      <c r="DW164" s="154" t="str">
        <f t="shared" si="169"/>
        <v>OK</v>
      </c>
      <c r="DX164" s="157">
        <f t="shared" si="170"/>
        <v>0</v>
      </c>
      <c r="DY164" s="156" t="str">
        <f t="shared" si="171"/>
        <v>OK</v>
      </c>
    </row>
    <row r="165" spans="1:129" ht="13" hidden="1" x14ac:dyDescent="0.3">
      <c r="A165" s="333"/>
      <c r="B165" s="333"/>
      <c r="C165" s="332" t="str">
        <f t="shared" si="181"/>
        <v>-</v>
      </c>
      <c r="D165" s="584">
        <f t="shared" si="176"/>
        <v>142</v>
      </c>
      <c r="E165" s="585"/>
      <c r="F165" s="586"/>
      <c r="G165" s="600"/>
      <c r="H165" s="587"/>
      <c r="I165" s="601"/>
      <c r="J165" s="585"/>
      <c r="K165" s="617"/>
      <c r="L165" s="602"/>
      <c r="M165" s="603"/>
      <c r="N165" s="588"/>
      <c r="O165" s="604"/>
      <c r="P165" s="605"/>
      <c r="Q165" s="588"/>
      <c r="R165" s="604"/>
      <c r="S165" s="605"/>
      <c r="T165" s="606"/>
      <c r="U165" s="606"/>
      <c r="V165" s="429" t="str">
        <f t="shared" si="178"/>
        <v/>
      </c>
      <c r="W165" s="430" t="str">
        <f t="shared" si="175"/>
        <v/>
      </c>
      <c r="X165" s="66" t="str">
        <f>IF(AND(ISNUMBER(P165),N165=FixedDim),MAX('Adjustment factors'!$S$16,0.2+0.8*P165),IF(ISTEXT(N165),VLOOKUP(N165,Afactors,2,TRUE),""))</f>
        <v/>
      </c>
      <c r="Y165" s="17" t="str">
        <f>IF(AND(ISNUMBER(S165),Q165=FixedDim),MAX('Adjustment factors'!$S$16,0.2+0.8*S165),IF(ISTEXT(Q165),VLOOKUP(Q165,Afactors,2,TRUE),""))</f>
        <v/>
      </c>
      <c r="Z165" s="297" t="str">
        <f>IF(ISBLANK(T165),"",VLOOKUP(T165,'Adjustment factors'!$R$27:$S$30,2,TRUE))</f>
        <v/>
      </c>
      <c r="AA165" s="297" t="str">
        <f>IF(ISBLANK(U165),"",VLOOKUP(U165,'Adjustment factors'!$R$27:$S$30,2,TRUE))</f>
        <v/>
      </c>
      <c r="AB165" s="480">
        <f t="shared" si="226"/>
        <v>1</v>
      </c>
      <c r="AC165" s="18" t="b">
        <f t="shared" si="183"/>
        <v>0</v>
      </c>
      <c r="AD165" s="18" t="b">
        <f t="shared" si="184"/>
        <v>0</v>
      </c>
      <c r="AE165" s="18" t="b">
        <f t="shared" si="172"/>
        <v>0</v>
      </c>
      <c r="AF165" s="17" t="str">
        <f t="shared" si="185"/>
        <v/>
      </c>
      <c r="AG165" s="18" t="str">
        <f t="shared" si="186"/>
        <v/>
      </c>
      <c r="AH165" s="17" t="str">
        <f t="shared" si="173"/>
        <v/>
      </c>
      <c r="AI165" s="297" t="e">
        <f t="shared" si="227"/>
        <v>#VALUE!</v>
      </c>
      <c r="AJ165" s="79" t="e">
        <f t="shared" si="187"/>
        <v>#VALUE!</v>
      </c>
      <c r="AK165" s="17" t="str">
        <f t="shared" si="174"/>
        <v/>
      </c>
      <c r="AL165" s="80" t="e">
        <f t="shared" si="188"/>
        <v>#VALUE!</v>
      </c>
      <c r="AM165" s="139" t="b">
        <f t="shared" si="189"/>
        <v>1</v>
      </c>
      <c r="AN165" s="139" t="b">
        <f>AND(COUNTA(E165)&gt;0,ISNUMBER(F165),OR(COUNT(G165:H165)=0,COUNT(G165:H165)=2,AND(ISNUMBER(G165),ISNUMBER(VALUE(LEFT(H165,SUM(LEN(H165)-LEN(SUBSTITUTE(H165,{"0","1","2","3","4","5","6","7","8","9","."},"")))))))),ISNUMBER(I165),ISTEXT(J165))</f>
        <v>0</v>
      </c>
      <c r="AO165" s="19" t="b">
        <f t="shared" si="190"/>
        <v>0</v>
      </c>
      <c r="AP165" s="19" t="b">
        <f t="shared" si="191"/>
        <v>1</v>
      </c>
      <c r="AQ165" s="19" t="b">
        <f>IF(AND(COUNTBLANK(E165:J165)=6,OR(AN166:AN$523)),NOT(AN165))</f>
        <v>0</v>
      </c>
      <c r="AR165" s="19" t="str">
        <f t="shared" si="192"/>
        <v/>
      </c>
      <c r="AS165" s="19" t="b">
        <f t="shared" si="193"/>
        <v>1</v>
      </c>
      <c r="AT165" s="19" t="str">
        <f t="shared" si="194"/>
        <v/>
      </c>
      <c r="AU165" s="19" t="b">
        <f t="shared" si="195"/>
        <v>1</v>
      </c>
      <c r="AV165" s="140" t="str">
        <f t="shared" si="156"/>
        <v/>
      </c>
      <c r="AW165" s="19" t="str">
        <f t="shared" si="196"/>
        <v/>
      </c>
      <c r="AX165" s="81">
        <f t="shared" si="197"/>
        <v>0</v>
      </c>
      <c r="AY165" s="81" t="str">
        <f t="shared" si="198"/>
        <v/>
      </c>
      <c r="AZ165" s="307" t="str">
        <f t="shared" si="228"/>
        <v/>
      </c>
      <c r="BA165" s="281" t="str">
        <f t="shared" si="157"/>
        <v/>
      </c>
      <c r="BB165" s="281" t="str">
        <f t="shared" si="158"/>
        <v/>
      </c>
      <c r="BC165" s="953"/>
      <c r="BD165" s="955"/>
      <c r="BE165" s="219" t="str">
        <f t="shared" si="199"/>
        <v>n/a</v>
      </c>
      <c r="BF165" s="215" t="b">
        <f t="shared" si="200"/>
        <v>0</v>
      </c>
      <c r="BG165" s="145" t="b">
        <f t="shared" si="201"/>
        <v>0</v>
      </c>
      <c r="BH165" s="145" t="b">
        <f t="shared" si="202"/>
        <v>0</v>
      </c>
      <c r="BI165" s="216" t="b">
        <f t="shared" si="203"/>
        <v>0</v>
      </c>
      <c r="BJ165" s="215" t="b">
        <f t="shared" si="204"/>
        <v>0</v>
      </c>
      <c r="BK165" s="145" t="b">
        <f t="shared" si="205"/>
        <v>0</v>
      </c>
      <c r="BL165" s="216" t="b">
        <f t="shared" si="206"/>
        <v>0</v>
      </c>
      <c r="BM165" s="217" t="str">
        <f t="shared" si="159"/>
        <v/>
      </c>
      <c r="BN165" s="146" t="str">
        <f t="shared" si="160"/>
        <v/>
      </c>
      <c r="BO165" s="147" t="str">
        <f t="shared" si="161"/>
        <v/>
      </c>
      <c r="BP165" s="148" t="str">
        <f t="shared" si="162"/>
        <v/>
      </c>
      <c r="BT165" s="50">
        <f t="shared" si="177"/>
        <v>142</v>
      </c>
      <c r="BU165" s="50" t="str">
        <f t="shared" si="180"/>
        <v>-</v>
      </c>
      <c r="BW165" s="340"/>
      <c r="BX165" s="333"/>
      <c r="BY165" s="333"/>
      <c r="BZ165" s="333"/>
      <c r="CA165" s="333"/>
      <c r="CB165" s="333"/>
      <c r="CC165" s="333"/>
      <c r="CD165" s="333"/>
      <c r="CE165" s="333"/>
      <c r="CF165" s="333"/>
      <c r="CG165" s="354">
        <f t="shared" si="207"/>
        <v>142</v>
      </c>
      <c r="CH165" s="613">
        <f t="shared" si="208"/>
        <v>0</v>
      </c>
      <c r="CI165" s="613">
        <f t="shared" si="209"/>
        <v>0</v>
      </c>
      <c r="CJ165" s="614" t="str">
        <f t="shared" si="210"/>
        <v/>
      </c>
      <c r="CK165" s="615" t="str">
        <f t="shared" si="211"/>
        <v/>
      </c>
      <c r="CL165" s="610" t="str">
        <f>IF(ISBLANK(H165),"",IF(AND(ISNUMBER(F165),ISNUMBER(G165),ISNUMBER(H165)),ROUND(F165/(H165*G165),2),ROUND(F165/(VALUE(LEFT(H165,SUM(LEN(H165)-LEN(SUBSTITUTE(H165,{"0","1","2","3","4","5","6","7","8","9","."},"")))))*G165),2)))</f>
        <v/>
      </c>
      <c r="CM165" s="616" t="str">
        <f t="shared" si="163"/>
        <v/>
      </c>
      <c r="CN165" s="616" t="str">
        <f>IF(ISNUMBER(P165),MAX('Adjustment factors'!$S$16,(0.2+0.8*P165)),IF(ISTEXT(N165),VLOOKUP(N165,Afactors,2,FALSE),""))</f>
        <v/>
      </c>
      <c r="CO165" s="616" t="str">
        <f>IF(ISNUMBER(S165),MAX('Adjustment factors'!$S$16,0.2+0.8*S165),IF(ISTEXT(Q165),VLOOKUP(Q165,Afactors,2,FALSE),""))</f>
        <v/>
      </c>
      <c r="CP165" s="611" t="str">
        <f t="shared" si="229"/>
        <v/>
      </c>
      <c r="CQ165" s="612" t="str">
        <f t="shared" si="230"/>
        <v/>
      </c>
      <c r="CR165" s="340"/>
      <c r="CS165" s="340"/>
      <c r="CT165" s="340"/>
      <c r="CU165" s="340"/>
      <c r="CV165" s="333"/>
      <c r="CW165" s="333"/>
      <c r="CX165" s="333"/>
      <c r="CY165" s="333"/>
      <c r="DA165" s="313" t="str">
        <f t="shared" si="212"/>
        <v>OK</v>
      </c>
      <c r="DB165" s="313" t="str">
        <f t="shared" si="213"/>
        <v>OK</v>
      </c>
      <c r="DC165" s="313" t="str">
        <f t="shared" si="214"/>
        <v>OK</v>
      </c>
      <c r="DD165" s="313" t="str">
        <f t="shared" si="215"/>
        <v>OK</v>
      </c>
      <c r="DE165" s="153" t="str">
        <f t="shared" si="216"/>
        <v>OK</v>
      </c>
      <c r="DF165" s="314" t="str">
        <f t="shared" si="217"/>
        <v>OK</v>
      </c>
      <c r="DG165" s="482" t="str">
        <f t="shared" si="231"/>
        <v>OK</v>
      </c>
      <c r="DH165" s="482" t="str">
        <f>IF(OR(AND(T165='Adjustment factors'!$R$28,'Class 3, 5-9'!U165='Adjustment factors'!$R$29),AND('Class 3, 5-9'!T165='Adjustment factors'!$R$29,'Class 3, 5-9'!U165='Adjustment factors'!$R$28)),"Invalid combination of adjustment factors",IF(AND(T165=U165,NOT(ISBLANK(T165)),NOT(ISBLANK(U165))),"Same colour factor selected twice","OK"))</f>
        <v>OK</v>
      </c>
      <c r="DI165" s="313" t="str">
        <f t="shared" si="218"/>
        <v>OK</v>
      </c>
      <c r="DJ165" s="153" t="str">
        <f t="shared" si="164"/>
        <v>OK</v>
      </c>
      <c r="DK165" s="153" t="str">
        <f t="shared" si="219"/>
        <v>OK</v>
      </c>
      <c r="DL165" s="313" t="str">
        <f t="shared" si="220"/>
        <v>OK</v>
      </c>
      <c r="DM165" s="153" t="str">
        <f t="shared" si="221"/>
        <v>OK</v>
      </c>
      <c r="DN165" s="153" t="str">
        <f t="shared" si="165"/>
        <v>OK</v>
      </c>
      <c r="DO165" s="154" t="str">
        <f t="shared" si="166"/>
        <v>OK</v>
      </c>
      <c r="DP165" s="153" t="str">
        <f t="shared" si="222"/>
        <v>OK</v>
      </c>
      <c r="DQ165" s="313" t="str">
        <f t="shared" si="223"/>
        <v>OK</v>
      </c>
      <c r="DR165" s="153" t="str">
        <f t="shared" si="167"/>
        <v>OK</v>
      </c>
      <c r="DS165" s="153" t="str">
        <f t="shared" si="224"/>
        <v>OK</v>
      </c>
      <c r="DT165" s="313" t="str">
        <f t="shared" si="182"/>
        <v>OK</v>
      </c>
      <c r="DU165" s="153" t="str">
        <f t="shared" si="225"/>
        <v>OK</v>
      </c>
      <c r="DV165" s="153" t="str">
        <f t="shared" si="168"/>
        <v>OK</v>
      </c>
      <c r="DW165" s="154" t="str">
        <f t="shared" si="169"/>
        <v>OK</v>
      </c>
      <c r="DX165" s="157">
        <f t="shared" si="170"/>
        <v>0</v>
      </c>
      <c r="DY165" s="156" t="str">
        <f t="shared" si="171"/>
        <v>OK</v>
      </c>
    </row>
    <row r="166" spans="1:129" ht="13" hidden="1" x14ac:dyDescent="0.3">
      <c r="A166" s="333"/>
      <c r="B166" s="333"/>
      <c r="C166" s="332" t="str">
        <f t="shared" si="181"/>
        <v>-</v>
      </c>
      <c r="D166" s="584">
        <f t="shared" si="176"/>
        <v>143</v>
      </c>
      <c r="E166" s="585"/>
      <c r="F166" s="586"/>
      <c r="G166" s="600"/>
      <c r="H166" s="587"/>
      <c r="I166" s="601"/>
      <c r="J166" s="585"/>
      <c r="K166" s="617"/>
      <c r="L166" s="602"/>
      <c r="M166" s="603"/>
      <c r="N166" s="588"/>
      <c r="O166" s="604"/>
      <c r="P166" s="605"/>
      <c r="Q166" s="588"/>
      <c r="R166" s="604"/>
      <c r="S166" s="605"/>
      <c r="T166" s="606"/>
      <c r="U166" s="606"/>
      <c r="V166" s="429" t="str">
        <f t="shared" si="178"/>
        <v/>
      </c>
      <c r="W166" s="430" t="str">
        <f t="shared" si="175"/>
        <v/>
      </c>
      <c r="X166" s="66" t="str">
        <f>IF(AND(ISNUMBER(P166),N166=FixedDim),MAX('Adjustment factors'!$S$16,0.2+0.8*P166),IF(ISTEXT(N166),VLOOKUP(N166,Afactors,2,TRUE),""))</f>
        <v/>
      </c>
      <c r="Y166" s="17" t="str">
        <f>IF(AND(ISNUMBER(S166),Q166=FixedDim),MAX('Adjustment factors'!$S$16,0.2+0.8*S166),IF(ISTEXT(Q166),VLOOKUP(Q166,Afactors,2,TRUE),""))</f>
        <v/>
      </c>
      <c r="Z166" s="297" t="str">
        <f>IF(ISBLANK(T166),"",VLOOKUP(T166,'Adjustment factors'!$R$27:$S$30,2,TRUE))</f>
        <v/>
      </c>
      <c r="AA166" s="297" t="str">
        <f>IF(ISBLANK(U166),"",VLOOKUP(U166,'Adjustment factors'!$R$27:$S$30,2,TRUE))</f>
        <v/>
      </c>
      <c r="AB166" s="480">
        <f t="shared" si="226"/>
        <v>1</v>
      </c>
      <c r="AC166" s="18" t="b">
        <f t="shared" si="183"/>
        <v>0</v>
      </c>
      <c r="AD166" s="18" t="b">
        <f t="shared" si="184"/>
        <v>0</v>
      </c>
      <c r="AE166" s="18" t="b">
        <f t="shared" si="172"/>
        <v>0</v>
      </c>
      <c r="AF166" s="17" t="str">
        <f t="shared" si="185"/>
        <v/>
      </c>
      <c r="AG166" s="18" t="str">
        <f t="shared" si="186"/>
        <v/>
      </c>
      <c r="AH166" s="17" t="str">
        <f t="shared" si="173"/>
        <v/>
      </c>
      <c r="AI166" s="297" t="e">
        <f t="shared" si="227"/>
        <v>#VALUE!</v>
      </c>
      <c r="AJ166" s="79" t="e">
        <f t="shared" si="187"/>
        <v>#VALUE!</v>
      </c>
      <c r="AK166" s="17" t="str">
        <f t="shared" si="174"/>
        <v/>
      </c>
      <c r="AL166" s="80" t="e">
        <f t="shared" si="188"/>
        <v>#VALUE!</v>
      </c>
      <c r="AM166" s="139" t="b">
        <f t="shared" si="189"/>
        <v>1</v>
      </c>
      <c r="AN166" s="139" t="b">
        <f>AND(COUNTA(E166)&gt;0,ISNUMBER(F166),OR(COUNT(G166:H166)=0,COUNT(G166:H166)=2,AND(ISNUMBER(G166),ISNUMBER(VALUE(LEFT(H166,SUM(LEN(H166)-LEN(SUBSTITUTE(H166,{"0","1","2","3","4","5","6","7","8","9","."},"")))))))),ISNUMBER(I166),ISTEXT(J166))</f>
        <v>0</v>
      </c>
      <c r="AO166" s="19" t="b">
        <f t="shared" si="190"/>
        <v>0</v>
      </c>
      <c r="AP166" s="19" t="b">
        <f t="shared" si="191"/>
        <v>1</v>
      </c>
      <c r="AQ166" s="19" t="b">
        <f>IF(AND(COUNTBLANK(E166:J166)=6,OR(AN167:AN$523)),NOT(AN166))</f>
        <v>0</v>
      </c>
      <c r="AR166" s="19" t="str">
        <f t="shared" si="192"/>
        <v/>
      </c>
      <c r="AS166" s="19" t="b">
        <f t="shared" si="193"/>
        <v>1</v>
      </c>
      <c r="AT166" s="19" t="str">
        <f t="shared" si="194"/>
        <v/>
      </c>
      <c r="AU166" s="19" t="b">
        <f t="shared" si="195"/>
        <v>1</v>
      </c>
      <c r="AV166" s="140" t="str">
        <f t="shared" si="156"/>
        <v/>
      </c>
      <c r="AW166" s="19" t="str">
        <f t="shared" si="196"/>
        <v/>
      </c>
      <c r="AX166" s="81">
        <f t="shared" si="197"/>
        <v>0</v>
      </c>
      <c r="AY166" s="81" t="str">
        <f t="shared" si="198"/>
        <v/>
      </c>
      <c r="AZ166" s="307" t="str">
        <f t="shared" si="228"/>
        <v/>
      </c>
      <c r="BA166" s="281" t="str">
        <f t="shared" si="157"/>
        <v/>
      </c>
      <c r="BB166" s="281" t="str">
        <f t="shared" si="158"/>
        <v/>
      </c>
      <c r="BC166" s="953"/>
      <c r="BD166" s="955"/>
      <c r="BE166" s="219" t="str">
        <f t="shared" si="199"/>
        <v>n/a</v>
      </c>
      <c r="BF166" s="215" t="b">
        <f t="shared" si="200"/>
        <v>0</v>
      </c>
      <c r="BG166" s="145" t="b">
        <f t="shared" si="201"/>
        <v>0</v>
      </c>
      <c r="BH166" s="145" t="b">
        <f t="shared" si="202"/>
        <v>0</v>
      </c>
      <c r="BI166" s="216" t="b">
        <f t="shared" si="203"/>
        <v>0</v>
      </c>
      <c r="BJ166" s="215" t="b">
        <f t="shared" si="204"/>
        <v>0</v>
      </c>
      <c r="BK166" s="145" t="b">
        <f t="shared" si="205"/>
        <v>0</v>
      </c>
      <c r="BL166" s="216" t="b">
        <f t="shared" si="206"/>
        <v>0</v>
      </c>
      <c r="BM166" s="217" t="str">
        <f t="shared" si="159"/>
        <v/>
      </c>
      <c r="BN166" s="146" t="str">
        <f t="shared" si="160"/>
        <v/>
      </c>
      <c r="BO166" s="147" t="str">
        <f t="shared" si="161"/>
        <v/>
      </c>
      <c r="BP166" s="148" t="str">
        <f t="shared" si="162"/>
        <v/>
      </c>
      <c r="BT166" s="50">
        <f t="shared" si="177"/>
        <v>143</v>
      </c>
      <c r="BU166" s="50" t="str">
        <f t="shared" si="180"/>
        <v>-</v>
      </c>
      <c r="BW166" s="340"/>
      <c r="BX166" s="333"/>
      <c r="BY166" s="333"/>
      <c r="BZ166" s="333"/>
      <c r="CA166" s="333"/>
      <c r="CB166" s="333"/>
      <c r="CC166" s="333"/>
      <c r="CD166" s="333"/>
      <c r="CE166" s="333"/>
      <c r="CF166" s="333"/>
      <c r="CG166" s="354">
        <f t="shared" si="207"/>
        <v>143</v>
      </c>
      <c r="CH166" s="613">
        <f t="shared" si="208"/>
        <v>0</v>
      </c>
      <c r="CI166" s="613">
        <f t="shared" si="209"/>
        <v>0</v>
      </c>
      <c r="CJ166" s="614" t="str">
        <f t="shared" si="210"/>
        <v/>
      </c>
      <c r="CK166" s="615" t="str">
        <f t="shared" si="211"/>
        <v/>
      </c>
      <c r="CL166" s="610" t="str">
        <f>IF(ISBLANK(H166),"",IF(AND(ISNUMBER(F166),ISNUMBER(G166),ISNUMBER(H166)),ROUND(F166/(H166*G166),2),ROUND(F166/(VALUE(LEFT(H166,SUM(LEN(H166)-LEN(SUBSTITUTE(H166,{"0","1","2","3","4","5","6","7","8","9","."},"")))))*G166),2)))</f>
        <v/>
      </c>
      <c r="CM166" s="616" t="str">
        <f t="shared" si="163"/>
        <v/>
      </c>
      <c r="CN166" s="616" t="str">
        <f>IF(ISNUMBER(P166),MAX('Adjustment factors'!$S$16,(0.2+0.8*P166)),IF(ISTEXT(N166),VLOOKUP(N166,Afactors,2,FALSE),""))</f>
        <v/>
      </c>
      <c r="CO166" s="616" t="str">
        <f>IF(ISNUMBER(S166),MAX('Adjustment factors'!$S$16,0.2+0.8*S166),IF(ISTEXT(Q166),VLOOKUP(Q166,Afactors,2,FALSE),""))</f>
        <v/>
      </c>
      <c r="CP166" s="611" t="str">
        <f t="shared" si="229"/>
        <v/>
      </c>
      <c r="CQ166" s="612" t="str">
        <f t="shared" si="230"/>
        <v/>
      </c>
      <c r="CR166" s="340"/>
      <c r="CS166" s="340"/>
      <c r="CT166" s="340"/>
      <c r="CU166" s="340"/>
      <c r="CV166" s="333"/>
      <c r="CW166" s="333"/>
      <c r="CX166" s="333"/>
      <c r="CY166" s="333"/>
      <c r="DA166" s="313" t="str">
        <f t="shared" si="212"/>
        <v>OK</v>
      </c>
      <c r="DB166" s="313" t="str">
        <f t="shared" si="213"/>
        <v>OK</v>
      </c>
      <c r="DC166" s="313" t="str">
        <f t="shared" si="214"/>
        <v>OK</v>
      </c>
      <c r="DD166" s="313" t="str">
        <f t="shared" si="215"/>
        <v>OK</v>
      </c>
      <c r="DE166" s="153" t="str">
        <f t="shared" si="216"/>
        <v>OK</v>
      </c>
      <c r="DF166" s="314" t="str">
        <f t="shared" si="217"/>
        <v>OK</v>
      </c>
      <c r="DG166" s="482" t="str">
        <f t="shared" si="231"/>
        <v>OK</v>
      </c>
      <c r="DH166" s="482" t="str">
        <f>IF(OR(AND(T166='Adjustment factors'!$R$28,'Class 3, 5-9'!U166='Adjustment factors'!$R$29),AND('Class 3, 5-9'!T166='Adjustment factors'!$R$29,'Class 3, 5-9'!U166='Adjustment factors'!$R$28)),"Invalid combination of adjustment factors",IF(AND(T166=U166,NOT(ISBLANK(T166)),NOT(ISBLANK(U166))),"Same colour factor selected twice","OK"))</f>
        <v>OK</v>
      </c>
      <c r="DI166" s="313" t="str">
        <f t="shared" si="218"/>
        <v>OK</v>
      </c>
      <c r="DJ166" s="153" t="str">
        <f t="shared" si="164"/>
        <v>OK</v>
      </c>
      <c r="DK166" s="153" t="str">
        <f t="shared" si="219"/>
        <v>OK</v>
      </c>
      <c r="DL166" s="313" t="str">
        <f t="shared" si="220"/>
        <v>OK</v>
      </c>
      <c r="DM166" s="153" t="str">
        <f t="shared" si="221"/>
        <v>OK</v>
      </c>
      <c r="DN166" s="153" t="str">
        <f t="shared" si="165"/>
        <v>OK</v>
      </c>
      <c r="DO166" s="154" t="str">
        <f t="shared" si="166"/>
        <v>OK</v>
      </c>
      <c r="DP166" s="153" t="str">
        <f t="shared" si="222"/>
        <v>OK</v>
      </c>
      <c r="DQ166" s="313" t="str">
        <f t="shared" si="223"/>
        <v>OK</v>
      </c>
      <c r="DR166" s="153" t="str">
        <f t="shared" si="167"/>
        <v>OK</v>
      </c>
      <c r="DS166" s="153" t="str">
        <f t="shared" si="224"/>
        <v>OK</v>
      </c>
      <c r="DT166" s="313" t="str">
        <f t="shared" si="182"/>
        <v>OK</v>
      </c>
      <c r="DU166" s="153" t="str">
        <f t="shared" si="225"/>
        <v>OK</v>
      </c>
      <c r="DV166" s="153" t="str">
        <f t="shared" si="168"/>
        <v>OK</v>
      </c>
      <c r="DW166" s="154" t="str">
        <f t="shared" si="169"/>
        <v>OK</v>
      </c>
      <c r="DX166" s="157">
        <f t="shared" si="170"/>
        <v>0</v>
      </c>
      <c r="DY166" s="156" t="str">
        <f t="shared" si="171"/>
        <v>OK</v>
      </c>
    </row>
    <row r="167" spans="1:129" ht="13" hidden="1" x14ac:dyDescent="0.3">
      <c r="A167" s="333"/>
      <c r="B167" s="333"/>
      <c r="C167" s="332" t="str">
        <f t="shared" si="181"/>
        <v>-</v>
      </c>
      <c r="D167" s="584">
        <f t="shared" si="176"/>
        <v>144</v>
      </c>
      <c r="E167" s="585"/>
      <c r="F167" s="586"/>
      <c r="G167" s="600"/>
      <c r="H167" s="587"/>
      <c r="I167" s="601"/>
      <c r="J167" s="585"/>
      <c r="K167" s="617"/>
      <c r="L167" s="602"/>
      <c r="M167" s="603"/>
      <c r="N167" s="588"/>
      <c r="O167" s="604"/>
      <c r="P167" s="605"/>
      <c r="Q167" s="588"/>
      <c r="R167" s="604"/>
      <c r="S167" s="605"/>
      <c r="T167" s="606"/>
      <c r="U167" s="606"/>
      <c r="V167" s="429" t="str">
        <f t="shared" si="178"/>
        <v/>
      </c>
      <c r="W167" s="430" t="str">
        <f t="shared" si="175"/>
        <v/>
      </c>
      <c r="X167" s="66" t="str">
        <f>IF(AND(ISNUMBER(P167),N167=FixedDim),MAX('Adjustment factors'!$S$16,0.2+0.8*P167),IF(ISTEXT(N167),VLOOKUP(N167,Afactors,2,TRUE),""))</f>
        <v/>
      </c>
      <c r="Y167" s="17" t="str">
        <f>IF(AND(ISNUMBER(S167),Q167=FixedDim),MAX('Adjustment factors'!$S$16,0.2+0.8*S167),IF(ISTEXT(Q167),VLOOKUP(Q167,Afactors,2,TRUE),""))</f>
        <v/>
      </c>
      <c r="Z167" s="297" t="str">
        <f>IF(ISBLANK(T167),"",VLOOKUP(T167,'Adjustment factors'!$R$27:$S$30,2,TRUE))</f>
        <v/>
      </c>
      <c r="AA167" s="297" t="str">
        <f>IF(ISBLANK(U167),"",VLOOKUP(U167,'Adjustment factors'!$R$27:$S$30,2,TRUE))</f>
        <v/>
      </c>
      <c r="AB167" s="480">
        <f t="shared" si="226"/>
        <v>1</v>
      </c>
      <c r="AC167" s="18" t="b">
        <f t="shared" si="183"/>
        <v>0</v>
      </c>
      <c r="AD167" s="18" t="b">
        <f t="shared" si="184"/>
        <v>0</v>
      </c>
      <c r="AE167" s="18" t="b">
        <f t="shared" si="172"/>
        <v>0</v>
      </c>
      <c r="AF167" s="17" t="str">
        <f t="shared" si="185"/>
        <v/>
      </c>
      <c r="AG167" s="18" t="str">
        <f t="shared" si="186"/>
        <v/>
      </c>
      <c r="AH167" s="17" t="str">
        <f t="shared" si="173"/>
        <v/>
      </c>
      <c r="AI167" s="297" t="e">
        <f t="shared" si="227"/>
        <v>#VALUE!</v>
      </c>
      <c r="AJ167" s="79" t="e">
        <f t="shared" si="187"/>
        <v>#VALUE!</v>
      </c>
      <c r="AK167" s="17" t="str">
        <f t="shared" si="174"/>
        <v/>
      </c>
      <c r="AL167" s="80" t="e">
        <f t="shared" si="188"/>
        <v>#VALUE!</v>
      </c>
      <c r="AM167" s="139" t="b">
        <f t="shared" si="189"/>
        <v>1</v>
      </c>
      <c r="AN167" s="139" t="b">
        <f>AND(COUNTA(E167)&gt;0,ISNUMBER(F167),OR(COUNT(G167:H167)=0,COUNT(G167:H167)=2,AND(ISNUMBER(G167),ISNUMBER(VALUE(LEFT(H167,SUM(LEN(H167)-LEN(SUBSTITUTE(H167,{"0","1","2","3","4","5","6","7","8","9","."},"")))))))),ISNUMBER(I167),ISTEXT(J167))</f>
        <v>0</v>
      </c>
      <c r="AO167" s="19" t="b">
        <f t="shared" si="190"/>
        <v>0</v>
      </c>
      <c r="AP167" s="19" t="b">
        <f t="shared" si="191"/>
        <v>1</v>
      </c>
      <c r="AQ167" s="19" t="b">
        <f>IF(AND(COUNTBLANK(E167:J167)=6,OR(AN168:AN$523)),NOT(AN167))</f>
        <v>0</v>
      </c>
      <c r="AR167" s="19" t="str">
        <f t="shared" si="192"/>
        <v/>
      </c>
      <c r="AS167" s="19" t="b">
        <f t="shared" si="193"/>
        <v>1</v>
      </c>
      <c r="AT167" s="19" t="str">
        <f t="shared" si="194"/>
        <v/>
      </c>
      <c r="AU167" s="19" t="b">
        <f t="shared" si="195"/>
        <v>1</v>
      </c>
      <c r="AV167" s="140" t="str">
        <f t="shared" si="156"/>
        <v/>
      </c>
      <c r="AW167" s="19" t="str">
        <f t="shared" si="196"/>
        <v/>
      </c>
      <c r="AX167" s="81">
        <f t="shared" si="197"/>
        <v>0</v>
      </c>
      <c r="AY167" s="81" t="str">
        <f t="shared" si="198"/>
        <v/>
      </c>
      <c r="AZ167" s="307" t="str">
        <f t="shared" si="228"/>
        <v/>
      </c>
      <c r="BA167" s="281" t="str">
        <f t="shared" si="157"/>
        <v/>
      </c>
      <c r="BB167" s="281" t="str">
        <f t="shared" si="158"/>
        <v/>
      </c>
      <c r="BC167" s="953"/>
      <c r="BD167" s="955"/>
      <c r="BE167" s="219" t="str">
        <f t="shared" si="199"/>
        <v>n/a</v>
      </c>
      <c r="BF167" s="215" t="b">
        <f t="shared" si="200"/>
        <v>0</v>
      </c>
      <c r="BG167" s="145" t="b">
        <f t="shared" si="201"/>
        <v>0</v>
      </c>
      <c r="BH167" s="145" t="b">
        <f t="shared" si="202"/>
        <v>0</v>
      </c>
      <c r="BI167" s="216" t="b">
        <f t="shared" si="203"/>
        <v>0</v>
      </c>
      <c r="BJ167" s="215" t="b">
        <f t="shared" si="204"/>
        <v>0</v>
      </c>
      <c r="BK167" s="145" t="b">
        <f t="shared" si="205"/>
        <v>0</v>
      </c>
      <c r="BL167" s="216" t="b">
        <f t="shared" si="206"/>
        <v>0</v>
      </c>
      <c r="BM167" s="217" t="str">
        <f t="shared" si="159"/>
        <v/>
      </c>
      <c r="BN167" s="146" t="str">
        <f t="shared" si="160"/>
        <v/>
      </c>
      <c r="BO167" s="147" t="str">
        <f t="shared" si="161"/>
        <v/>
      </c>
      <c r="BP167" s="148" t="str">
        <f t="shared" si="162"/>
        <v/>
      </c>
      <c r="BT167" s="50">
        <f t="shared" si="177"/>
        <v>144</v>
      </c>
      <c r="BU167" s="50" t="str">
        <f t="shared" si="180"/>
        <v>-</v>
      </c>
      <c r="BW167" s="340"/>
      <c r="BX167" s="333"/>
      <c r="BY167" s="333"/>
      <c r="BZ167" s="333"/>
      <c r="CA167" s="333"/>
      <c r="CB167" s="333"/>
      <c r="CC167" s="333"/>
      <c r="CD167" s="333"/>
      <c r="CE167" s="333"/>
      <c r="CF167" s="333"/>
      <c r="CG167" s="354">
        <f t="shared" si="207"/>
        <v>144</v>
      </c>
      <c r="CH167" s="613">
        <f t="shared" si="208"/>
        <v>0</v>
      </c>
      <c r="CI167" s="613">
        <f t="shared" si="209"/>
        <v>0</v>
      </c>
      <c r="CJ167" s="614" t="str">
        <f t="shared" si="210"/>
        <v/>
      </c>
      <c r="CK167" s="615" t="str">
        <f t="shared" si="211"/>
        <v/>
      </c>
      <c r="CL167" s="610" t="str">
        <f>IF(ISBLANK(H167),"",IF(AND(ISNUMBER(F167),ISNUMBER(G167),ISNUMBER(H167)),ROUND(F167/(H167*G167),2),ROUND(F167/(VALUE(LEFT(H167,SUM(LEN(H167)-LEN(SUBSTITUTE(H167,{"0","1","2","3","4","5","6","7","8","9","."},"")))))*G167),2)))</f>
        <v/>
      </c>
      <c r="CM167" s="616" t="str">
        <f t="shared" si="163"/>
        <v/>
      </c>
      <c r="CN167" s="616" t="str">
        <f>IF(ISNUMBER(P167),MAX('Adjustment factors'!$S$16,(0.2+0.8*P167)),IF(ISTEXT(N167),VLOOKUP(N167,Afactors,2,FALSE),""))</f>
        <v/>
      </c>
      <c r="CO167" s="616" t="str">
        <f>IF(ISNUMBER(S167),MAX('Adjustment factors'!$S$16,0.2+0.8*S167),IF(ISTEXT(Q167),VLOOKUP(Q167,Afactors,2,FALSE),""))</f>
        <v/>
      </c>
      <c r="CP167" s="611" t="str">
        <f t="shared" si="229"/>
        <v/>
      </c>
      <c r="CQ167" s="612" t="str">
        <f t="shared" si="230"/>
        <v/>
      </c>
      <c r="CR167" s="340"/>
      <c r="CS167" s="340"/>
      <c r="CT167" s="340"/>
      <c r="CU167" s="340"/>
      <c r="CV167" s="333"/>
      <c r="CW167" s="333"/>
      <c r="CX167" s="333"/>
      <c r="CY167" s="333"/>
      <c r="DA167" s="313" t="str">
        <f t="shared" si="212"/>
        <v>OK</v>
      </c>
      <c r="DB167" s="313" t="str">
        <f t="shared" si="213"/>
        <v>OK</v>
      </c>
      <c r="DC167" s="313" t="str">
        <f t="shared" si="214"/>
        <v>OK</v>
      </c>
      <c r="DD167" s="313" t="str">
        <f t="shared" si="215"/>
        <v>OK</v>
      </c>
      <c r="DE167" s="153" t="str">
        <f t="shared" si="216"/>
        <v>OK</v>
      </c>
      <c r="DF167" s="314" t="str">
        <f t="shared" si="217"/>
        <v>OK</v>
      </c>
      <c r="DG167" s="482" t="str">
        <f t="shared" si="231"/>
        <v>OK</v>
      </c>
      <c r="DH167" s="482" t="str">
        <f>IF(OR(AND(T167='Adjustment factors'!$R$28,'Class 3, 5-9'!U167='Adjustment factors'!$R$29),AND('Class 3, 5-9'!T167='Adjustment factors'!$R$29,'Class 3, 5-9'!U167='Adjustment factors'!$R$28)),"Invalid combination of adjustment factors",IF(AND(T167=U167,NOT(ISBLANK(T167)),NOT(ISBLANK(U167))),"Same colour factor selected twice","OK"))</f>
        <v>OK</v>
      </c>
      <c r="DI167" s="313" t="str">
        <f t="shared" si="218"/>
        <v>OK</v>
      </c>
      <c r="DJ167" s="153" t="str">
        <f t="shared" si="164"/>
        <v>OK</v>
      </c>
      <c r="DK167" s="153" t="str">
        <f t="shared" si="219"/>
        <v>OK</v>
      </c>
      <c r="DL167" s="313" t="str">
        <f t="shared" si="220"/>
        <v>OK</v>
      </c>
      <c r="DM167" s="153" t="str">
        <f t="shared" si="221"/>
        <v>OK</v>
      </c>
      <c r="DN167" s="153" t="str">
        <f t="shared" si="165"/>
        <v>OK</v>
      </c>
      <c r="DO167" s="154" t="str">
        <f t="shared" si="166"/>
        <v>OK</v>
      </c>
      <c r="DP167" s="153" t="str">
        <f t="shared" si="222"/>
        <v>OK</v>
      </c>
      <c r="DQ167" s="313" t="str">
        <f t="shared" si="223"/>
        <v>OK</v>
      </c>
      <c r="DR167" s="153" t="str">
        <f t="shared" si="167"/>
        <v>OK</v>
      </c>
      <c r="DS167" s="153" t="str">
        <f t="shared" si="224"/>
        <v>OK</v>
      </c>
      <c r="DT167" s="313" t="str">
        <f t="shared" si="182"/>
        <v>OK</v>
      </c>
      <c r="DU167" s="153" t="str">
        <f t="shared" si="225"/>
        <v>OK</v>
      </c>
      <c r="DV167" s="153" t="str">
        <f t="shared" si="168"/>
        <v>OK</v>
      </c>
      <c r="DW167" s="154" t="str">
        <f t="shared" si="169"/>
        <v>OK</v>
      </c>
      <c r="DX167" s="157">
        <f t="shared" si="170"/>
        <v>0</v>
      </c>
      <c r="DY167" s="156" t="str">
        <f t="shared" si="171"/>
        <v>OK</v>
      </c>
    </row>
    <row r="168" spans="1:129" ht="13" hidden="1" x14ac:dyDescent="0.3">
      <c r="A168" s="333"/>
      <c r="B168" s="333"/>
      <c r="C168" s="332" t="str">
        <f t="shared" si="181"/>
        <v>-</v>
      </c>
      <c r="D168" s="584">
        <f t="shared" si="176"/>
        <v>145</v>
      </c>
      <c r="E168" s="585"/>
      <c r="F168" s="586"/>
      <c r="G168" s="600"/>
      <c r="H168" s="587"/>
      <c r="I168" s="601"/>
      <c r="J168" s="585"/>
      <c r="K168" s="617"/>
      <c r="L168" s="602"/>
      <c r="M168" s="603"/>
      <c r="N168" s="588"/>
      <c r="O168" s="604"/>
      <c r="P168" s="605"/>
      <c r="Q168" s="588"/>
      <c r="R168" s="604"/>
      <c r="S168" s="605"/>
      <c r="T168" s="606"/>
      <c r="U168" s="606"/>
      <c r="V168" s="429" t="str">
        <f t="shared" si="178"/>
        <v/>
      </c>
      <c r="W168" s="430" t="str">
        <f t="shared" si="175"/>
        <v/>
      </c>
      <c r="X168" s="66" t="str">
        <f>IF(AND(ISNUMBER(P168),N168=FixedDim),MAX('Adjustment factors'!$S$16,0.2+0.8*P168),IF(ISTEXT(N168),VLOOKUP(N168,Afactors,2,TRUE),""))</f>
        <v/>
      </c>
      <c r="Y168" s="17" t="str">
        <f>IF(AND(ISNUMBER(S168),Q168=FixedDim),MAX('Adjustment factors'!$S$16,0.2+0.8*S168),IF(ISTEXT(Q168),VLOOKUP(Q168,Afactors,2,TRUE),""))</f>
        <v/>
      </c>
      <c r="Z168" s="297" t="str">
        <f>IF(ISBLANK(T168),"",VLOOKUP(T168,'Adjustment factors'!$R$27:$S$30,2,TRUE))</f>
        <v/>
      </c>
      <c r="AA168" s="297" t="str">
        <f>IF(ISBLANK(U168),"",VLOOKUP(U168,'Adjustment factors'!$R$27:$S$30,2,TRUE))</f>
        <v/>
      </c>
      <c r="AB168" s="480">
        <f t="shared" si="226"/>
        <v>1</v>
      </c>
      <c r="AC168" s="18" t="b">
        <f t="shared" si="183"/>
        <v>0</v>
      </c>
      <c r="AD168" s="18" t="b">
        <f t="shared" si="184"/>
        <v>0</v>
      </c>
      <c r="AE168" s="18" t="b">
        <f t="shared" si="172"/>
        <v>0</v>
      </c>
      <c r="AF168" s="17" t="str">
        <f t="shared" si="185"/>
        <v/>
      </c>
      <c r="AG168" s="18" t="str">
        <f t="shared" si="186"/>
        <v/>
      </c>
      <c r="AH168" s="17" t="str">
        <f t="shared" si="173"/>
        <v/>
      </c>
      <c r="AI168" s="297" t="e">
        <f t="shared" si="227"/>
        <v>#VALUE!</v>
      </c>
      <c r="AJ168" s="79" t="e">
        <f t="shared" si="187"/>
        <v>#VALUE!</v>
      </c>
      <c r="AK168" s="17" t="str">
        <f t="shared" si="174"/>
        <v/>
      </c>
      <c r="AL168" s="80" t="e">
        <f t="shared" si="188"/>
        <v>#VALUE!</v>
      </c>
      <c r="AM168" s="139" t="b">
        <f t="shared" si="189"/>
        <v>1</v>
      </c>
      <c r="AN168" s="139" t="b">
        <f>AND(COUNTA(E168)&gt;0,ISNUMBER(F168),OR(COUNT(G168:H168)=0,COUNT(G168:H168)=2,AND(ISNUMBER(G168),ISNUMBER(VALUE(LEFT(H168,SUM(LEN(H168)-LEN(SUBSTITUTE(H168,{"0","1","2","3","4","5","6","7","8","9","."},"")))))))),ISNUMBER(I168),ISTEXT(J168))</f>
        <v>0</v>
      </c>
      <c r="AO168" s="19" t="b">
        <f t="shared" si="190"/>
        <v>0</v>
      </c>
      <c r="AP168" s="19" t="b">
        <f t="shared" si="191"/>
        <v>1</v>
      </c>
      <c r="AQ168" s="19" t="b">
        <f>IF(AND(COUNTBLANK(E168:J168)=6,OR(AN169:AN$523)),NOT(AN168))</f>
        <v>0</v>
      </c>
      <c r="AR168" s="19" t="str">
        <f t="shared" si="192"/>
        <v/>
      </c>
      <c r="AS168" s="19" t="b">
        <f t="shared" si="193"/>
        <v>1</v>
      </c>
      <c r="AT168" s="19" t="str">
        <f t="shared" si="194"/>
        <v/>
      </c>
      <c r="AU168" s="19" t="b">
        <f t="shared" si="195"/>
        <v>1</v>
      </c>
      <c r="AV168" s="140" t="str">
        <f t="shared" si="156"/>
        <v/>
      </c>
      <c r="AW168" s="19" t="str">
        <f t="shared" si="196"/>
        <v/>
      </c>
      <c r="AX168" s="81">
        <f t="shared" si="197"/>
        <v>0</v>
      </c>
      <c r="AY168" s="81" t="str">
        <f t="shared" si="198"/>
        <v/>
      </c>
      <c r="AZ168" s="307" t="str">
        <f t="shared" si="228"/>
        <v/>
      </c>
      <c r="BA168" s="281" t="str">
        <f t="shared" si="157"/>
        <v/>
      </c>
      <c r="BB168" s="281" t="str">
        <f t="shared" si="158"/>
        <v/>
      </c>
      <c r="BC168" s="953"/>
      <c r="BD168" s="955"/>
      <c r="BE168" s="219" t="str">
        <f t="shared" si="199"/>
        <v>n/a</v>
      </c>
      <c r="BF168" s="215" t="b">
        <f t="shared" si="200"/>
        <v>0</v>
      </c>
      <c r="BG168" s="145" t="b">
        <f t="shared" si="201"/>
        <v>0</v>
      </c>
      <c r="BH168" s="145" t="b">
        <f t="shared" si="202"/>
        <v>0</v>
      </c>
      <c r="BI168" s="216" t="b">
        <f t="shared" si="203"/>
        <v>0</v>
      </c>
      <c r="BJ168" s="215" t="b">
        <f t="shared" si="204"/>
        <v>0</v>
      </c>
      <c r="BK168" s="145" t="b">
        <f t="shared" si="205"/>
        <v>0</v>
      </c>
      <c r="BL168" s="216" t="b">
        <f t="shared" si="206"/>
        <v>0</v>
      </c>
      <c r="BM168" s="217" t="str">
        <f t="shared" si="159"/>
        <v/>
      </c>
      <c r="BN168" s="146" t="str">
        <f t="shared" si="160"/>
        <v/>
      </c>
      <c r="BO168" s="147" t="str">
        <f t="shared" si="161"/>
        <v/>
      </c>
      <c r="BP168" s="148" t="str">
        <f t="shared" si="162"/>
        <v/>
      </c>
      <c r="BT168" s="50">
        <f t="shared" si="177"/>
        <v>145</v>
      </c>
      <c r="BU168" s="50" t="str">
        <f t="shared" si="180"/>
        <v>-</v>
      </c>
      <c r="BW168" s="340"/>
      <c r="BX168" s="333"/>
      <c r="BY168" s="333"/>
      <c r="BZ168" s="333"/>
      <c r="CA168" s="333"/>
      <c r="CB168" s="333"/>
      <c r="CC168" s="333"/>
      <c r="CD168" s="333"/>
      <c r="CE168" s="333"/>
      <c r="CF168" s="333"/>
      <c r="CG168" s="354">
        <f t="shared" si="207"/>
        <v>145</v>
      </c>
      <c r="CH168" s="613">
        <f t="shared" si="208"/>
        <v>0</v>
      </c>
      <c r="CI168" s="613">
        <f t="shared" si="209"/>
        <v>0</v>
      </c>
      <c r="CJ168" s="614" t="str">
        <f t="shared" si="210"/>
        <v/>
      </c>
      <c r="CK168" s="615" t="str">
        <f t="shared" si="211"/>
        <v/>
      </c>
      <c r="CL168" s="610" t="str">
        <f>IF(ISBLANK(H168),"",IF(AND(ISNUMBER(F168),ISNUMBER(G168),ISNUMBER(H168)),ROUND(F168/(H168*G168),2),ROUND(F168/(VALUE(LEFT(H168,SUM(LEN(H168)-LEN(SUBSTITUTE(H168,{"0","1","2","3","4","5","6","7","8","9","."},"")))))*G168),2)))</f>
        <v/>
      </c>
      <c r="CM168" s="616" t="str">
        <f t="shared" si="163"/>
        <v/>
      </c>
      <c r="CN168" s="616" t="str">
        <f>IF(ISNUMBER(P168),MAX('Adjustment factors'!$S$16,(0.2+0.8*P168)),IF(ISTEXT(N168),VLOOKUP(N168,Afactors,2,FALSE),""))</f>
        <v/>
      </c>
      <c r="CO168" s="616" t="str">
        <f>IF(ISNUMBER(S168),MAX('Adjustment factors'!$S$16,0.2+0.8*S168),IF(ISTEXT(Q168),VLOOKUP(Q168,Afactors,2,FALSE),""))</f>
        <v/>
      </c>
      <c r="CP168" s="611" t="str">
        <f t="shared" si="229"/>
        <v/>
      </c>
      <c r="CQ168" s="612" t="str">
        <f t="shared" si="230"/>
        <v/>
      </c>
      <c r="CR168" s="340"/>
      <c r="CS168" s="340"/>
      <c r="CT168" s="340"/>
      <c r="CU168" s="340"/>
      <c r="CV168" s="333"/>
      <c r="CW168" s="333"/>
      <c r="CX168" s="333"/>
      <c r="CY168" s="333"/>
      <c r="DA168" s="313" t="str">
        <f t="shared" si="212"/>
        <v>OK</v>
      </c>
      <c r="DB168" s="313" t="str">
        <f t="shared" si="213"/>
        <v>OK</v>
      </c>
      <c r="DC168" s="313" t="str">
        <f t="shared" si="214"/>
        <v>OK</v>
      </c>
      <c r="DD168" s="313" t="str">
        <f t="shared" si="215"/>
        <v>OK</v>
      </c>
      <c r="DE168" s="153" t="str">
        <f t="shared" si="216"/>
        <v>OK</v>
      </c>
      <c r="DF168" s="314" t="str">
        <f t="shared" si="217"/>
        <v>OK</v>
      </c>
      <c r="DG168" s="482" t="str">
        <f t="shared" si="231"/>
        <v>OK</v>
      </c>
      <c r="DH168" s="482" t="str">
        <f>IF(OR(AND(T168='Adjustment factors'!$R$28,'Class 3, 5-9'!U168='Adjustment factors'!$R$29),AND('Class 3, 5-9'!T168='Adjustment factors'!$R$29,'Class 3, 5-9'!U168='Adjustment factors'!$R$28)),"Invalid combination of adjustment factors",IF(AND(T168=U168,NOT(ISBLANK(T168)),NOT(ISBLANK(U168))),"Same colour factor selected twice","OK"))</f>
        <v>OK</v>
      </c>
      <c r="DI168" s="313" t="str">
        <f t="shared" si="218"/>
        <v>OK</v>
      </c>
      <c r="DJ168" s="153" t="str">
        <f t="shared" si="164"/>
        <v>OK</v>
      </c>
      <c r="DK168" s="153" t="str">
        <f t="shared" si="219"/>
        <v>OK</v>
      </c>
      <c r="DL168" s="313" t="str">
        <f t="shared" si="220"/>
        <v>OK</v>
      </c>
      <c r="DM168" s="153" t="str">
        <f t="shared" si="221"/>
        <v>OK</v>
      </c>
      <c r="DN168" s="153" t="str">
        <f t="shared" si="165"/>
        <v>OK</v>
      </c>
      <c r="DO168" s="154" t="str">
        <f t="shared" si="166"/>
        <v>OK</v>
      </c>
      <c r="DP168" s="153" t="str">
        <f t="shared" si="222"/>
        <v>OK</v>
      </c>
      <c r="DQ168" s="313" t="str">
        <f t="shared" si="223"/>
        <v>OK</v>
      </c>
      <c r="DR168" s="153" t="str">
        <f t="shared" si="167"/>
        <v>OK</v>
      </c>
      <c r="DS168" s="153" t="str">
        <f t="shared" si="224"/>
        <v>OK</v>
      </c>
      <c r="DT168" s="313" t="str">
        <f t="shared" si="182"/>
        <v>OK</v>
      </c>
      <c r="DU168" s="153" t="str">
        <f t="shared" si="225"/>
        <v>OK</v>
      </c>
      <c r="DV168" s="153" t="str">
        <f t="shared" si="168"/>
        <v>OK</v>
      </c>
      <c r="DW168" s="154" t="str">
        <f t="shared" si="169"/>
        <v>OK</v>
      </c>
      <c r="DX168" s="157">
        <f t="shared" si="170"/>
        <v>0</v>
      </c>
      <c r="DY168" s="156" t="str">
        <f t="shared" si="171"/>
        <v>OK</v>
      </c>
    </row>
    <row r="169" spans="1:129" ht="13" hidden="1" x14ac:dyDescent="0.3">
      <c r="A169" s="333"/>
      <c r="B169" s="333"/>
      <c r="C169" s="332" t="str">
        <f t="shared" si="181"/>
        <v>-</v>
      </c>
      <c r="D169" s="584">
        <f t="shared" si="176"/>
        <v>146</v>
      </c>
      <c r="E169" s="585"/>
      <c r="F169" s="586"/>
      <c r="G169" s="600"/>
      <c r="H169" s="587"/>
      <c r="I169" s="601"/>
      <c r="J169" s="585"/>
      <c r="K169" s="617"/>
      <c r="L169" s="602"/>
      <c r="M169" s="603"/>
      <c r="N169" s="588"/>
      <c r="O169" s="604"/>
      <c r="P169" s="605"/>
      <c r="Q169" s="588"/>
      <c r="R169" s="604"/>
      <c r="S169" s="605"/>
      <c r="T169" s="606"/>
      <c r="U169" s="606"/>
      <c r="V169" s="429" t="str">
        <f t="shared" si="178"/>
        <v/>
      </c>
      <c r="W169" s="430" t="str">
        <f t="shared" si="175"/>
        <v/>
      </c>
      <c r="X169" s="66" t="str">
        <f>IF(AND(ISNUMBER(P169),N169=FixedDim),MAX('Adjustment factors'!$S$16,0.2+0.8*P169),IF(ISTEXT(N169),VLOOKUP(N169,Afactors,2,TRUE),""))</f>
        <v/>
      </c>
      <c r="Y169" s="17" t="str">
        <f>IF(AND(ISNUMBER(S169),Q169=FixedDim),MAX('Adjustment factors'!$S$16,0.2+0.8*S169),IF(ISTEXT(Q169),VLOOKUP(Q169,Afactors,2,TRUE),""))</f>
        <v/>
      </c>
      <c r="Z169" s="297" t="str">
        <f>IF(ISBLANK(T169),"",VLOOKUP(T169,'Adjustment factors'!$R$27:$S$30,2,TRUE))</f>
        <v/>
      </c>
      <c r="AA169" s="297" t="str">
        <f>IF(ISBLANK(U169),"",VLOOKUP(U169,'Adjustment factors'!$R$27:$S$30,2,TRUE))</f>
        <v/>
      </c>
      <c r="AB169" s="480">
        <f t="shared" si="226"/>
        <v>1</v>
      </c>
      <c r="AC169" s="18" t="b">
        <f t="shared" si="183"/>
        <v>0</v>
      </c>
      <c r="AD169" s="18" t="b">
        <f t="shared" si="184"/>
        <v>0</v>
      </c>
      <c r="AE169" s="18" t="b">
        <f t="shared" si="172"/>
        <v>0</v>
      </c>
      <c r="AF169" s="17" t="str">
        <f t="shared" si="185"/>
        <v/>
      </c>
      <c r="AG169" s="18" t="str">
        <f t="shared" si="186"/>
        <v/>
      </c>
      <c r="AH169" s="17" t="str">
        <f t="shared" si="173"/>
        <v/>
      </c>
      <c r="AI169" s="297" t="e">
        <f t="shared" si="227"/>
        <v>#VALUE!</v>
      </c>
      <c r="AJ169" s="79" t="e">
        <f t="shared" si="187"/>
        <v>#VALUE!</v>
      </c>
      <c r="AK169" s="17" t="str">
        <f t="shared" si="174"/>
        <v/>
      </c>
      <c r="AL169" s="80" t="e">
        <f t="shared" si="188"/>
        <v>#VALUE!</v>
      </c>
      <c r="AM169" s="139" t="b">
        <f t="shared" si="189"/>
        <v>1</v>
      </c>
      <c r="AN169" s="139" t="b">
        <f>AND(COUNTA(E169)&gt;0,ISNUMBER(F169),OR(COUNT(G169:H169)=0,COUNT(G169:H169)=2,AND(ISNUMBER(G169),ISNUMBER(VALUE(LEFT(H169,SUM(LEN(H169)-LEN(SUBSTITUTE(H169,{"0","1","2","3","4","5","6","7","8","9","."},"")))))))),ISNUMBER(I169),ISTEXT(J169))</f>
        <v>0</v>
      </c>
      <c r="AO169" s="19" t="b">
        <f t="shared" si="190"/>
        <v>0</v>
      </c>
      <c r="AP169" s="19" t="b">
        <f t="shared" si="191"/>
        <v>1</v>
      </c>
      <c r="AQ169" s="19" t="b">
        <f>IF(AND(COUNTBLANK(E169:J169)=6,OR(AN170:AN$523)),NOT(AN169))</f>
        <v>0</v>
      </c>
      <c r="AR169" s="19" t="str">
        <f t="shared" si="192"/>
        <v/>
      </c>
      <c r="AS169" s="19" t="b">
        <f t="shared" si="193"/>
        <v>1</v>
      </c>
      <c r="AT169" s="19" t="str">
        <f t="shared" si="194"/>
        <v/>
      </c>
      <c r="AU169" s="19" t="b">
        <f t="shared" si="195"/>
        <v>1</v>
      </c>
      <c r="AV169" s="140" t="str">
        <f t="shared" si="156"/>
        <v/>
      </c>
      <c r="AW169" s="19" t="str">
        <f t="shared" si="196"/>
        <v/>
      </c>
      <c r="AX169" s="81">
        <f t="shared" si="197"/>
        <v>0</v>
      </c>
      <c r="AY169" s="81" t="str">
        <f t="shared" si="198"/>
        <v/>
      </c>
      <c r="AZ169" s="307" t="str">
        <f t="shared" si="228"/>
        <v/>
      </c>
      <c r="BA169" s="281" t="str">
        <f t="shared" si="157"/>
        <v/>
      </c>
      <c r="BB169" s="281" t="str">
        <f t="shared" si="158"/>
        <v/>
      </c>
      <c r="BC169" s="953"/>
      <c r="BD169" s="955"/>
      <c r="BE169" s="219" t="str">
        <f t="shared" si="199"/>
        <v>n/a</v>
      </c>
      <c r="BF169" s="215" t="b">
        <f t="shared" si="200"/>
        <v>0</v>
      </c>
      <c r="BG169" s="145" t="b">
        <f t="shared" si="201"/>
        <v>0</v>
      </c>
      <c r="BH169" s="145" t="b">
        <f t="shared" si="202"/>
        <v>0</v>
      </c>
      <c r="BI169" s="216" t="b">
        <f t="shared" si="203"/>
        <v>0</v>
      </c>
      <c r="BJ169" s="215" t="b">
        <f t="shared" si="204"/>
        <v>0</v>
      </c>
      <c r="BK169" s="145" t="b">
        <f t="shared" si="205"/>
        <v>0</v>
      </c>
      <c r="BL169" s="216" t="b">
        <f t="shared" si="206"/>
        <v>0</v>
      </c>
      <c r="BM169" s="217" t="str">
        <f t="shared" si="159"/>
        <v/>
      </c>
      <c r="BN169" s="146" t="str">
        <f t="shared" si="160"/>
        <v/>
      </c>
      <c r="BO169" s="147" t="str">
        <f t="shared" si="161"/>
        <v/>
      </c>
      <c r="BP169" s="148" t="str">
        <f t="shared" si="162"/>
        <v/>
      </c>
      <c r="BT169" s="50">
        <f t="shared" si="177"/>
        <v>146</v>
      </c>
      <c r="BU169" s="50" t="str">
        <f t="shared" si="180"/>
        <v>-</v>
      </c>
      <c r="BW169" s="340"/>
      <c r="BX169" s="333"/>
      <c r="BY169" s="333"/>
      <c r="BZ169" s="333"/>
      <c r="CA169" s="333"/>
      <c r="CB169" s="333"/>
      <c r="CC169" s="333"/>
      <c r="CD169" s="333"/>
      <c r="CE169" s="333"/>
      <c r="CF169" s="333"/>
      <c r="CG169" s="354">
        <f t="shared" si="207"/>
        <v>146</v>
      </c>
      <c r="CH169" s="613">
        <f t="shared" si="208"/>
        <v>0</v>
      </c>
      <c r="CI169" s="613">
        <f t="shared" si="209"/>
        <v>0</v>
      </c>
      <c r="CJ169" s="614" t="str">
        <f t="shared" si="210"/>
        <v/>
      </c>
      <c r="CK169" s="615" t="str">
        <f t="shared" si="211"/>
        <v/>
      </c>
      <c r="CL169" s="610" t="str">
        <f>IF(ISBLANK(H169),"",IF(AND(ISNUMBER(F169),ISNUMBER(G169),ISNUMBER(H169)),ROUND(F169/(H169*G169),2),ROUND(F169/(VALUE(LEFT(H169,SUM(LEN(H169)-LEN(SUBSTITUTE(H169,{"0","1","2","3","4","5","6","7","8","9","."},"")))))*G169),2)))</f>
        <v/>
      </c>
      <c r="CM169" s="616" t="str">
        <f t="shared" si="163"/>
        <v/>
      </c>
      <c r="CN169" s="616" t="str">
        <f>IF(ISNUMBER(P169),MAX('Adjustment factors'!$S$16,(0.2+0.8*P169)),IF(ISTEXT(N169),VLOOKUP(N169,Afactors,2,FALSE),""))</f>
        <v/>
      </c>
      <c r="CO169" s="616" t="str">
        <f>IF(ISNUMBER(S169),MAX('Adjustment factors'!$S$16,0.2+0.8*S169),IF(ISTEXT(Q169),VLOOKUP(Q169,Afactors,2,FALSE),""))</f>
        <v/>
      </c>
      <c r="CP169" s="611" t="str">
        <f t="shared" si="229"/>
        <v/>
      </c>
      <c r="CQ169" s="612" t="str">
        <f t="shared" si="230"/>
        <v/>
      </c>
      <c r="CR169" s="340"/>
      <c r="CS169" s="340"/>
      <c r="CT169" s="340"/>
      <c r="CU169" s="340"/>
      <c r="CV169" s="333"/>
      <c r="CW169" s="333"/>
      <c r="CX169" s="333"/>
      <c r="CY169" s="333"/>
      <c r="DA169" s="313" t="str">
        <f t="shared" si="212"/>
        <v>OK</v>
      </c>
      <c r="DB169" s="313" t="str">
        <f t="shared" si="213"/>
        <v>OK</v>
      </c>
      <c r="DC169" s="313" t="str">
        <f t="shared" si="214"/>
        <v>OK</v>
      </c>
      <c r="DD169" s="313" t="str">
        <f t="shared" si="215"/>
        <v>OK</v>
      </c>
      <c r="DE169" s="153" t="str">
        <f t="shared" si="216"/>
        <v>OK</v>
      </c>
      <c r="DF169" s="314" t="str">
        <f t="shared" si="217"/>
        <v>OK</v>
      </c>
      <c r="DG169" s="482" t="str">
        <f t="shared" si="231"/>
        <v>OK</v>
      </c>
      <c r="DH169" s="482" t="str">
        <f>IF(OR(AND(T169='Adjustment factors'!$R$28,'Class 3, 5-9'!U169='Adjustment factors'!$R$29),AND('Class 3, 5-9'!T169='Adjustment factors'!$R$29,'Class 3, 5-9'!U169='Adjustment factors'!$R$28)),"Invalid combination of adjustment factors",IF(AND(T169=U169,NOT(ISBLANK(T169)),NOT(ISBLANK(U169))),"Same colour factor selected twice","OK"))</f>
        <v>OK</v>
      </c>
      <c r="DI169" s="313" t="str">
        <f t="shared" si="218"/>
        <v>OK</v>
      </c>
      <c r="DJ169" s="153" t="str">
        <f t="shared" si="164"/>
        <v>OK</v>
      </c>
      <c r="DK169" s="153" t="str">
        <f t="shared" si="219"/>
        <v>OK</v>
      </c>
      <c r="DL169" s="313" t="str">
        <f t="shared" si="220"/>
        <v>OK</v>
      </c>
      <c r="DM169" s="153" t="str">
        <f t="shared" si="221"/>
        <v>OK</v>
      </c>
      <c r="DN169" s="153" t="str">
        <f t="shared" si="165"/>
        <v>OK</v>
      </c>
      <c r="DO169" s="154" t="str">
        <f t="shared" si="166"/>
        <v>OK</v>
      </c>
      <c r="DP169" s="153" t="str">
        <f t="shared" si="222"/>
        <v>OK</v>
      </c>
      <c r="DQ169" s="313" t="str">
        <f t="shared" si="223"/>
        <v>OK</v>
      </c>
      <c r="DR169" s="153" t="str">
        <f t="shared" si="167"/>
        <v>OK</v>
      </c>
      <c r="DS169" s="153" t="str">
        <f t="shared" si="224"/>
        <v>OK</v>
      </c>
      <c r="DT169" s="313" t="str">
        <f t="shared" si="182"/>
        <v>OK</v>
      </c>
      <c r="DU169" s="153" t="str">
        <f t="shared" si="225"/>
        <v>OK</v>
      </c>
      <c r="DV169" s="153" t="str">
        <f t="shared" si="168"/>
        <v>OK</v>
      </c>
      <c r="DW169" s="154" t="str">
        <f t="shared" si="169"/>
        <v>OK</v>
      </c>
      <c r="DX169" s="157">
        <f t="shared" si="170"/>
        <v>0</v>
      </c>
      <c r="DY169" s="156" t="str">
        <f t="shared" si="171"/>
        <v>OK</v>
      </c>
    </row>
    <row r="170" spans="1:129" ht="13" hidden="1" x14ac:dyDescent="0.3">
      <c r="A170" s="333"/>
      <c r="B170" s="333"/>
      <c r="C170" s="332" t="str">
        <f t="shared" si="181"/>
        <v>-</v>
      </c>
      <c r="D170" s="584">
        <f t="shared" si="176"/>
        <v>147</v>
      </c>
      <c r="E170" s="585"/>
      <c r="F170" s="586"/>
      <c r="G170" s="600"/>
      <c r="H170" s="587"/>
      <c r="I170" s="601"/>
      <c r="J170" s="585"/>
      <c r="K170" s="617"/>
      <c r="L170" s="602"/>
      <c r="M170" s="603"/>
      <c r="N170" s="588"/>
      <c r="O170" s="604"/>
      <c r="P170" s="605"/>
      <c r="Q170" s="588"/>
      <c r="R170" s="604"/>
      <c r="S170" s="605"/>
      <c r="T170" s="606"/>
      <c r="U170" s="606"/>
      <c r="V170" s="429" t="str">
        <f t="shared" si="178"/>
        <v/>
      </c>
      <c r="W170" s="430" t="str">
        <f t="shared" si="175"/>
        <v/>
      </c>
      <c r="X170" s="66" t="str">
        <f>IF(AND(ISNUMBER(P170),N170=FixedDim),MAX('Adjustment factors'!$S$16,0.2+0.8*P170),IF(ISTEXT(N170),VLOOKUP(N170,Afactors,2,TRUE),""))</f>
        <v/>
      </c>
      <c r="Y170" s="17" t="str">
        <f>IF(AND(ISNUMBER(S170),Q170=FixedDim),MAX('Adjustment factors'!$S$16,0.2+0.8*S170),IF(ISTEXT(Q170),VLOOKUP(Q170,Afactors,2,TRUE),""))</f>
        <v/>
      </c>
      <c r="Z170" s="297" t="str">
        <f>IF(ISBLANK(T170),"",VLOOKUP(T170,'Adjustment factors'!$R$27:$S$30,2,TRUE))</f>
        <v/>
      </c>
      <c r="AA170" s="297" t="str">
        <f>IF(ISBLANK(U170),"",VLOOKUP(U170,'Adjustment factors'!$R$27:$S$30,2,TRUE))</f>
        <v/>
      </c>
      <c r="AB170" s="480">
        <f t="shared" si="226"/>
        <v>1</v>
      </c>
      <c r="AC170" s="18" t="b">
        <f t="shared" si="183"/>
        <v>0</v>
      </c>
      <c r="AD170" s="18" t="b">
        <f t="shared" si="184"/>
        <v>0</v>
      </c>
      <c r="AE170" s="18" t="b">
        <f t="shared" si="172"/>
        <v>0</v>
      </c>
      <c r="AF170" s="17" t="str">
        <f t="shared" si="185"/>
        <v/>
      </c>
      <c r="AG170" s="18" t="str">
        <f t="shared" si="186"/>
        <v/>
      </c>
      <c r="AH170" s="17" t="str">
        <f t="shared" si="173"/>
        <v/>
      </c>
      <c r="AI170" s="297" t="e">
        <f t="shared" si="227"/>
        <v>#VALUE!</v>
      </c>
      <c r="AJ170" s="79" t="e">
        <f t="shared" si="187"/>
        <v>#VALUE!</v>
      </c>
      <c r="AK170" s="17" t="str">
        <f t="shared" si="174"/>
        <v/>
      </c>
      <c r="AL170" s="80" t="e">
        <f t="shared" si="188"/>
        <v>#VALUE!</v>
      </c>
      <c r="AM170" s="139" t="b">
        <f t="shared" si="189"/>
        <v>1</v>
      </c>
      <c r="AN170" s="139" t="b">
        <f>AND(COUNTA(E170)&gt;0,ISNUMBER(F170),OR(COUNT(G170:H170)=0,COUNT(G170:H170)=2,AND(ISNUMBER(G170),ISNUMBER(VALUE(LEFT(H170,SUM(LEN(H170)-LEN(SUBSTITUTE(H170,{"0","1","2","3","4","5","6","7","8","9","."},"")))))))),ISNUMBER(I170),ISTEXT(J170))</f>
        <v>0</v>
      </c>
      <c r="AO170" s="19" t="b">
        <f t="shared" si="190"/>
        <v>0</v>
      </c>
      <c r="AP170" s="19" t="b">
        <f t="shared" si="191"/>
        <v>1</v>
      </c>
      <c r="AQ170" s="19" t="b">
        <f>IF(AND(COUNTBLANK(E170:J170)=6,OR(AN171:AN$523)),NOT(AN170))</f>
        <v>0</v>
      </c>
      <c r="AR170" s="19" t="str">
        <f t="shared" si="192"/>
        <v/>
      </c>
      <c r="AS170" s="19" t="b">
        <f t="shared" si="193"/>
        <v>1</v>
      </c>
      <c r="AT170" s="19" t="str">
        <f t="shared" si="194"/>
        <v/>
      </c>
      <c r="AU170" s="19" t="b">
        <f t="shared" si="195"/>
        <v>1</v>
      </c>
      <c r="AV170" s="140" t="str">
        <f t="shared" si="156"/>
        <v/>
      </c>
      <c r="AW170" s="19" t="str">
        <f t="shared" si="196"/>
        <v/>
      </c>
      <c r="AX170" s="81">
        <f t="shared" si="197"/>
        <v>0</v>
      </c>
      <c r="AY170" s="81" t="str">
        <f t="shared" si="198"/>
        <v/>
      </c>
      <c r="AZ170" s="307" t="str">
        <f t="shared" si="228"/>
        <v/>
      </c>
      <c r="BA170" s="281" t="str">
        <f t="shared" si="157"/>
        <v/>
      </c>
      <c r="BB170" s="281" t="str">
        <f t="shared" si="158"/>
        <v/>
      </c>
      <c r="BC170" s="953"/>
      <c r="BD170" s="955"/>
      <c r="BE170" s="219" t="str">
        <f t="shared" si="199"/>
        <v>n/a</v>
      </c>
      <c r="BF170" s="215" t="b">
        <f t="shared" si="200"/>
        <v>0</v>
      </c>
      <c r="BG170" s="145" t="b">
        <f t="shared" si="201"/>
        <v>0</v>
      </c>
      <c r="BH170" s="145" t="b">
        <f t="shared" si="202"/>
        <v>0</v>
      </c>
      <c r="BI170" s="216" t="b">
        <f t="shared" si="203"/>
        <v>0</v>
      </c>
      <c r="BJ170" s="215" t="b">
        <f t="shared" si="204"/>
        <v>0</v>
      </c>
      <c r="BK170" s="145" t="b">
        <f t="shared" si="205"/>
        <v>0</v>
      </c>
      <c r="BL170" s="216" t="b">
        <f t="shared" si="206"/>
        <v>0</v>
      </c>
      <c r="BM170" s="217" t="str">
        <f t="shared" si="159"/>
        <v/>
      </c>
      <c r="BN170" s="146" t="str">
        <f t="shared" si="160"/>
        <v/>
      </c>
      <c r="BO170" s="147" t="str">
        <f t="shared" si="161"/>
        <v/>
      </c>
      <c r="BP170" s="148" t="str">
        <f t="shared" si="162"/>
        <v/>
      </c>
      <c r="BT170" s="50">
        <f t="shared" si="177"/>
        <v>147</v>
      </c>
      <c r="BU170" s="50" t="str">
        <f t="shared" si="180"/>
        <v>-</v>
      </c>
      <c r="BW170" s="340"/>
      <c r="BX170" s="333"/>
      <c r="BY170" s="333"/>
      <c r="BZ170" s="333"/>
      <c r="CA170" s="333"/>
      <c r="CB170" s="333"/>
      <c r="CC170" s="333"/>
      <c r="CD170" s="333"/>
      <c r="CE170" s="333"/>
      <c r="CF170" s="333"/>
      <c r="CG170" s="354">
        <f t="shared" si="207"/>
        <v>147</v>
      </c>
      <c r="CH170" s="613">
        <f t="shared" si="208"/>
        <v>0</v>
      </c>
      <c r="CI170" s="613">
        <f t="shared" si="209"/>
        <v>0</v>
      </c>
      <c r="CJ170" s="614" t="str">
        <f t="shared" si="210"/>
        <v/>
      </c>
      <c r="CK170" s="615" t="str">
        <f t="shared" si="211"/>
        <v/>
      </c>
      <c r="CL170" s="610" t="str">
        <f>IF(ISBLANK(H170),"",IF(AND(ISNUMBER(F170),ISNUMBER(G170),ISNUMBER(H170)),ROUND(F170/(H170*G170),2),ROUND(F170/(VALUE(LEFT(H170,SUM(LEN(H170)-LEN(SUBSTITUTE(H170,{"0","1","2","3","4","5","6","7","8","9","."},"")))))*G170),2)))</f>
        <v/>
      </c>
      <c r="CM170" s="616" t="str">
        <f t="shared" si="163"/>
        <v/>
      </c>
      <c r="CN170" s="616" t="str">
        <f>IF(ISNUMBER(P170),MAX('Adjustment factors'!$S$16,(0.2+0.8*P170)),IF(ISTEXT(N170),VLOOKUP(N170,Afactors,2,FALSE),""))</f>
        <v/>
      </c>
      <c r="CO170" s="616" t="str">
        <f>IF(ISNUMBER(S170),MAX('Adjustment factors'!$S$16,0.2+0.8*S170),IF(ISTEXT(Q170),VLOOKUP(Q170,Afactors,2,FALSE),""))</f>
        <v/>
      </c>
      <c r="CP170" s="611" t="str">
        <f t="shared" si="229"/>
        <v/>
      </c>
      <c r="CQ170" s="612" t="str">
        <f t="shared" si="230"/>
        <v/>
      </c>
      <c r="CR170" s="340"/>
      <c r="CS170" s="340"/>
      <c r="CT170" s="340"/>
      <c r="CU170" s="340"/>
      <c r="CV170" s="333"/>
      <c r="CW170" s="333"/>
      <c r="CX170" s="333"/>
      <c r="CY170" s="333"/>
      <c r="DA170" s="313" t="str">
        <f t="shared" si="212"/>
        <v>OK</v>
      </c>
      <c r="DB170" s="313" t="str">
        <f t="shared" si="213"/>
        <v>OK</v>
      </c>
      <c r="DC170" s="313" t="str">
        <f t="shared" si="214"/>
        <v>OK</v>
      </c>
      <c r="DD170" s="313" t="str">
        <f t="shared" si="215"/>
        <v>OK</v>
      </c>
      <c r="DE170" s="153" t="str">
        <f t="shared" si="216"/>
        <v>OK</v>
      </c>
      <c r="DF170" s="314" t="str">
        <f t="shared" si="217"/>
        <v>OK</v>
      </c>
      <c r="DG170" s="482" t="str">
        <f t="shared" si="231"/>
        <v>OK</v>
      </c>
      <c r="DH170" s="482" t="str">
        <f>IF(OR(AND(T170='Adjustment factors'!$R$28,'Class 3, 5-9'!U170='Adjustment factors'!$R$29),AND('Class 3, 5-9'!T170='Adjustment factors'!$R$29,'Class 3, 5-9'!U170='Adjustment factors'!$R$28)),"Invalid combination of adjustment factors",IF(AND(T170=U170,NOT(ISBLANK(T170)),NOT(ISBLANK(U170))),"Same colour factor selected twice","OK"))</f>
        <v>OK</v>
      </c>
      <c r="DI170" s="313" t="str">
        <f t="shared" si="218"/>
        <v>OK</v>
      </c>
      <c r="DJ170" s="153" t="str">
        <f t="shared" si="164"/>
        <v>OK</v>
      </c>
      <c r="DK170" s="153" t="str">
        <f t="shared" si="219"/>
        <v>OK</v>
      </c>
      <c r="DL170" s="313" t="str">
        <f t="shared" si="220"/>
        <v>OK</v>
      </c>
      <c r="DM170" s="153" t="str">
        <f t="shared" si="221"/>
        <v>OK</v>
      </c>
      <c r="DN170" s="153" t="str">
        <f t="shared" si="165"/>
        <v>OK</v>
      </c>
      <c r="DO170" s="154" t="str">
        <f t="shared" si="166"/>
        <v>OK</v>
      </c>
      <c r="DP170" s="153" t="str">
        <f t="shared" si="222"/>
        <v>OK</v>
      </c>
      <c r="DQ170" s="313" t="str">
        <f t="shared" si="223"/>
        <v>OK</v>
      </c>
      <c r="DR170" s="153" t="str">
        <f t="shared" si="167"/>
        <v>OK</v>
      </c>
      <c r="DS170" s="153" t="str">
        <f t="shared" si="224"/>
        <v>OK</v>
      </c>
      <c r="DT170" s="313" t="str">
        <f t="shared" si="182"/>
        <v>OK</v>
      </c>
      <c r="DU170" s="153" t="str">
        <f t="shared" si="225"/>
        <v>OK</v>
      </c>
      <c r="DV170" s="153" t="str">
        <f t="shared" si="168"/>
        <v>OK</v>
      </c>
      <c r="DW170" s="154" t="str">
        <f t="shared" si="169"/>
        <v>OK</v>
      </c>
      <c r="DX170" s="157">
        <f t="shared" si="170"/>
        <v>0</v>
      </c>
      <c r="DY170" s="156" t="str">
        <f t="shared" si="171"/>
        <v>OK</v>
      </c>
    </row>
    <row r="171" spans="1:129" ht="13" hidden="1" x14ac:dyDescent="0.3">
      <c r="A171" s="333"/>
      <c r="B171" s="333"/>
      <c r="C171" s="332" t="str">
        <f t="shared" si="181"/>
        <v>-</v>
      </c>
      <c r="D171" s="584">
        <f t="shared" si="176"/>
        <v>148</v>
      </c>
      <c r="E171" s="585"/>
      <c r="F171" s="586"/>
      <c r="G171" s="600"/>
      <c r="H171" s="587"/>
      <c r="I171" s="601"/>
      <c r="J171" s="585"/>
      <c r="K171" s="617"/>
      <c r="L171" s="602"/>
      <c r="M171" s="603"/>
      <c r="N171" s="588"/>
      <c r="O171" s="604"/>
      <c r="P171" s="605"/>
      <c r="Q171" s="588"/>
      <c r="R171" s="604"/>
      <c r="S171" s="605"/>
      <c r="T171" s="606"/>
      <c r="U171" s="606"/>
      <c r="V171" s="429" t="str">
        <f t="shared" si="178"/>
        <v/>
      </c>
      <c r="W171" s="430" t="str">
        <f t="shared" si="175"/>
        <v/>
      </c>
      <c r="X171" s="66" t="str">
        <f>IF(AND(ISNUMBER(P171),N171=FixedDim),MAX('Adjustment factors'!$S$16,0.2+0.8*P171),IF(ISTEXT(N171),VLOOKUP(N171,Afactors,2,TRUE),""))</f>
        <v/>
      </c>
      <c r="Y171" s="17" t="str">
        <f>IF(AND(ISNUMBER(S171),Q171=FixedDim),MAX('Adjustment factors'!$S$16,0.2+0.8*S171),IF(ISTEXT(Q171),VLOOKUP(Q171,Afactors,2,TRUE),""))</f>
        <v/>
      </c>
      <c r="Z171" s="297" t="str">
        <f>IF(ISBLANK(T171),"",VLOOKUP(T171,'Adjustment factors'!$R$27:$S$30,2,TRUE))</f>
        <v/>
      </c>
      <c r="AA171" s="297" t="str">
        <f>IF(ISBLANK(U171),"",VLOOKUP(U171,'Adjustment factors'!$R$27:$S$30,2,TRUE))</f>
        <v/>
      </c>
      <c r="AB171" s="480">
        <f t="shared" si="226"/>
        <v>1</v>
      </c>
      <c r="AC171" s="18" t="b">
        <f t="shared" si="183"/>
        <v>0</v>
      </c>
      <c r="AD171" s="18" t="b">
        <f t="shared" si="184"/>
        <v>0</v>
      </c>
      <c r="AE171" s="18" t="b">
        <f t="shared" si="172"/>
        <v>0</v>
      </c>
      <c r="AF171" s="17" t="str">
        <f t="shared" si="185"/>
        <v/>
      </c>
      <c r="AG171" s="18" t="str">
        <f t="shared" si="186"/>
        <v/>
      </c>
      <c r="AH171" s="17" t="str">
        <f t="shared" si="173"/>
        <v/>
      </c>
      <c r="AI171" s="297" t="e">
        <f t="shared" si="227"/>
        <v>#VALUE!</v>
      </c>
      <c r="AJ171" s="79" t="e">
        <f t="shared" si="187"/>
        <v>#VALUE!</v>
      </c>
      <c r="AK171" s="17" t="str">
        <f t="shared" si="174"/>
        <v/>
      </c>
      <c r="AL171" s="80" t="e">
        <f t="shared" si="188"/>
        <v>#VALUE!</v>
      </c>
      <c r="AM171" s="139" t="b">
        <f t="shared" si="189"/>
        <v>1</v>
      </c>
      <c r="AN171" s="139" t="b">
        <f>AND(COUNTA(E171)&gt;0,ISNUMBER(F171),OR(COUNT(G171:H171)=0,COUNT(G171:H171)=2,AND(ISNUMBER(G171),ISNUMBER(VALUE(LEFT(H171,SUM(LEN(H171)-LEN(SUBSTITUTE(H171,{"0","1","2","3","4","5","6","7","8","9","."},"")))))))),ISNUMBER(I171),ISTEXT(J171))</f>
        <v>0</v>
      </c>
      <c r="AO171" s="19" t="b">
        <f t="shared" si="190"/>
        <v>0</v>
      </c>
      <c r="AP171" s="19" t="b">
        <f t="shared" si="191"/>
        <v>1</v>
      </c>
      <c r="AQ171" s="19" t="b">
        <f>IF(AND(COUNTBLANK(E171:J171)=6,OR(AN172:AN$523)),NOT(AN171))</f>
        <v>0</v>
      </c>
      <c r="AR171" s="19" t="str">
        <f t="shared" si="192"/>
        <v/>
      </c>
      <c r="AS171" s="19" t="b">
        <f t="shared" si="193"/>
        <v>1</v>
      </c>
      <c r="AT171" s="19" t="str">
        <f t="shared" si="194"/>
        <v/>
      </c>
      <c r="AU171" s="19" t="b">
        <f t="shared" si="195"/>
        <v>1</v>
      </c>
      <c r="AV171" s="140" t="str">
        <f t="shared" si="156"/>
        <v/>
      </c>
      <c r="AW171" s="19" t="str">
        <f t="shared" si="196"/>
        <v/>
      </c>
      <c r="AX171" s="81">
        <f t="shared" si="197"/>
        <v>0</v>
      </c>
      <c r="AY171" s="81" t="str">
        <f t="shared" si="198"/>
        <v/>
      </c>
      <c r="AZ171" s="307" t="str">
        <f t="shared" si="228"/>
        <v/>
      </c>
      <c r="BA171" s="281" t="str">
        <f t="shared" si="157"/>
        <v/>
      </c>
      <c r="BB171" s="281" t="str">
        <f t="shared" si="158"/>
        <v/>
      </c>
      <c r="BC171" s="953"/>
      <c r="BD171" s="955"/>
      <c r="BE171" s="219" t="str">
        <f t="shared" si="199"/>
        <v>n/a</v>
      </c>
      <c r="BF171" s="215" t="b">
        <f t="shared" si="200"/>
        <v>0</v>
      </c>
      <c r="BG171" s="145" t="b">
        <f t="shared" si="201"/>
        <v>0</v>
      </c>
      <c r="BH171" s="145" t="b">
        <f t="shared" si="202"/>
        <v>0</v>
      </c>
      <c r="BI171" s="216" t="b">
        <f t="shared" si="203"/>
        <v>0</v>
      </c>
      <c r="BJ171" s="215" t="b">
        <f t="shared" si="204"/>
        <v>0</v>
      </c>
      <c r="BK171" s="145" t="b">
        <f t="shared" si="205"/>
        <v>0</v>
      </c>
      <c r="BL171" s="216" t="b">
        <f t="shared" si="206"/>
        <v>0</v>
      </c>
      <c r="BM171" s="217" t="str">
        <f t="shared" si="159"/>
        <v/>
      </c>
      <c r="BN171" s="146" t="str">
        <f t="shared" si="160"/>
        <v/>
      </c>
      <c r="BO171" s="147" t="str">
        <f t="shared" si="161"/>
        <v/>
      </c>
      <c r="BP171" s="148" t="str">
        <f t="shared" si="162"/>
        <v/>
      </c>
      <c r="BT171" s="50">
        <f t="shared" si="177"/>
        <v>148</v>
      </c>
      <c r="BU171" s="50" t="str">
        <f t="shared" si="180"/>
        <v>-</v>
      </c>
      <c r="BW171" s="340"/>
      <c r="BX171" s="333"/>
      <c r="BY171" s="333"/>
      <c r="BZ171" s="333"/>
      <c r="CA171" s="333"/>
      <c r="CB171" s="333"/>
      <c r="CC171" s="333"/>
      <c r="CD171" s="333"/>
      <c r="CE171" s="333"/>
      <c r="CF171" s="333"/>
      <c r="CG171" s="354">
        <f t="shared" si="207"/>
        <v>148</v>
      </c>
      <c r="CH171" s="613">
        <f t="shared" si="208"/>
        <v>0</v>
      </c>
      <c r="CI171" s="613">
        <f t="shared" si="209"/>
        <v>0</v>
      </c>
      <c r="CJ171" s="614" t="str">
        <f t="shared" si="210"/>
        <v/>
      </c>
      <c r="CK171" s="615" t="str">
        <f t="shared" si="211"/>
        <v/>
      </c>
      <c r="CL171" s="610" t="str">
        <f>IF(ISBLANK(H171),"",IF(AND(ISNUMBER(F171),ISNUMBER(G171),ISNUMBER(H171)),ROUND(F171/(H171*G171),2),ROUND(F171/(VALUE(LEFT(H171,SUM(LEN(H171)-LEN(SUBSTITUTE(H171,{"0","1","2","3","4","5","6","7","8","9","."},"")))))*G171),2)))</f>
        <v/>
      </c>
      <c r="CM171" s="616" t="str">
        <f t="shared" si="163"/>
        <v/>
      </c>
      <c r="CN171" s="616" t="str">
        <f>IF(ISNUMBER(P171),MAX('Adjustment factors'!$S$16,(0.2+0.8*P171)),IF(ISTEXT(N171),VLOOKUP(N171,Afactors,2,FALSE),""))</f>
        <v/>
      </c>
      <c r="CO171" s="616" t="str">
        <f>IF(ISNUMBER(S171),MAX('Adjustment factors'!$S$16,0.2+0.8*S171),IF(ISTEXT(Q171),VLOOKUP(Q171,Afactors,2,FALSE),""))</f>
        <v/>
      </c>
      <c r="CP171" s="611" t="str">
        <f t="shared" si="229"/>
        <v/>
      </c>
      <c r="CQ171" s="612" t="str">
        <f t="shared" si="230"/>
        <v/>
      </c>
      <c r="CR171" s="340"/>
      <c r="CS171" s="340"/>
      <c r="CT171" s="340"/>
      <c r="CU171" s="340"/>
      <c r="CV171" s="333"/>
      <c r="CW171" s="333"/>
      <c r="CX171" s="333"/>
      <c r="CY171" s="333"/>
      <c r="DA171" s="313" t="str">
        <f t="shared" si="212"/>
        <v>OK</v>
      </c>
      <c r="DB171" s="313" t="str">
        <f t="shared" si="213"/>
        <v>OK</v>
      </c>
      <c r="DC171" s="313" t="str">
        <f t="shared" si="214"/>
        <v>OK</v>
      </c>
      <c r="DD171" s="313" t="str">
        <f t="shared" si="215"/>
        <v>OK</v>
      </c>
      <c r="DE171" s="153" t="str">
        <f t="shared" si="216"/>
        <v>OK</v>
      </c>
      <c r="DF171" s="314" t="str">
        <f t="shared" si="217"/>
        <v>OK</v>
      </c>
      <c r="DG171" s="482" t="str">
        <f t="shared" si="231"/>
        <v>OK</v>
      </c>
      <c r="DH171" s="482" t="str">
        <f>IF(OR(AND(T171='Adjustment factors'!$R$28,'Class 3, 5-9'!U171='Adjustment factors'!$R$29),AND('Class 3, 5-9'!T171='Adjustment factors'!$R$29,'Class 3, 5-9'!U171='Adjustment factors'!$R$28)),"Invalid combination of adjustment factors",IF(AND(T171=U171,NOT(ISBLANK(T171)),NOT(ISBLANK(U171))),"Same colour factor selected twice","OK"))</f>
        <v>OK</v>
      </c>
      <c r="DI171" s="313" t="str">
        <f t="shared" si="218"/>
        <v>OK</v>
      </c>
      <c r="DJ171" s="153" t="str">
        <f t="shared" si="164"/>
        <v>OK</v>
      </c>
      <c r="DK171" s="153" t="str">
        <f t="shared" si="219"/>
        <v>OK</v>
      </c>
      <c r="DL171" s="313" t="str">
        <f t="shared" si="220"/>
        <v>OK</v>
      </c>
      <c r="DM171" s="153" t="str">
        <f t="shared" si="221"/>
        <v>OK</v>
      </c>
      <c r="DN171" s="153" t="str">
        <f t="shared" si="165"/>
        <v>OK</v>
      </c>
      <c r="DO171" s="154" t="str">
        <f t="shared" si="166"/>
        <v>OK</v>
      </c>
      <c r="DP171" s="153" t="str">
        <f t="shared" si="222"/>
        <v>OK</v>
      </c>
      <c r="DQ171" s="313" t="str">
        <f t="shared" si="223"/>
        <v>OK</v>
      </c>
      <c r="DR171" s="153" t="str">
        <f t="shared" si="167"/>
        <v>OK</v>
      </c>
      <c r="DS171" s="153" t="str">
        <f t="shared" si="224"/>
        <v>OK</v>
      </c>
      <c r="DT171" s="313" t="str">
        <f t="shared" ref="DT171:DT202" si="232">IF(AND(ISNUMBER(S171),Q171&lt;&gt;FixedDim),"Select fixed dimming with an illuminance factor","OK")</f>
        <v>OK</v>
      </c>
      <c r="DU171" s="153" t="str">
        <f t="shared" si="225"/>
        <v>OK</v>
      </c>
      <c r="DV171" s="153" t="str">
        <f t="shared" si="168"/>
        <v>OK</v>
      </c>
      <c r="DW171" s="154" t="str">
        <f t="shared" si="169"/>
        <v>OK</v>
      </c>
      <c r="DX171" s="157">
        <f t="shared" si="170"/>
        <v>0</v>
      </c>
      <c r="DY171" s="156" t="str">
        <f t="shared" si="171"/>
        <v>OK</v>
      </c>
    </row>
    <row r="172" spans="1:129" ht="13" hidden="1" x14ac:dyDescent="0.3">
      <c r="A172" s="333"/>
      <c r="B172" s="333"/>
      <c r="C172" s="332" t="str">
        <f t="shared" si="181"/>
        <v>-</v>
      </c>
      <c r="D172" s="584">
        <f t="shared" si="176"/>
        <v>149</v>
      </c>
      <c r="E172" s="585"/>
      <c r="F172" s="586"/>
      <c r="G172" s="600"/>
      <c r="H172" s="587"/>
      <c r="I172" s="601"/>
      <c r="J172" s="585"/>
      <c r="K172" s="617"/>
      <c r="L172" s="602"/>
      <c r="M172" s="603"/>
      <c r="N172" s="588"/>
      <c r="O172" s="604"/>
      <c r="P172" s="605"/>
      <c r="Q172" s="588"/>
      <c r="R172" s="604"/>
      <c r="S172" s="605"/>
      <c r="T172" s="606"/>
      <c r="U172" s="606"/>
      <c r="V172" s="429" t="str">
        <f t="shared" si="178"/>
        <v/>
      </c>
      <c r="W172" s="430" t="str">
        <f t="shared" si="175"/>
        <v/>
      </c>
      <c r="X172" s="66" t="str">
        <f>IF(AND(ISNUMBER(P172),N172=FixedDim),MAX('Adjustment factors'!$S$16,0.2+0.8*P172),IF(ISTEXT(N172),VLOOKUP(N172,Afactors,2,TRUE),""))</f>
        <v/>
      </c>
      <c r="Y172" s="17" t="str">
        <f>IF(AND(ISNUMBER(S172),Q172=FixedDim),MAX('Adjustment factors'!$S$16,0.2+0.8*S172),IF(ISTEXT(Q172),VLOOKUP(Q172,Afactors,2,TRUE),""))</f>
        <v/>
      </c>
      <c r="Z172" s="297" t="str">
        <f>IF(ISBLANK(T172),"",VLOOKUP(T172,'Adjustment factors'!$R$27:$S$30,2,TRUE))</f>
        <v/>
      </c>
      <c r="AA172" s="297" t="str">
        <f>IF(ISBLANK(U172),"",VLOOKUP(U172,'Adjustment factors'!$R$27:$S$30,2,TRUE))</f>
        <v/>
      </c>
      <c r="AB172" s="480">
        <f t="shared" si="226"/>
        <v>1</v>
      </c>
      <c r="AC172" s="18" t="b">
        <f t="shared" si="183"/>
        <v>0</v>
      </c>
      <c r="AD172" s="18" t="b">
        <f t="shared" si="184"/>
        <v>0</v>
      </c>
      <c r="AE172" s="18" t="b">
        <f t="shared" si="172"/>
        <v>0</v>
      </c>
      <c r="AF172" s="17" t="str">
        <f t="shared" si="185"/>
        <v/>
      </c>
      <c r="AG172" s="18" t="str">
        <f t="shared" si="186"/>
        <v/>
      </c>
      <c r="AH172" s="17" t="str">
        <f t="shared" si="173"/>
        <v/>
      </c>
      <c r="AI172" s="297" t="e">
        <f t="shared" si="227"/>
        <v>#VALUE!</v>
      </c>
      <c r="AJ172" s="79" t="e">
        <f t="shared" si="187"/>
        <v>#VALUE!</v>
      </c>
      <c r="AK172" s="17" t="str">
        <f t="shared" si="174"/>
        <v/>
      </c>
      <c r="AL172" s="80" t="e">
        <f t="shared" si="188"/>
        <v>#VALUE!</v>
      </c>
      <c r="AM172" s="139" t="b">
        <f t="shared" si="189"/>
        <v>1</v>
      </c>
      <c r="AN172" s="139" t="b">
        <f>AND(COUNTA(E172)&gt;0,ISNUMBER(F172),OR(COUNT(G172:H172)=0,COUNT(G172:H172)=2,AND(ISNUMBER(G172),ISNUMBER(VALUE(LEFT(H172,SUM(LEN(H172)-LEN(SUBSTITUTE(H172,{"0","1","2","3","4","5","6","7","8","9","."},"")))))))),ISNUMBER(I172),ISTEXT(J172))</f>
        <v>0</v>
      </c>
      <c r="AO172" s="19" t="b">
        <f t="shared" si="190"/>
        <v>0</v>
      </c>
      <c r="AP172" s="19" t="b">
        <f t="shared" si="191"/>
        <v>1</v>
      </c>
      <c r="AQ172" s="19" t="b">
        <f>IF(AND(COUNTBLANK(E172:J172)=6,OR(AN173:AN$523)),NOT(AN172))</f>
        <v>0</v>
      </c>
      <c r="AR172" s="19" t="str">
        <f t="shared" si="192"/>
        <v/>
      </c>
      <c r="AS172" s="19" t="b">
        <f t="shared" si="193"/>
        <v>1</v>
      </c>
      <c r="AT172" s="19" t="str">
        <f t="shared" si="194"/>
        <v/>
      </c>
      <c r="AU172" s="19" t="b">
        <f t="shared" si="195"/>
        <v>1</v>
      </c>
      <c r="AV172" s="140" t="str">
        <f t="shared" si="156"/>
        <v/>
      </c>
      <c r="AW172" s="19" t="str">
        <f t="shared" si="196"/>
        <v/>
      </c>
      <c r="AX172" s="81">
        <f t="shared" si="197"/>
        <v>0</v>
      </c>
      <c r="AY172" s="81" t="str">
        <f t="shared" si="198"/>
        <v/>
      </c>
      <c r="AZ172" s="307" t="str">
        <f t="shared" si="228"/>
        <v/>
      </c>
      <c r="BA172" s="281" t="str">
        <f t="shared" si="157"/>
        <v/>
      </c>
      <c r="BB172" s="281" t="str">
        <f t="shared" si="158"/>
        <v/>
      </c>
      <c r="BC172" s="953"/>
      <c r="BD172" s="955"/>
      <c r="BE172" s="219" t="str">
        <f t="shared" si="199"/>
        <v>n/a</v>
      </c>
      <c r="BF172" s="215" t="b">
        <f t="shared" si="200"/>
        <v>0</v>
      </c>
      <c r="BG172" s="145" t="b">
        <f t="shared" si="201"/>
        <v>0</v>
      </c>
      <c r="BH172" s="145" t="b">
        <f t="shared" si="202"/>
        <v>0</v>
      </c>
      <c r="BI172" s="216" t="b">
        <f t="shared" si="203"/>
        <v>0</v>
      </c>
      <c r="BJ172" s="215" t="b">
        <f t="shared" si="204"/>
        <v>0</v>
      </c>
      <c r="BK172" s="145" t="b">
        <f t="shared" si="205"/>
        <v>0</v>
      </c>
      <c r="BL172" s="216" t="b">
        <f t="shared" si="206"/>
        <v>0</v>
      </c>
      <c r="BM172" s="217" t="str">
        <f t="shared" si="159"/>
        <v/>
      </c>
      <c r="BN172" s="146" t="str">
        <f t="shared" si="160"/>
        <v/>
      </c>
      <c r="BO172" s="147" t="str">
        <f t="shared" si="161"/>
        <v/>
      </c>
      <c r="BP172" s="148" t="str">
        <f t="shared" si="162"/>
        <v/>
      </c>
      <c r="BT172" s="50">
        <f t="shared" si="177"/>
        <v>149</v>
      </c>
      <c r="BU172" s="50" t="str">
        <f t="shared" si="180"/>
        <v>-</v>
      </c>
      <c r="BW172" s="340"/>
      <c r="BX172" s="333"/>
      <c r="BY172" s="333"/>
      <c r="BZ172" s="333"/>
      <c r="CA172" s="333"/>
      <c r="CB172" s="333"/>
      <c r="CC172" s="333"/>
      <c r="CD172" s="333"/>
      <c r="CE172" s="333"/>
      <c r="CF172" s="333"/>
      <c r="CG172" s="354">
        <f t="shared" si="207"/>
        <v>149</v>
      </c>
      <c r="CH172" s="613">
        <f t="shared" si="208"/>
        <v>0</v>
      </c>
      <c r="CI172" s="613">
        <f t="shared" si="209"/>
        <v>0</v>
      </c>
      <c r="CJ172" s="614" t="str">
        <f t="shared" si="210"/>
        <v/>
      </c>
      <c r="CK172" s="615" t="str">
        <f t="shared" si="211"/>
        <v/>
      </c>
      <c r="CL172" s="610" t="str">
        <f>IF(ISBLANK(H172),"",IF(AND(ISNUMBER(F172),ISNUMBER(G172),ISNUMBER(H172)),ROUND(F172/(H172*G172),2),ROUND(F172/(VALUE(LEFT(H172,SUM(LEN(H172)-LEN(SUBSTITUTE(H172,{"0","1","2","3","4","5","6","7","8","9","."},"")))))*G172),2)))</f>
        <v/>
      </c>
      <c r="CM172" s="616" t="str">
        <f t="shared" si="163"/>
        <v/>
      </c>
      <c r="CN172" s="616" t="str">
        <f>IF(ISNUMBER(P172),MAX('Adjustment factors'!$S$16,(0.2+0.8*P172)),IF(ISTEXT(N172),VLOOKUP(N172,Afactors,2,FALSE),""))</f>
        <v/>
      </c>
      <c r="CO172" s="616" t="str">
        <f>IF(ISNUMBER(S172),MAX('Adjustment factors'!$S$16,0.2+0.8*S172),IF(ISTEXT(Q172),VLOOKUP(Q172,Afactors,2,FALSE),""))</f>
        <v/>
      </c>
      <c r="CP172" s="611" t="str">
        <f t="shared" si="229"/>
        <v/>
      </c>
      <c r="CQ172" s="612" t="str">
        <f t="shared" si="230"/>
        <v/>
      </c>
      <c r="CR172" s="340"/>
      <c r="CS172" s="340"/>
      <c r="CT172" s="340"/>
      <c r="CU172" s="340"/>
      <c r="CV172" s="333"/>
      <c r="CW172" s="333"/>
      <c r="CX172" s="333"/>
      <c r="CY172" s="333"/>
      <c r="DA172" s="313" t="str">
        <f t="shared" si="212"/>
        <v>OK</v>
      </c>
      <c r="DB172" s="313" t="str">
        <f t="shared" si="213"/>
        <v>OK</v>
      </c>
      <c r="DC172" s="313" t="str">
        <f t="shared" si="214"/>
        <v>OK</v>
      </c>
      <c r="DD172" s="313" t="str">
        <f t="shared" si="215"/>
        <v>OK</v>
      </c>
      <c r="DE172" s="153" t="str">
        <f t="shared" si="216"/>
        <v>OK</v>
      </c>
      <c r="DF172" s="314" t="str">
        <f t="shared" si="217"/>
        <v>OK</v>
      </c>
      <c r="DG172" s="482" t="str">
        <f t="shared" si="231"/>
        <v>OK</v>
      </c>
      <c r="DH172" s="482" t="str">
        <f>IF(OR(AND(T172='Adjustment factors'!$R$28,'Class 3, 5-9'!U172='Adjustment factors'!$R$29),AND('Class 3, 5-9'!T172='Adjustment factors'!$R$29,'Class 3, 5-9'!U172='Adjustment factors'!$R$28)),"Invalid combination of adjustment factors",IF(AND(T172=U172,NOT(ISBLANK(T172)),NOT(ISBLANK(U172))),"Same colour factor selected twice","OK"))</f>
        <v>OK</v>
      </c>
      <c r="DI172" s="313" t="str">
        <f t="shared" si="218"/>
        <v>OK</v>
      </c>
      <c r="DJ172" s="153" t="str">
        <f t="shared" si="164"/>
        <v>OK</v>
      </c>
      <c r="DK172" s="153" t="str">
        <f t="shared" si="219"/>
        <v>OK</v>
      </c>
      <c r="DL172" s="313" t="str">
        <f t="shared" si="220"/>
        <v>OK</v>
      </c>
      <c r="DM172" s="153" t="str">
        <f t="shared" si="221"/>
        <v>OK</v>
      </c>
      <c r="DN172" s="153" t="str">
        <f t="shared" si="165"/>
        <v>OK</v>
      </c>
      <c r="DO172" s="154" t="str">
        <f t="shared" si="166"/>
        <v>OK</v>
      </c>
      <c r="DP172" s="153" t="str">
        <f t="shared" si="222"/>
        <v>OK</v>
      </c>
      <c r="DQ172" s="313" t="str">
        <f t="shared" si="223"/>
        <v>OK</v>
      </c>
      <c r="DR172" s="153" t="str">
        <f t="shared" si="167"/>
        <v>OK</v>
      </c>
      <c r="DS172" s="153" t="str">
        <f t="shared" si="224"/>
        <v>OK</v>
      </c>
      <c r="DT172" s="313" t="str">
        <f t="shared" si="232"/>
        <v>OK</v>
      </c>
      <c r="DU172" s="153" t="str">
        <f t="shared" si="225"/>
        <v>OK</v>
      </c>
      <c r="DV172" s="153" t="str">
        <f t="shared" si="168"/>
        <v>OK</v>
      </c>
      <c r="DW172" s="154" t="str">
        <f t="shared" si="169"/>
        <v>OK</v>
      </c>
      <c r="DX172" s="157">
        <f t="shared" si="170"/>
        <v>0</v>
      </c>
      <c r="DY172" s="156" t="str">
        <f t="shared" si="171"/>
        <v>OK</v>
      </c>
    </row>
    <row r="173" spans="1:129" ht="13" hidden="1" x14ac:dyDescent="0.3">
      <c r="A173" s="333"/>
      <c r="B173" s="333"/>
      <c r="C173" s="332" t="str">
        <f t="shared" si="181"/>
        <v>-</v>
      </c>
      <c r="D173" s="584">
        <f t="shared" si="176"/>
        <v>150</v>
      </c>
      <c r="E173" s="585"/>
      <c r="F173" s="586"/>
      <c r="G173" s="600"/>
      <c r="H173" s="587"/>
      <c r="I173" s="601"/>
      <c r="J173" s="585"/>
      <c r="K173" s="617"/>
      <c r="L173" s="602"/>
      <c r="M173" s="603"/>
      <c r="N173" s="588"/>
      <c r="O173" s="604"/>
      <c r="P173" s="605"/>
      <c r="Q173" s="588"/>
      <c r="R173" s="604"/>
      <c r="S173" s="605"/>
      <c r="T173" s="606"/>
      <c r="U173" s="606"/>
      <c r="V173" s="429" t="str">
        <f t="shared" si="178"/>
        <v/>
      </c>
      <c r="W173" s="430" t="str">
        <f t="shared" si="175"/>
        <v/>
      </c>
      <c r="X173" s="66" t="str">
        <f>IF(AND(ISNUMBER(P173),N173=FixedDim),MAX('Adjustment factors'!$S$16,0.2+0.8*P173),IF(ISTEXT(N173),VLOOKUP(N173,Afactors,2,TRUE),""))</f>
        <v/>
      </c>
      <c r="Y173" s="17" t="str">
        <f>IF(AND(ISNUMBER(S173),Q173=FixedDim),MAX('Adjustment factors'!$S$16,0.2+0.8*S173),IF(ISTEXT(Q173),VLOOKUP(Q173,Afactors,2,TRUE),""))</f>
        <v/>
      </c>
      <c r="Z173" s="297" t="str">
        <f>IF(ISBLANK(T173),"",VLOOKUP(T173,'Adjustment factors'!$R$27:$S$30,2,TRUE))</f>
        <v/>
      </c>
      <c r="AA173" s="297" t="str">
        <f>IF(ISBLANK(U173),"",VLOOKUP(U173,'Adjustment factors'!$R$27:$S$30,2,TRUE))</f>
        <v/>
      </c>
      <c r="AB173" s="480">
        <f t="shared" si="226"/>
        <v>1</v>
      </c>
      <c r="AC173" s="18" t="b">
        <f t="shared" si="183"/>
        <v>0</v>
      </c>
      <c r="AD173" s="18" t="b">
        <f t="shared" si="184"/>
        <v>0</v>
      </c>
      <c r="AE173" s="18" t="b">
        <f t="shared" si="172"/>
        <v>0</v>
      </c>
      <c r="AF173" s="17" t="str">
        <f t="shared" si="185"/>
        <v/>
      </c>
      <c r="AG173" s="18" t="str">
        <f t="shared" si="186"/>
        <v/>
      </c>
      <c r="AH173" s="17" t="str">
        <f t="shared" si="173"/>
        <v/>
      </c>
      <c r="AI173" s="297" t="e">
        <f t="shared" si="227"/>
        <v>#VALUE!</v>
      </c>
      <c r="AJ173" s="79" t="e">
        <f t="shared" si="187"/>
        <v>#VALUE!</v>
      </c>
      <c r="AK173" s="17" t="str">
        <f t="shared" si="174"/>
        <v/>
      </c>
      <c r="AL173" s="80" t="e">
        <f t="shared" si="188"/>
        <v>#VALUE!</v>
      </c>
      <c r="AM173" s="139" t="b">
        <f t="shared" si="189"/>
        <v>1</v>
      </c>
      <c r="AN173" s="139" t="b">
        <f>AND(COUNTA(E173)&gt;0,ISNUMBER(F173),OR(COUNT(G173:H173)=0,COUNT(G173:H173)=2,AND(ISNUMBER(G173),ISNUMBER(VALUE(LEFT(H173,SUM(LEN(H173)-LEN(SUBSTITUTE(H173,{"0","1","2","3","4","5","6","7","8","9","."},"")))))))),ISNUMBER(I173),ISTEXT(J173))</f>
        <v>0</v>
      </c>
      <c r="AO173" s="19" t="b">
        <f t="shared" si="190"/>
        <v>0</v>
      </c>
      <c r="AP173" s="19" t="b">
        <f t="shared" si="191"/>
        <v>1</v>
      </c>
      <c r="AQ173" s="19" t="b">
        <f>IF(AND(COUNTBLANK(E173:J173)=6,OR(AN174:AN$523)),NOT(AN173))</f>
        <v>0</v>
      </c>
      <c r="AR173" s="19" t="str">
        <f t="shared" si="192"/>
        <v/>
      </c>
      <c r="AS173" s="19" t="b">
        <f t="shared" si="193"/>
        <v>1</v>
      </c>
      <c r="AT173" s="19" t="str">
        <f t="shared" si="194"/>
        <v/>
      </c>
      <c r="AU173" s="19" t="b">
        <f t="shared" si="195"/>
        <v>1</v>
      </c>
      <c r="AV173" s="140" t="str">
        <f t="shared" si="156"/>
        <v/>
      </c>
      <c r="AW173" s="19" t="str">
        <f t="shared" si="196"/>
        <v/>
      </c>
      <c r="AX173" s="81">
        <f t="shared" si="197"/>
        <v>0</v>
      </c>
      <c r="AY173" s="81" t="str">
        <f t="shared" si="198"/>
        <v/>
      </c>
      <c r="AZ173" s="307" t="str">
        <f t="shared" si="228"/>
        <v/>
      </c>
      <c r="BA173" s="281" t="str">
        <f t="shared" si="157"/>
        <v/>
      </c>
      <c r="BB173" s="281" t="str">
        <f t="shared" si="158"/>
        <v/>
      </c>
      <c r="BC173" s="953"/>
      <c r="BD173" s="955"/>
      <c r="BE173" s="219" t="str">
        <f t="shared" si="199"/>
        <v>n/a</v>
      </c>
      <c r="BF173" s="215" t="b">
        <f t="shared" si="200"/>
        <v>0</v>
      </c>
      <c r="BG173" s="145" t="b">
        <f t="shared" si="201"/>
        <v>0</v>
      </c>
      <c r="BH173" s="145" t="b">
        <f t="shared" si="202"/>
        <v>0</v>
      </c>
      <c r="BI173" s="216" t="b">
        <f t="shared" si="203"/>
        <v>0</v>
      </c>
      <c r="BJ173" s="215" t="b">
        <f t="shared" si="204"/>
        <v>0</v>
      </c>
      <c r="BK173" s="145" t="b">
        <f t="shared" si="205"/>
        <v>0</v>
      </c>
      <c r="BL173" s="216" t="b">
        <f t="shared" si="206"/>
        <v>0</v>
      </c>
      <c r="BM173" s="217" t="str">
        <f t="shared" si="159"/>
        <v/>
      </c>
      <c r="BN173" s="146" t="str">
        <f t="shared" si="160"/>
        <v/>
      </c>
      <c r="BO173" s="147" t="str">
        <f t="shared" si="161"/>
        <v/>
      </c>
      <c r="BP173" s="148" t="str">
        <f t="shared" si="162"/>
        <v/>
      </c>
      <c r="BT173" s="50">
        <f t="shared" si="177"/>
        <v>150</v>
      </c>
      <c r="BU173" s="50" t="str">
        <f t="shared" si="180"/>
        <v>-</v>
      </c>
      <c r="BW173" s="340"/>
      <c r="BX173" s="333"/>
      <c r="BY173" s="333"/>
      <c r="BZ173" s="333"/>
      <c r="CA173" s="333"/>
      <c r="CB173" s="333"/>
      <c r="CC173" s="333"/>
      <c r="CD173" s="333"/>
      <c r="CE173" s="333"/>
      <c r="CF173" s="333"/>
      <c r="CG173" s="354">
        <f t="shared" si="207"/>
        <v>150</v>
      </c>
      <c r="CH173" s="613">
        <f t="shared" si="208"/>
        <v>0</v>
      </c>
      <c r="CI173" s="613">
        <f t="shared" si="209"/>
        <v>0</v>
      </c>
      <c r="CJ173" s="614" t="str">
        <f t="shared" si="210"/>
        <v/>
      </c>
      <c r="CK173" s="615" t="str">
        <f t="shared" si="211"/>
        <v/>
      </c>
      <c r="CL173" s="610" t="str">
        <f>IF(ISBLANK(H173),"",IF(AND(ISNUMBER(F173),ISNUMBER(G173),ISNUMBER(H173)),ROUND(F173/(H173*G173),2),ROUND(F173/(VALUE(LEFT(H173,SUM(LEN(H173)-LEN(SUBSTITUTE(H173,{"0","1","2","3","4","5","6","7","8","9","."},"")))))*G173),2)))</f>
        <v/>
      </c>
      <c r="CM173" s="616" t="str">
        <f t="shared" si="163"/>
        <v/>
      </c>
      <c r="CN173" s="616" t="str">
        <f>IF(ISNUMBER(P173),MAX('Adjustment factors'!$S$16,(0.2+0.8*P173)),IF(ISTEXT(N173),VLOOKUP(N173,Afactors,2,FALSE),""))</f>
        <v/>
      </c>
      <c r="CO173" s="616" t="str">
        <f>IF(ISNUMBER(S173),MAX('Adjustment factors'!$S$16,0.2+0.8*S173),IF(ISTEXT(Q173),VLOOKUP(Q173,Afactors,2,FALSE),""))</f>
        <v/>
      </c>
      <c r="CP173" s="611" t="str">
        <f t="shared" si="229"/>
        <v/>
      </c>
      <c r="CQ173" s="612" t="str">
        <f t="shared" si="230"/>
        <v/>
      </c>
      <c r="CR173" s="340"/>
      <c r="CS173" s="340"/>
      <c r="CT173" s="340"/>
      <c r="CU173" s="340"/>
      <c r="CV173" s="333"/>
      <c r="CW173" s="333"/>
      <c r="CX173" s="333"/>
      <c r="CY173" s="333"/>
      <c r="DA173" s="313" t="str">
        <f t="shared" si="212"/>
        <v>OK</v>
      </c>
      <c r="DB173" s="313" t="str">
        <f t="shared" si="213"/>
        <v>OK</v>
      </c>
      <c r="DC173" s="313" t="str">
        <f t="shared" si="214"/>
        <v>OK</v>
      </c>
      <c r="DD173" s="313" t="str">
        <f t="shared" si="215"/>
        <v>OK</v>
      </c>
      <c r="DE173" s="153" t="str">
        <f t="shared" si="216"/>
        <v>OK</v>
      </c>
      <c r="DF173" s="314" t="str">
        <f t="shared" si="217"/>
        <v>OK</v>
      </c>
      <c r="DG173" s="482" t="str">
        <f t="shared" si="231"/>
        <v>OK</v>
      </c>
      <c r="DH173" s="482" t="str">
        <f>IF(OR(AND(T173='Adjustment factors'!$R$28,'Class 3, 5-9'!U173='Adjustment factors'!$R$29),AND('Class 3, 5-9'!T173='Adjustment factors'!$R$29,'Class 3, 5-9'!U173='Adjustment factors'!$R$28)),"Invalid combination of adjustment factors",IF(AND(T173=U173,NOT(ISBLANK(T173)),NOT(ISBLANK(U173))),"Same colour factor selected twice","OK"))</f>
        <v>OK</v>
      </c>
      <c r="DI173" s="313" t="str">
        <f t="shared" si="218"/>
        <v>OK</v>
      </c>
      <c r="DJ173" s="153" t="str">
        <f t="shared" si="164"/>
        <v>OK</v>
      </c>
      <c r="DK173" s="153" t="str">
        <f t="shared" si="219"/>
        <v>OK</v>
      </c>
      <c r="DL173" s="313" t="str">
        <f t="shared" si="220"/>
        <v>OK</v>
      </c>
      <c r="DM173" s="153" t="str">
        <f t="shared" si="221"/>
        <v>OK</v>
      </c>
      <c r="DN173" s="153" t="str">
        <f t="shared" si="165"/>
        <v>OK</v>
      </c>
      <c r="DO173" s="154" t="str">
        <f t="shared" si="166"/>
        <v>OK</v>
      </c>
      <c r="DP173" s="153" t="str">
        <f t="shared" si="222"/>
        <v>OK</v>
      </c>
      <c r="DQ173" s="313" t="str">
        <f t="shared" si="223"/>
        <v>OK</v>
      </c>
      <c r="DR173" s="153" t="str">
        <f t="shared" si="167"/>
        <v>OK</v>
      </c>
      <c r="DS173" s="153" t="str">
        <f t="shared" si="224"/>
        <v>OK</v>
      </c>
      <c r="DT173" s="313" t="str">
        <f t="shared" si="232"/>
        <v>OK</v>
      </c>
      <c r="DU173" s="153" t="str">
        <f t="shared" si="225"/>
        <v>OK</v>
      </c>
      <c r="DV173" s="153" t="str">
        <f t="shared" si="168"/>
        <v>OK</v>
      </c>
      <c r="DW173" s="154" t="str">
        <f t="shared" si="169"/>
        <v>OK</v>
      </c>
      <c r="DX173" s="157">
        <f t="shared" si="170"/>
        <v>0</v>
      </c>
      <c r="DY173" s="156" t="str">
        <f t="shared" si="171"/>
        <v>OK</v>
      </c>
    </row>
    <row r="174" spans="1:129" ht="13" hidden="1" x14ac:dyDescent="0.3">
      <c r="A174" s="333"/>
      <c r="B174" s="333"/>
      <c r="C174" s="332" t="str">
        <f t="shared" si="181"/>
        <v>-</v>
      </c>
      <c r="D174" s="584">
        <f t="shared" si="176"/>
        <v>151</v>
      </c>
      <c r="E174" s="585"/>
      <c r="F174" s="586"/>
      <c r="G174" s="600"/>
      <c r="H174" s="587"/>
      <c r="I174" s="601"/>
      <c r="J174" s="585"/>
      <c r="K174" s="617"/>
      <c r="L174" s="602"/>
      <c r="M174" s="603"/>
      <c r="N174" s="588"/>
      <c r="O174" s="604"/>
      <c r="P174" s="605"/>
      <c r="Q174" s="588"/>
      <c r="R174" s="604"/>
      <c r="S174" s="605"/>
      <c r="T174" s="606"/>
      <c r="U174" s="606"/>
      <c r="V174" s="429" t="str">
        <f t="shared" si="178"/>
        <v/>
      </c>
      <c r="W174" s="430" t="str">
        <f t="shared" si="175"/>
        <v/>
      </c>
      <c r="X174" s="66" t="str">
        <f>IF(AND(ISNUMBER(P174),N174=FixedDim),MAX('Adjustment factors'!$S$16,0.2+0.8*P174),IF(ISTEXT(N174),VLOOKUP(N174,Afactors,2,TRUE),""))</f>
        <v/>
      </c>
      <c r="Y174" s="17" t="str">
        <f>IF(AND(ISNUMBER(S174),Q174=FixedDim),MAX('Adjustment factors'!$S$16,0.2+0.8*S174),IF(ISTEXT(Q174),VLOOKUP(Q174,Afactors,2,TRUE),""))</f>
        <v/>
      </c>
      <c r="Z174" s="297" t="str">
        <f>IF(ISBLANK(T174),"",VLOOKUP(T174,'Adjustment factors'!$R$27:$S$30,2,TRUE))</f>
        <v/>
      </c>
      <c r="AA174" s="297" t="str">
        <f>IF(ISBLANK(U174),"",VLOOKUP(U174,'Adjustment factors'!$R$27:$S$30,2,TRUE))</f>
        <v/>
      </c>
      <c r="AB174" s="480">
        <f t="shared" si="226"/>
        <v>1</v>
      </c>
      <c r="AC174" s="18" t="b">
        <f t="shared" si="183"/>
        <v>0</v>
      </c>
      <c r="AD174" s="18" t="b">
        <f t="shared" si="184"/>
        <v>0</v>
      </c>
      <c r="AE174" s="18" t="b">
        <f t="shared" si="172"/>
        <v>0</v>
      </c>
      <c r="AF174" s="17" t="str">
        <f t="shared" si="185"/>
        <v/>
      </c>
      <c r="AG174" s="18" t="str">
        <f t="shared" si="186"/>
        <v/>
      </c>
      <c r="AH174" s="17" t="str">
        <f t="shared" si="173"/>
        <v/>
      </c>
      <c r="AI174" s="297" t="e">
        <f t="shared" si="227"/>
        <v>#VALUE!</v>
      </c>
      <c r="AJ174" s="79" t="e">
        <f t="shared" si="187"/>
        <v>#VALUE!</v>
      </c>
      <c r="AK174" s="17" t="str">
        <f t="shared" si="174"/>
        <v/>
      </c>
      <c r="AL174" s="80" t="e">
        <f t="shared" si="188"/>
        <v>#VALUE!</v>
      </c>
      <c r="AM174" s="139" t="b">
        <f t="shared" si="189"/>
        <v>1</v>
      </c>
      <c r="AN174" s="139" t="b">
        <f>AND(COUNTA(E174)&gt;0,ISNUMBER(F174),OR(COUNT(G174:H174)=0,COUNT(G174:H174)=2,AND(ISNUMBER(G174),ISNUMBER(VALUE(LEFT(H174,SUM(LEN(H174)-LEN(SUBSTITUTE(H174,{"0","1","2","3","4","5","6","7","8","9","."},"")))))))),ISNUMBER(I174),ISTEXT(J174))</f>
        <v>0</v>
      </c>
      <c r="AO174" s="19" t="b">
        <f t="shared" si="190"/>
        <v>0</v>
      </c>
      <c r="AP174" s="19" t="b">
        <f t="shared" si="191"/>
        <v>1</v>
      </c>
      <c r="AQ174" s="19" t="b">
        <f>IF(AND(COUNTBLANK(E174:J174)=6,OR(AN175:AN$523)),NOT(AN174))</f>
        <v>0</v>
      </c>
      <c r="AR174" s="19" t="str">
        <f t="shared" si="192"/>
        <v/>
      </c>
      <c r="AS174" s="19" t="b">
        <f t="shared" si="193"/>
        <v>1</v>
      </c>
      <c r="AT174" s="19" t="str">
        <f t="shared" si="194"/>
        <v/>
      </c>
      <c r="AU174" s="19" t="b">
        <f t="shared" si="195"/>
        <v>1</v>
      </c>
      <c r="AV174" s="140" t="str">
        <f t="shared" si="156"/>
        <v/>
      </c>
      <c r="AW174" s="19" t="str">
        <f t="shared" si="196"/>
        <v/>
      </c>
      <c r="AX174" s="81">
        <f t="shared" si="197"/>
        <v>0</v>
      </c>
      <c r="AY174" s="81" t="str">
        <f t="shared" si="198"/>
        <v/>
      </c>
      <c r="AZ174" s="307" t="str">
        <f t="shared" si="228"/>
        <v/>
      </c>
      <c r="BA174" s="281" t="str">
        <f t="shared" si="157"/>
        <v/>
      </c>
      <c r="BB174" s="281" t="str">
        <f t="shared" si="158"/>
        <v/>
      </c>
      <c r="BC174" s="953"/>
      <c r="BD174" s="955"/>
      <c r="BE174" s="219" t="str">
        <f t="shared" si="199"/>
        <v>n/a</v>
      </c>
      <c r="BF174" s="215" t="b">
        <f t="shared" si="200"/>
        <v>0</v>
      </c>
      <c r="BG174" s="145" t="b">
        <f t="shared" si="201"/>
        <v>0</v>
      </c>
      <c r="BH174" s="145" t="b">
        <f t="shared" si="202"/>
        <v>0</v>
      </c>
      <c r="BI174" s="216" t="b">
        <f t="shared" si="203"/>
        <v>0</v>
      </c>
      <c r="BJ174" s="215" t="b">
        <f t="shared" si="204"/>
        <v>0</v>
      </c>
      <c r="BK174" s="145" t="b">
        <f t="shared" si="205"/>
        <v>0</v>
      </c>
      <c r="BL174" s="216" t="b">
        <f t="shared" si="206"/>
        <v>0</v>
      </c>
      <c r="BM174" s="217" t="str">
        <f t="shared" si="159"/>
        <v/>
      </c>
      <c r="BN174" s="146" t="str">
        <f t="shared" si="160"/>
        <v/>
      </c>
      <c r="BO174" s="147" t="str">
        <f t="shared" si="161"/>
        <v/>
      </c>
      <c r="BP174" s="148" t="str">
        <f t="shared" si="162"/>
        <v/>
      </c>
      <c r="BT174" s="50">
        <f t="shared" si="177"/>
        <v>151</v>
      </c>
      <c r="BU174" s="50" t="str">
        <f t="shared" si="180"/>
        <v>-</v>
      </c>
      <c r="BW174" s="340"/>
      <c r="BX174" s="333"/>
      <c r="BY174" s="333"/>
      <c r="BZ174" s="333"/>
      <c r="CA174" s="333"/>
      <c r="CB174" s="333"/>
      <c r="CC174" s="333"/>
      <c r="CD174" s="333"/>
      <c r="CE174" s="333"/>
      <c r="CF174" s="333"/>
      <c r="CG174" s="354">
        <f t="shared" si="207"/>
        <v>151</v>
      </c>
      <c r="CH174" s="613">
        <f t="shared" si="208"/>
        <v>0</v>
      </c>
      <c r="CI174" s="613">
        <f t="shared" si="209"/>
        <v>0</v>
      </c>
      <c r="CJ174" s="614" t="str">
        <f t="shared" si="210"/>
        <v/>
      </c>
      <c r="CK174" s="615" t="str">
        <f t="shared" si="211"/>
        <v/>
      </c>
      <c r="CL174" s="610" t="str">
        <f>IF(ISBLANK(H174),"",IF(AND(ISNUMBER(F174),ISNUMBER(G174),ISNUMBER(H174)),ROUND(F174/(H174*G174),2),ROUND(F174/(VALUE(LEFT(H174,SUM(LEN(H174)-LEN(SUBSTITUTE(H174,{"0","1","2","3","4","5","6","7","8","9","."},"")))))*G174),2)))</f>
        <v/>
      </c>
      <c r="CM174" s="616" t="str">
        <f t="shared" si="163"/>
        <v/>
      </c>
      <c r="CN174" s="616" t="str">
        <f>IF(ISNUMBER(P174),MAX('Adjustment factors'!$S$16,(0.2+0.8*P174)),IF(ISTEXT(N174),VLOOKUP(N174,Afactors,2,FALSE),""))</f>
        <v/>
      </c>
      <c r="CO174" s="616" t="str">
        <f>IF(ISNUMBER(S174),MAX('Adjustment factors'!$S$16,0.2+0.8*S174),IF(ISTEXT(Q174),VLOOKUP(Q174,Afactors,2,FALSE),""))</f>
        <v/>
      </c>
      <c r="CP174" s="611" t="str">
        <f t="shared" si="229"/>
        <v/>
      </c>
      <c r="CQ174" s="612" t="str">
        <f t="shared" si="230"/>
        <v/>
      </c>
      <c r="CR174" s="340"/>
      <c r="CS174" s="340"/>
      <c r="CT174" s="340"/>
      <c r="CU174" s="340"/>
      <c r="CV174" s="333"/>
      <c r="CW174" s="333"/>
      <c r="CX174" s="333"/>
      <c r="CY174" s="333"/>
      <c r="DA174" s="313" t="str">
        <f t="shared" si="212"/>
        <v>OK</v>
      </c>
      <c r="DB174" s="313" t="str">
        <f t="shared" si="213"/>
        <v>OK</v>
      </c>
      <c r="DC174" s="313" t="str">
        <f t="shared" si="214"/>
        <v>OK</v>
      </c>
      <c r="DD174" s="313" t="str">
        <f t="shared" si="215"/>
        <v>OK</v>
      </c>
      <c r="DE174" s="153" t="str">
        <f t="shared" si="216"/>
        <v>OK</v>
      </c>
      <c r="DF174" s="314" t="str">
        <f t="shared" si="217"/>
        <v>OK</v>
      </c>
      <c r="DG174" s="482" t="str">
        <f t="shared" si="231"/>
        <v>OK</v>
      </c>
      <c r="DH174" s="482" t="str">
        <f>IF(OR(AND(T174='Adjustment factors'!$R$28,'Class 3, 5-9'!U174='Adjustment factors'!$R$29),AND('Class 3, 5-9'!T174='Adjustment factors'!$R$29,'Class 3, 5-9'!U174='Adjustment factors'!$R$28)),"Invalid combination of adjustment factors",IF(AND(T174=U174,NOT(ISBLANK(T174)),NOT(ISBLANK(U174))),"Same colour factor selected twice","OK"))</f>
        <v>OK</v>
      </c>
      <c r="DI174" s="313" t="str">
        <f t="shared" si="218"/>
        <v>OK</v>
      </c>
      <c r="DJ174" s="153" t="str">
        <f t="shared" si="164"/>
        <v>OK</v>
      </c>
      <c r="DK174" s="153" t="str">
        <f t="shared" si="219"/>
        <v>OK</v>
      </c>
      <c r="DL174" s="313" t="str">
        <f t="shared" si="220"/>
        <v>OK</v>
      </c>
      <c r="DM174" s="153" t="str">
        <f t="shared" si="221"/>
        <v>OK</v>
      </c>
      <c r="DN174" s="153" t="str">
        <f t="shared" si="165"/>
        <v>OK</v>
      </c>
      <c r="DO174" s="154" t="str">
        <f t="shared" si="166"/>
        <v>OK</v>
      </c>
      <c r="DP174" s="153" t="str">
        <f t="shared" si="222"/>
        <v>OK</v>
      </c>
      <c r="DQ174" s="313" t="str">
        <f t="shared" si="223"/>
        <v>OK</v>
      </c>
      <c r="DR174" s="153" t="str">
        <f t="shared" si="167"/>
        <v>OK</v>
      </c>
      <c r="DS174" s="153" t="str">
        <f t="shared" si="224"/>
        <v>OK</v>
      </c>
      <c r="DT174" s="313" t="str">
        <f t="shared" si="232"/>
        <v>OK</v>
      </c>
      <c r="DU174" s="153" t="str">
        <f t="shared" si="225"/>
        <v>OK</v>
      </c>
      <c r="DV174" s="153" t="str">
        <f t="shared" si="168"/>
        <v>OK</v>
      </c>
      <c r="DW174" s="154" t="str">
        <f t="shared" si="169"/>
        <v>OK</v>
      </c>
      <c r="DX174" s="157">
        <f t="shared" si="170"/>
        <v>0</v>
      </c>
      <c r="DY174" s="156" t="str">
        <f t="shared" si="171"/>
        <v>OK</v>
      </c>
    </row>
    <row r="175" spans="1:129" ht="13" hidden="1" x14ac:dyDescent="0.3">
      <c r="A175" s="333"/>
      <c r="B175" s="333"/>
      <c r="C175" s="332" t="str">
        <f t="shared" si="181"/>
        <v>-</v>
      </c>
      <c r="D175" s="584">
        <f t="shared" si="176"/>
        <v>152</v>
      </c>
      <c r="E175" s="585"/>
      <c r="F175" s="586"/>
      <c r="G175" s="600"/>
      <c r="H175" s="587"/>
      <c r="I175" s="601"/>
      <c r="J175" s="585"/>
      <c r="K175" s="617"/>
      <c r="L175" s="602"/>
      <c r="M175" s="603"/>
      <c r="N175" s="588"/>
      <c r="O175" s="604"/>
      <c r="P175" s="605"/>
      <c r="Q175" s="588"/>
      <c r="R175" s="604"/>
      <c r="S175" s="605"/>
      <c r="T175" s="606"/>
      <c r="U175" s="606"/>
      <c r="V175" s="429" t="str">
        <f t="shared" si="178"/>
        <v/>
      </c>
      <c r="W175" s="430" t="str">
        <f t="shared" si="175"/>
        <v/>
      </c>
      <c r="X175" s="66" t="str">
        <f>IF(AND(ISNUMBER(P175),N175=FixedDim),MAX('Adjustment factors'!$S$16,0.2+0.8*P175),IF(ISTEXT(N175),VLOOKUP(N175,Afactors,2,TRUE),""))</f>
        <v/>
      </c>
      <c r="Y175" s="17" t="str">
        <f>IF(AND(ISNUMBER(S175),Q175=FixedDim),MAX('Adjustment factors'!$S$16,0.2+0.8*S175),IF(ISTEXT(Q175),VLOOKUP(Q175,Afactors,2,TRUE),""))</f>
        <v/>
      </c>
      <c r="Z175" s="297" t="str">
        <f>IF(ISBLANK(T175),"",VLOOKUP(T175,'Adjustment factors'!$R$27:$S$30,2,TRUE))</f>
        <v/>
      </c>
      <c r="AA175" s="297" t="str">
        <f>IF(ISBLANK(U175),"",VLOOKUP(U175,'Adjustment factors'!$R$27:$S$30,2,TRUE))</f>
        <v/>
      </c>
      <c r="AB175" s="480">
        <f t="shared" si="226"/>
        <v>1</v>
      </c>
      <c r="AC175" s="18" t="b">
        <f t="shared" si="183"/>
        <v>0</v>
      </c>
      <c r="AD175" s="18" t="b">
        <f t="shared" si="184"/>
        <v>0</v>
      </c>
      <c r="AE175" s="18" t="b">
        <f t="shared" si="172"/>
        <v>0</v>
      </c>
      <c r="AF175" s="17" t="str">
        <f t="shared" si="185"/>
        <v/>
      </c>
      <c r="AG175" s="18" t="str">
        <f t="shared" si="186"/>
        <v/>
      </c>
      <c r="AH175" s="17" t="str">
        <f t="shared" si="173"/>
        <v/>
      </c>
      <c r="AI175" s="297" t="e">
        <f t="shared" si="227"/>
        <v>#VALUE!</v>
      </c>
      <c r="AJ175" s="79" t="e">
        <f t="shared" si="187"/>
        <v>#VALUE!</v>
      </c>
      <c r="AK175" s="17" t="str">
        <f t="shared" si="174"/>
        <v/>
      </c>
      <c r="AL175" s="80" t="e">
        <f t="shared" si="188"/>
        <v>#VALUE!</v>
      </c>
      <c r="AM175" s="139" t="b">
        <f t="shared" si="189"/>
        <v>1</v>
      </c>
      <c r="AN175" s="139" t="b">
        <f>AND(COUNTA(E175)&gt;0,ISNUMBER(F175),OR(COUNT(G175:H175)=0,COUNT(G175:H175)=2,AND(ISNUMBER(G175),ISNUMBER(VALUE(LEFT(H175,SUM(LEN(H175)-LEN(SUBSTITUTE(H175,{"0","1","2","3","4","5","6","7","8","9","."},"")))))))),ISNUMBER(I175),ISTEXT(J175))</f>
        <v>0</v>
      </c>
      <c r="AO175" s="19" t="b">
        <f t="shared" si="190"/>
        <v>0</v>
      </c>
      <c r="AP175" s="19" t="b">
        <f t="shared" si="191"/>
        <v>1</v>
      </c>
      <c r="AQ175" s="19" t="b">
        <f>IF(AND(COUNTBLANK(E175:J175)=6,OR(AN176:AN$523)),NOT(AN175))</f>
        <v>0</v>
      </c>
      <c r="AR175" s="19" t="str">
        <f t="shared" si="192"/>
        <v/>
      </c>
      <c r="AS175" s="19" t="b">
        <f t="shared" si="193"/>
        <v>1</v>
      </c>
      <c r="AT175" s="19" t="str">
        <f t="shared" si="194"/>
        <v/>
      </c>
      <c r="AU175" s="19" t="b">
        <f t="shared" si="195"/>
        <v>1</v>
      </c>
      <c r="AV175" s="140" t="str">
        <f t="shared" si="156"/>
        <v/>
      </c>
      <c r="AW175" s="19" t="str">
        <f t="shared" si="196"/>
        <v/>
      </c>
      <c r="AX175" s="81">
        <f t="shared" si="197"/>
        <v>0</v>
      </c>
      <c r="AY175" s="81" t="str">
        <f t="shared" si="198"/>
        <v/>
      </c>
      <c r="AZ175" s="307" t="str">
        <f t="shared" si="228"/>
        <v/>
      </c>
      <c r="BA175" s="281" t="str">
        <f t="shared" si="157"/>
        <v/>
      </c>
      <c r="BB175" s="281" t="str">
        <f t="shared" si="158"/>
        <v/>
      </c>
      <c r="BC175" s="953"/>
      <c r="BD175" s="955"/>
      <c r="BE175" s="219" t="str">
        <f t="shared" si="199"/>
        <v>n/a</v>
      </c>
      <c r="BF175" s="215" t="b">
        <f t="shared" si="200"/>
        <v>0</v>
      </c>
      <c r="BG175" s="145" t="b">
        <f t="shared" si="201"/>
        <v>0</v>
      </c>
      <c r="BH175" s="145" t="b">
        <f t="shared" si="202"/>
        <v>0</v>
      </c>
      <c r="BI175" s="216" t="b">
        <f t="shared" si="203"/>
        <v>0</v>
      </c>
      <c r="BJ175" s="215" t="b">
        <f t="shared" si="204"/>
        <v>0</v>
      </c>
      <c r="BK175" s="145" t="b">
        <f t="shared" si="205"/>
        <v>0</v>
      </c>
      <c r="BL175" s="216" t="b">
        <f t="shared" si="206"/>
        <v>0</v>
      </c>
      <c r="BM175" s="217" t="str">
        <f t="shared" si="159"/>
        <v/>
      </c>
      <c r="BN175" s="146" t="str">
        <f t="shared" si="160"/>
        <v/>
      </c>
      <c r="BO175" s="147" t="str">
        <f t="shared" si="161"/>
        <v/>
      </c>
      <c r="BP175" s="148" t="str">
        <f t="shared" si="162"/>
        <v/>
      </c>
      <c r="BT175" s="50">
        <f t="shared" si="177"/>
        <v>152</v>
      </c>
      <c r="BU175" s="50" t="str">
        <f t="shared" si="180"/>
        <v>-</v>
      </c>
      <c r="BW175" s="340"/>
      <c r="BX175" s="333"/>
      <c r="BY175" s="333"/>
      <c r="BZ175" s="333"/>
      <c r="CA175" s="333"/>
      <c r="CB175" s="333"/>
      <c r="CC175" s="333"/>
      <c r="CD175" s="333"/>
      <c r="CE175" s="333"/>
      <c r="CF175" s="333"/>
      <c r="CG175" s="354">
        <f t="shared" si="207"/>
        <v>152</v>
      </c>
      <c r="CH175" s="613">
        <f t="shared" si="208"/>
        <v>0</v>
      </c>
      <c r="CI175" s="613">
        <f t="shared" si="209"/>
        <v>0</v>
      </c>
      <c r="CJ175" s="614" t="str">
        <f t="shared" si="210"/>
        <v/>
      </c>
      <c r="CK175" s="615" t="str">
        <f t="shared" si="211"/>
        <v/>
      </c>
      <c r="CL175" s="610" t="str">
        <f>IF(ISBLANK(H175),"",IF(AND(ISNUMBER(F175),ISNUMBER(G175),ISNUMBER(H175)),ROUND(F175/(H175*G175),2),ROUND(F175/(VALUE(LEFT(H175,SUM(LEN(H175)-LEN(SUBSTITUTE(H175,{"0","1","2","3","4","5","6","7","8","9","."},"")))))*G175),2)))</f>
        <v/>
      </c>
      <c r="CM175" s="616" t="str">
        <f t="shared" si="163"/>
        <v/>
      </c>
      <c r="CN175" s="616" t="str">
        <f>IF(ISNUMBER(P175),MAX('Adjustment factors'!$S$16,(0.2+0.8*P175)),IF(ISTEXT(N175),VLOOKUP(N175,Afactors,2,FALSE),""))</f>
        <v/>
      </c>
      <c r="CO175" s="616" t="str">
        <f>IF(ISNUMBER(S175),MAX('Adjustment factors'!$S$16,0.2+0.8*S175),IF(ISTEXT(Q175),VLOOKUP(Q175,Afactors,2,FALSE),""))</f>
        <v/>
      </c>
      <c r="CP175" s="611" t="str">
        <f t="shared" si="229"/>
        <v/>
      </c>
      <c r="CQ175" s="612" t="str">
        <f t="shared" si="230"/>
        <v/>
      </c>
      <c r="CR175" s="340"/>
      <c r="CS175" s="340"/>
      <c r="CT175" s="340"/>
      <c r="CU175" s="340"/>
      <c r="CV175" s="333"/>
      <c r="CW175" s="333"/>
      <c r="CX175" s="333"/>
      <c r="CY175" s="333"/>
      <c r="DA175" s="313" t="str">
        <f t="shared" si="212"/>
        <v>OK</v>
      </c>
      <c r="DB175" s="313" t="str">
        <f t="shared" si="213"/>
        <v>OK</v>
      </c>
      <c r="DC175" s="313" t="str">
        <f t="shared" si="214"/>
        <v>OK</v>
      </c>
      <c r="DD175" s="313" t="str">
        <f t="shared" si="215"/>
        <v>OK</v>
      </c>
      <c r="DE175" s="153" t="str">
        <f t="shared" si="216"/>
        <v>OK</v>
      </c>
      <c r="DF175" s="314" t="str">
        <f t="shared" si="217"/>
        <v>OK</v>
      </c>
      <c r="DG175" s="482" t="str">
        <f t="shared" si="231"/>
        <v>OK</v>
      </c>
      <c r="DH175" s="482" t="str">
        <f>IF(OR(AND(T175='Adjustment factors'!$R$28,'Class 3, 5-9'!U175='Adjustment factors'!$R$29),AND('Class 3, 5-9'!T175='Adjustment factors'!$R$29,'Class 3, 5-9'!U175='Adjustment factors'!$R$28)),"Invalid combination of adjustment factors",IF(AND(T175=U175,NOT(ISBLANK(T175)),NOT(ISBLANK(U175))),"Same colour factor selected twice","OK"))</f>
        <v>OK</v>
      </c>
      <c r="DI175" s="313" t="str">
        <f t="shared" si="218"/>
        <v>OK</v>
      </c>
      <c r="DJ175" s="153" t="str">
        <f t="shared" si="164"/>
        <v>OK</v>
      </c>
      <c r="DK175" s="153" t="str">
        <f t="shared" si="219"/>
        <v>OK</v>
      </c>
      <c r="DL175" s="313" t="str">
        <f t="shared" si="220"/>
        <v>OK</v>
      </c>
      <c r="DM175" s="153" t="str">
        <f t="shared" si="221"/>
        <v>OK</v>
      </c>
      <c r="DN175" s="153" t="str">
        <f t="shared" si="165"/>
        <v>OK</v>
      </c>
      <c r="DO175" s="154" t="str">
        <f t="shared" si="166"/>
        <v>OK</v>
      </c>
      <c r="DP175" s="153" t="str">
        <f t="shared" si="222"/>
        <v>OK</v>
      </c>
      <c r="DQ175" s="313" t="str">
        <f t="shared" si="223"/>
        <v>OK</v>
      </c>
      <c r="DR175" s="153" t="str">
        <f t="shared" si="167"/>
        <v>OK</v>
      </c>
      <c r="DS175" s="153" t="str">
        <f t="shared" si="224"/>
        <v>OK</v>
      </c>
      <c r="DT175" s="313" t="str">
        <f t="shared" si="232"/>
        <v>OK</v>
      </c>
      <c r="DU175" s="153" t="str">
        <f t="shared" si="225"/>
        <v>OK</v>
      </c>
      <c r="DV175" s="153" t="str">
        <f t="shared" si="168"/>
        <v>OK</v>
      </c>
      <c r="DW175" s="154" t="str">
        <f t="shared" si="169"/>
        <v>OK</v>
      </c>
      <c r="DX175" s="157">
        <f t="shared" si="170"/>
        <v>0</v>
      </c>
      <c r="DY175" s="156" t="str">
        <f t="shared" si="171"/>
        <v>OK</v>
      </c>
    </row>
    <row r="176" spans="1:129" ht="13" hidden="1" x14ac:dyDescent="0.3">
      <c r="A176" s="333"/>
      <c r="B176" s="333"/>
      <c r="C176" s="332" t="str">
        <f t="shared" si="181"/>
        <v>-</v>
      </c>
      <c r="D176" s="584">
        <f t="shared" si="176"/>
        <v>153</v>
      </c>
      <c r="E176" s="585"/>
      <c r="F176" s="586"/>
      <c r="G176" s="600"/>
      <c r="H176" s="587"/>
      <c r="I176" s="601"/>
      <c r="J176" s="585"/>
      <c r="K176" s="617"/>
      <c r="L176" s="602"/>
      <c r="M176" s="603"/>
      <c r="N176" s="588"/>
      <c r="O176" s="604"/>
      <c r="P176" s="605"/>
      <c r="Q176" s="588"/>
      <c r="R176" s="604"/>
      <c r="S176" s="605"/>
      <c r="T176" s="606"/>
      <c r="U176" s="606"/>
      <c r="V176" s="429" t="str">
        <f t="shared" si="178"/>
        <v/>
      </c>
      <c r="W176" s="430" t="str">
        <f t="shared" si="175"/>
        <v/>
      </c>
      <c r="X176" s="66" t="str">
        <f>IF(AND(ISNUMBER(P176),N176=FixedDim),MAX('Adjustment factors'!$S$16,0.2+0.8*P176),IF(ISTEXT(N176),VLOOKUP(N176,Afactors,2,TRUE),""))</f>
        <v/>
      </c>
      <c r="Y176" s="17" t="str">
        <f>IF(AND(ISNUMBER(S176),Q176=FixedDim),MAX('Adjustment factors'!$S$16,0.2+0.8*S176),IF(ISTEXT(Q176),VLOOKUP(Q176,Afactors,2,TRUE),""))</f>
        <v/>
      </c>
      <c r="Z176" s="297" t="str">
        <f>IF(ISBLANK(T176),"",VLOOKUP(T176,'Adjustment factors'!$R$27:$S$30,2,TRUE))</f>
        <v/>
      </c>
      <c r="AA176" s="297" t="str">
        <f>IF(ISBLANK(U176),"",VLOOKUP(U176,'Adjustment factors'!$R$27:$S$30,2,TRUE))</f>
        <v/>
      </c>
      <c r="AB176" s="480">
        <f t="shared" si="226"/>
        <v>1</v>
      </c>
      <c r="AC176" s="18" t="b">
        <f t="shared" si="183"/>
        <v>0</v>
      </c>
      <c r="AD176" s="18" t="b">
        <f t="shared" si="184"/>
        <v>0</v>
      </c>
      <c r="AE176" s="18" t="b">
        <f t="shared" si="172"/>
        <v>0</v>
      </c>
      <c r="AF176" s="17" t="str">
        <f t="shared" si="185"/>
        <v/>
      </c>
      <c r="AG176" s="18" t="str">
        <f t="shared" si="186"/>
        <v/>
      </c>
      <c r="AH176" s="17" t="str">
        <f t="shared" si="173"/>
        <v/>
      </c>
      <c r="AI176" s="297" t="e">
        <f t="shared" si="227"/>
        <v>#VALUE!</v>
      </c>
      <c r="AJ176" s="79" t="e">
        <f t="shared" si="187"/>
        <v>#VALUE!</v>
      </c>
      <c r="AK176" s="17" t="str">
        <f t="shared" si="174"/>
        <v/>
      </c>
      <c r="AL176" s="80" t="e">
        <f t="shared" si="188"/>
        <v>#VALUE!</v>
      </c>
      <c r="AM176" s="139" t="b">
        <f t="shared" si="189"/>
        <v>1</v>
      </c>
      <c r="AN176" s="139" t="b">
        <f>AND(COUNTA(E176)&gt;0,ISNUMBER(F176),OR(COUNT(G176:H176)=0,COUNT(G176:H176)=2,AND(ISNUMBER(G176),ISNUMBER(VALUE(LEFT(H176,SUM(LEN(H176)-LEN(SUBSTITUTE(H176,{"0","1","2","3","4","5","6","7","8","9","."},"")))))))),ISNUMBER(I176),ISTEXT(J176))</f>
        <v>0</v>
      </c>
      <c r="AO176" s="19" t="b">
        <f t="shared" si="190"/>
        <v>0</v>
      </c>
      <c r="AP176" s="19" t="b">
        <f t="shared" si="191"/>
        <v>1</v>
      </c>
      <c r="AQ176" s="19" t="b">
        <f>IF(AND(COUNTBLANK(E176:J176)=6,OR(AN177:AN$523)),NOT(AN176))</f>
        <v>0</v>
      </c>
      <c r="AR176" s="19" t="str">
        <f t="shared" si="192"/>
        <v/>
      </c>
      <c r="AS176" s="19" t="b">
        <f t="shared" si="193"/>
        <v>1</v>
      </c>
      <c r="AT176" s="19" t="str">
        <f t="shared" si="194"/>
        <v/>
      </c>
      <c r="AU176" s="19" t="b">
        <f t="shared" si="195"/>
        <v>1</v>
      </c>
      <c r="AV176" s="140" t="str">
        <f t="shared" si="156"/>
        <v/>
      </c>
      <c r="AW176" s="19" t="str">
        <f t="shared" si="196"/>
        <v/>
      </c>
      <c r="AX176" s="81">
        <f t="shared" si="197"/>
        <v>0</v>
      </c>
      <c r="AY176" s="81" t="str">
        <f t="shared" si="198"/>
        <v/>
      </c>
      <c r="AZ176" s="307" t="str">
        <f t="shared" si="228"/>
        <v/>
      </c>
      <c r="BA176" s="281" t="str">
        <f t="shared" si="157"/>
        <v/>
      </c>
      <c r="BB176" s="281" t="str">
        <f t="shared" si="158"/>
        <v/>
      </c>
      <c r="BC176" s="953"/>
      <c r="BD176" s="955"/>
      <c r="BE176" s="219" t="str">
        <f t="shared" si="199"/>
        <v>n/a</v>
      </c>
      <c r="BF176" s="215" t="b">
        <f t="shared" si="200"/>
        <v>0</v>
      </c>
      <c r="BG176" s="145" t="b">
        <f t="shared" si="201"/>
        <v>0</v>
      </c>
      <c r="BH176" s="145" t="b">
        <f t="shared" si="202"/>
        <v>0</v>
      </c>
      <c r="BI176" s="216" t="b">
        <f t="shared" si="203"/>
        <v>0</v>
      </c>
      <c r="BJ176" s="215" t="b">
        <f t="shared" si="204"/>
        <v>0</v>
      </c>
      <c r="BK176" s="145" t="b">
        <f t="shared" si="205"/>
        <v>0</v>
      </c>
      <c r="BL176" s="216" t="b">
        <f t="shared" si="206"/>
        <v>0</v>
      </c>
      <c r="BM176" s="217" t="str">
        <f t="shared" si="159"/>
        <v/>
      </c>
      <c r="BN176" s="146" t="str">
        <f t="shared" si="160"/>
        <v/>
      </c>
      <c r="BO176" s="147" t="str">
        <f t="shared" si="161"/>
        <v/>
      </c>
      <c r="BP176" s="148" t="str">
        <f t="shared" si="162"/>
        <v/>
      </c>
      <c r="BT176" s="50">
        <f t="shared" si="177"/>
        <v>153</v>
      </c>
      <c r="BU176" s="50" t="str">
        <f t="shared" si="180"/>
        <v>-</v>
      </c>
      <c r="BW176" s="340"/>
      <c r="BX176" s="333"/>
      <c r="BY176" s="333"/>
      <c r="BZ176" s="333"/>
      <c r="CA176" s="333"/>
      <c r="CB176" s="333"/>
      <c r="CC176" s="333"/>
      <c r="CD176" s="333"/>
      <c r="CE176" s="333"/>
      <c r="CF176" s="333"/>
      <c r="CG176" s="354">
        <f t="shared" si="207"/>
        <v>153</v>
      </c>
      <c r="CH176" s="613">
        <f t="shared" si="208"/>
        <v>0</v>
      </c>
      <c r="CI176" s="613">
        <f t="shared" si="209"/>
        <v>0</v>
      </c>
      <c r="CJ176" s="614" t="str">
        <f t="shared" si="210"/>
        <v/>
      </c>
      <c r="CK176" s="615" t="str">
        <f t="shared" si="211"/>
        <v/>
      </c>
      <c r="CL176" s="610" t="str">
        <f>IF(ISBLANK(H176),"",IF(AND(ISNUMBER(F176),ISNUMBER(G176),ISNUMBER(H176)),ROUND(F176/(H176*G176),2),ROUND(F176/(VALUE(LEFT(H176,SUM(LEN(H176)-LEN(SUBSTITUTE(H176,{"0","1","2","3","4","5","6","7","8","9","."},"")))))*G176),2)))</f>
        <v/>
      </c>
      <c r="CM176" s="616" t="str">
        <f t="shared" si="163"/>
        <v/>
      </c>
      <c r="CN176" s="616" t="str">
        <f>IF(ISNUMBER(P176),MAX('Adjustment factors'!$S$16,(0.2+0.8*P176)),IF(ISTEXT(N176),VLOOKUP(N176,Afactors,2,FALSE),""))</f>
        <v/>
      </c>
      <c r="CO176" s="616" t="str">
        <f>IF(ISNUMBER(S176),MAX('Adjustment factors'!$S$16,0.2+0.8*S176),IF(ISTEXT(Q176),VLOOKUP(Q176,Afactors,2,FALSE),""))</f>
        <v/>
      </c>
      <c r="CP176" s="611" t="str">
        <f t="shared" si="229"/>
        <v/>
      </c>
      <c r="CQ176" s="612" t="str">
        <f t="shared" si="230"/>
        <v/>
      </c>
      <c r="CR176" s="340"/>
      <c r="CS176" s="340"/>
      <c r="CT176" s="340"/>
      <c r="CU176" s="340"/>
      <c r="CV176" s="333"/>
      <c r="CW176" s="333"/>
      <c r="CX176" s="333"/>
      <c r="CY176" s="333"/>
      <c r="DA176" s="313" t="str">
        <f t="shared" si="212"/>
        <v>OK</v>
      </c>
      <c r="DB176" s="313" t="str">
        <f t="shared" si="213"/>
        <v>OK</v>
      </c>
      <c r="DC176" s="313" t="str">
        <f t="shared" si="214"/>
        <v>OK</v>
      </c>
      <c r="DD176" s="313" t="str">
        <f t="shared" si="215"/>
        <v>OK</v>
      </c>
      <c r="DE176" s="153" t="str">
        <f t="shared" si="216"/>
        <v>OK</v>
      </c>
      <c r="DF176" s="314" t="str">
        <f t="shared" si="217"/>
        <v>OK</v>
      </c>
      <c r="DG176" s="482" t="str">
        <f t="shared" si="231"/>
        <v>OK</v>
      </c>
      <c r="DH176" s="482" t="str">
        <f>IF(OR(AND(T176='Adjustment factors'!$R$28,'Class 3, 5-9'!U176='Adjustment factors'!$R$29),AND('Class 3, 5-9'!T176='Adjustment factors'!$R$29,'Class 3, 5-9'!U176='Adjustment factors'!$R$28)),"Invalid combination of adjustment factors",IF(AND(T176=U176,NOT(ISBLANK(T176)),NOT(ISBLANK(U176))),"Same colour factor selected twice","OK"))</f>
        <v>OK</v>
      </c>
      <c r="DI176" s="313" t="str">
        <f t="shared" si="218"/>
        <v>OK</v>
      </c>
      <c r="DJ176" s="153" t="str">
        <f t="shared" si="164"/>
        <v>OK</v>
      </c>
      <c r="DK176" s="153" t="str">
        <f t="shared" si="219"/>
        <v>OK</v>
      </c>
      <c r="DL176" s="313" t="str">
        <f t="shared" si="220"/>
        <v>OK</v>
      </c>
      <c r="DM176" s="153" t="str">
        <f t="shared" si="221"/>
        <v>OK</v>
      </c>
      <c r="DN176" s="153" t="str">
        <f t="shared" si="165"/>
        <v>OK</v>
      </c>
      <c r="DO176" s="154" t="str">
        <f t="shared" si="166"/>
        <v>OK</v>
      </c>
      <c r="DP176" s="153" t="str">
        <f t="shared" si="222"/>
        <v>OK</v>
      </c>
      <c r="DQ176" s="313" t="str">
        <f t="shared" si="223"/>
        <v>OK</v>
      </c>
      <c r="DR176" s="153" t="str">
        <f t="shared" si="167"/>
        <v>OK</v>
      </c>
      <c r="DS176" s="153" t="str">
        <f t="shared" si="224"/>
        <v>OK</v>
      </c>
      <c r="DT176" s="313" t="str">
        <f t="shared" si="232"/>
        <v>OK</v>
      </c>
      <c r="DU176" s="153" t="str">
        <f t="shared" si="225"/>
        <v>OK</v>
      </c>
      <c r="DV176" s="153" t="str">
        <f t="shared" si="168"/>
        <v>OK</v>
      </c>
      <c r="DW176" s="154" t="str">
        <f t="shared" si="169"/>
        <v>OK</v>
      </c>
      <c r="DX176" s="157">
        <f t="shared" si="170"/>
        <v>0</v>
      </c>
      <c r="DY176" s="156" t="str">
        <f t="shared" si="171"/>
        <v>OK</v>
      </c>
    </row>
    <row r="177" spans="1:129" ht="13" hidden="1" x14ac:dyDescent="0.3">
      <c r="A177" s="333"/>
      <c r="B177" s="333"/>
      <c r="C177" s="332" t="str">
        <f t="shared" si="181"/>
        <v>-</v>
      </c>
      <c r="D177" s="584">
        <f t="shared" si="176"/>
        <v>154</v>
      </c>
      <c r="E177" s="585"/>
      <c r="F177" s="586"/>
      <c r="G177" s="600"/>
      <c r="H177" s="587"/>
      <c r="I177" s="601"/>
      <c r="J177" s="585"/>
      <c r="K177" s="617"/>
      <c r="L177" s="602"/>
      <c r="M177" s="603"/>
      <c r="N177" s="588"/>
      <c r="O177" s="604"/>
      <c r="P177" s="605"/>
      <c r="Q177" s="588"/>
      <c r="R177" s="604"/>
      <c r="S177" s="605"/>
      <c r="T177" s="606"/>
      <c r="U177" s="606"/>
      <c r="V177" s="429" t="str">
        <f t="shared" si="178"/>
        <v/>
      </c>
      <c r="W177" s="430" t="str">
        <f t="shared" si="175"/>
        <v/>
      </c>
      <c r="X177" s="66" t="str">
        <f>IF(AND(ISNUMBER(P177),N177=FixedDim),MAX('Adjustment factors'!$S$16,0.2+0.8*P177),IF(ISTEXT(N177),VLOOKUP(N177,Afactors,2,TRUE),""))</f>
        <v/>
      </c>
      <c r="Y177" s="17" t="str">
        <f>IF(AND(ISNUMBER(S177),Q177=FixedDim),MAX('Adjustment factors'!$S$16,0.2+0.8*S177),IF(ISTEXT(Q177),VLOOKUP(Q177,Afactors,2,TRUE),""))</f>
        <v/>
      </c>
      <c r="Z177" s="297" t="str">
        <f>IF(ISBLANK(T177),"",VLOOKUP(T177,'Adjustment factors'!$R$27:$S$30,2,TRUE))</f>
        <v/>
      </c>
      <c r="AA177" s="297" t="str">
        <f>IF(ISBLANK(U177),"",VLOOKUP(U177,'Adjustment factors'!$R$27:$S$30,2,TRUE))</f>
        <v/>
      </c>
      <c r="AB177" s="480">
        <f t="shared" si="226"/>
        <v>1</v>
      </c>
      <c r="AC177" s="18" t="b">
        <f t="shared" si="183"/>
        <v>0</v>
      </c>
      <c r="AD177" s="18" t="b">
        <f t="shared" si="184"/>
        <v>0</v>
      </c>
      <c r="AE177" s="18" t="b">
        <f t="shared" si="172"/>
        <v>0</v>
      </c>
      <c r="AF177" s="17" t="str">
        <f t="shared" si="185"/>
        <v/>
      </c>
      <c r="AG177" s="18" t="str">
        <f t="shared" si="186"/>
        <v/>
      </c>
      <c r="AH177" s="17" t="str">
        <f t="shared" si="173"/>
        <v/>
      </c>
      <c r="AI177" s="297" t="e">
        <f t="shared" si="227"/>
        <v>#VALUE!</v>
      </c>
      <c r="AJ177" s="79" t="e">
        <f t="shared" si="187"/>
        <v>#VALUE!</v>
      </c>
      <c r="AK177" s="17" t="str">
        <f t="shared" si="174"/>
        <v/>
      </c>
      <c r="AL177" s="80" t="e">
        <f t="shared" si="188"/>
        <v>#VALUE!</v>
      </c>
      <c r="AM177" s="139" t="b">
        <f t="shared" si="189"/>
        <v>1</v>
      </c>
      <c r="AN177" s="139" t="b">
        <f>AND(COUNTA(E177)&gt;0,ISNUMBER(F177),OR(COUNT(G177:H177)=0,COUNT(G177:H177)=2,AND(ISNUMBER(G177),ISNUMBER(VALUE(LEFT(H177,SUM(LEN(H177)-LEN(SUBSTITUTE(H177,{"0","1","2","3","4","5","6","7","8","9","."},"")))))))),ISNUMBER(I177),ISTEXT(J177))</f>
        <v>0</v>
      </c>
      <c r="AO177" s="19" t="b">
        <f t="shared" si="190"/>
        <v>0</v>
      </c>
      <c r="AP177" s="19" t="b">
        <f t="shared" si="191"/>
        <v>1</v>
      </c>
      <c r="AQ177" s="19" t="b">
        <f>IF(AND(COUNTBLANK(E177:J177)=6,OR(AN178:AN$523)),NOT(AN177))</f>
        <v>0</v>
      </c>
      <c r="AR177" s="19" t="str">
        <f t="shared" si="192"/>
        <v/>
      </c>
      <c r="AS177" s="19" t="b">
        <f t="shared" si="193"/>
        <v>1</v>
      </c>
      <c r="AT177" s="19" t="str">
        <f t="shared" si="194"/>
        <v/>
      </c>
      <c r="AU177" s="19" t="b">
        <f t="shared" si="195"/>
        <v>1</v>
      </c>
      <c r="AV177" s="140" t="str">
        <f t="shared" si="156"/>
        <v/>
      </c>
      <c r="AW177" s="19" t="str">
        <f t="shared" si="196"/>
        <v/>
      </c>
      <c r="AX177" s="81">
        <f t="shared" si="197"/>
        <v>0</v>
      </c>
      <c r="AY177" s="81" t="str">
        <f t="shared" si="198"/>
        <v/>
      </c>
      <c r="AZ177" s="307" t="str">
        <f t="shared" si="228"/>
        <v/>
      </c>
      <c r="BA177" s="281" t="str">
        <f t="shared" si="157"/>
        <v/>
      </c>
      <c r="BB177" s="281" t="str">
        <f t="shared" si="158"/>
        <v/>
      </c>
      <c r="BC177" s="953"/>
      <c r="BD177" s="955"/>
      <c r="BE177" s="219" t="str">
        <f t="shared" si="199"/>
        <v>n/a</v>
      </c>
      <c r="BF177" s="215" t="b">
        <f t="shared" si="200"/>
        <v>0</v>
      </c>
      <c r="BG177" s="145" t="b">
        <f t="shared" si="201"/>
        <v>0</v>
      </c>
      <c r="BH177" s="145" t="b">
        <f t="shared" si="202"/>
        <v>0</v>
      </c>
      <c r="BI177" s="216" t="b">
        <f t="shared" si="203"/>
        <v>0</v>
      </c>
      <c r="BJ177" s="215" t="b">
        <f t="shared" si="204"/>
        <v>0</v>
      </c>
      <c r="BK177" s="145" t="b">
        <f t="shared" si="205"/>
        <v>0</v>
      </c>
      <c r="BL177" s="216" t="b">
        <f t="shared" si="206"/>
        <v>0</v>
      </c>
      <c r="BM177" s="217" t="str">
        <f t="shared" si="159"/>
        <v/>
      </c>
      <c r="BN177" s="146" t="str">
        <f t="shared" si="160"/>
        <v/>
      </c>
      <c r="BO177" s="147" t="str">
        <f t="shared" si="161"/>
        <v/>
      </c>
      <c r="BP177" s="148" t="str">
        <f t="shared" si="162"/>
        <v/>
      </c>
      <c r="BT177" s="50">
        <f t="shared" si="177"/>
        <v>154</v>
      </c>
      <c r="BU177" s="50" t="str">
        <f t="shared" si="180"/>
        <v>-</v>
      </c>
      <c r="BW177" s="340"/>
      <c r="BX177" s="333"/>
      <c r="BY177" s="333"/>
      <c r="BZ177" s="333"/>
      <c r="CA177" s="333"/>
      <c r="CB177" s="333"/>
      <c r="CC177" s="333"/>
      <c r="CD177" s="333"/>
      <c r="CE177" s="333"/>
      <c r="CF177" s="333"/>
      <c r="CG177" s="354">
        <f t="shared" si="207"/>
        <v>154</v>
      </c>
      <c r="CH177" s="613">
        <f t="shared" si="208"/>
        <v>0</v>
      </c>
      <c r="CI177" s="613">
        <f t="shared" si="209"/>
        <v>0</v>
      </c>
      <c r="CJ177" s="614" t="str">
        <f t="shared" si="210"/>
        <v/>
      </c>
      <c r="CK177" s="615" t="str">
        <f t="shared" si="211"/>
        <v/>
      </c>
      <c r="CL177" s="610" t="str">
        <f>IF(ISBLANK(H177),"",IF(AND(ISNUMBER(F177),ISNUMBER(G177),ISNUMBER(H177)),ROUND(F177/(H177*G177),2),ROUND(F177/(VALUE(LEFT(H177,SUM(LEN(H177)-LEN(SUBSTITUTE(H177,{"0","1","2","3","4","5","6","7","8","9","."},"")))))*G177),2)))</f>
        <v/>
      </c>
      <c r="CM177" s="616" t="str">
        <f t="shared" si="163"/>
        <v/>
      </c>
      <c r="CN177" s="616" t="str">
        <f>IF(ISNUMBER(P177),MAX('Adjustment factors'!$S$16,(0.2+0.8*P177)),IF(ISTEXT(N177),VLOOKUP(N177,Afactors,2,FALSE),""))</f>
        <v/>
      </c>
      <c r="CO177" s="616" t="str">
        <f>IF(ISNUMBER(S177),MAX('Adjustment factors'!$S$16,0.2+0.8*S177),IF(ISTEXT(Q177),VLOOKUP(Q177,Afactors,2,FALSE),""))</f>
        <v/>
      </c>
      <c r="CP177" s="611" t="str">
        <f t="shared" si="229"/>
        <v/>
      </c>
      <c r="CQ177" s="612" t="str">
        <f t="shared" si="230"/>
        <v/>
      </c>
      <c r="CR177" s="340"/>
      <c r="CS177" s="340"/>
      <c r="CT177" s="340"/>
      <c r="CU177" s="340"/>
      <c r="CV177" s="333"/>
      <c r="CW177" s="333"/>
      <c r="CX177" s="333"/>
      <c r="CY177" s="333"/>
      <c r="DA177" s="313" t="str">
        <f t="shared" si="212"/>
        <v>OK</v>
      </c>
      <c r="DB177" s="313" t="str">
        <f t="shared" si="213"/>
        <v>OK</v>
      </c>
      <c r="DC177" s="313" t="str">
        <f t="shared" si="214"/>
        <v>OK</v>
      </c>
      <c r="DD177" s="313" t="str">
        <f t="shared" si="215"/>
        <v>OK</v>
      </c>
      <c r="DE177" s="153" t="str">
        <f t="shared" si="216"/>
        <v>OK</v>
      </c>
      <c r="DF177" s="314" t="str">
        <f t="shared" si="217"/>
        <v>OK</v>
      </c>
      <c r="DG177" s="482" t="str">
        <f t="shared" si="231"/>
        <v>OK</v>
      </c>
      <c r="DH177" s="482" t="str">
        <f>IF(OR(AND(T177='Adjustment factors'!$R$28,'Class 3, 5-9'!U177='Adjustment factors'!$R$29),AND('Class 3, 5-9'!T177='Adjustment factors'!$R$29,'Class 3, 5-9'!U177='Adjustment factors'!$R$28)),"Invalid combination of adjustment factors",IF(AND(T177=U177,NOT(ISBLANK(T177)),NOT(ISBLANK(U177))),"Same colour factor selected twice","OK"))</f>
        <v>OK</v>
      </c>
      <c r="DI177" s="313" t="str">
        <f t="shared" si="218"/>
        <v>OK</v>
      </c>
      <c r="DJ177" s="153" t="str">
        <f t="shared" si="164"/>
        <v>OK</v>
      </c>
      <c r="DK177" s="153" t="str">
        <f t="shared" si="219"/>
        <v>OK</v>
      </c>
      <c r="DL177" s="313" t="str">
        <f t="shared" si="220"/>
        <v>OK</v>
      </c>
      <c r="DM177" s="153" t="str">
        <f t="shared" si="221"/>
        <v>OK</v>
      </c>
      <c r="DN177" s="153" t="str">
        <f t="shared" si="165"/>
        <v>OK</v>
      </c>
      <c r="DO177" s="154" t="str">
        <f t="shared" si="166"/>
        <v>OK</v>
      </c>
      <c r="DP177" s="153" t="str">
        <f t="shared" si="222"/>
        <v>OK</v>
      </c>
      <c r="DQ177" s="313" t="str">
        <f t="shared" si="223"/>
        <v>OK</v>
      </c>
      <c r="DR177" s="153" t="str">
        <f t="shared" si="167"/>
        <v>OK</v>
      </c>
      <c r="DS177" s="153" t="str">
        <f t="shared" si="224"/>
        <v>OK</v>
      </c>
      <c r="DT177" s="313" t="str">
        <f t="shared" si="232"/>
        <v>OK</v>
      </c>
      <c r="DU177" s="153" t="str">
        <f t="shared" si="225"/>
        <v>OK</v>
      </c>
      <c r="DV177" s="153" t="str">
        <f t="shared" si="168"/>
        <v>OK</v>
      </c>
      <c r="DW177" s="154" t="str">
        <f t="shared" si="169"/>
        <v>OK</v>
      </c>
      <c r="DX177" s="157">
        <f t="shared" si="170"/>
        <v>0</v>
      </c>
      <c r="DY177" s="156" t="str">
        <f t="shared" si="171"/>
        <v>OK</v>
      </c>
    </row>
    <row r="178" spans="1:129" ht="13" hidden="1" x14ac:dyDescent="0.3">
      <c r="A178" s="333"/>
      <c r="B178" s="333"/>
      <c r="C178" s="332" t="str">
        <f t="shared" si="181"/>
        <v>-</v>
      </c>
      <c r="D178" s="584">
        <f t="shared" si="176"/>
        <v>155</v>
      </c>
      <c r="E178" s="585"/>
      <c r="F178" s="586"/>
      <c r="G178" s="600"/>
      <c r="H178" s="587"/>
      <c r="I178" s="601"/>
      <c r="J178" s="585"/>
      <c r="K178" s="617"/>
      <c r="L178" s="602"/>
      <c r="M178" s="603"/>
      <c r="N178" s="588"/>
      <c r="O178" s="604"/>
      <c r="P178" s="605"/>
      <c r="Q178" s="588"/>
      <c r="R178" s="604"/>
      <c r="S178" s="605"/>
      <c r="T178" s="606"/>
      <c r="U178" s="606"/>
      <c r="V178" s="429" t="str">
        <f t="shared" si="178"/>
        <v/>
      </c>
      <c r="W178" s="430" t="str">
        <f t="shared" si="175"/>
        <v/>
      </c>
      <c r="X178" s="66" t="str">
        <f>IF(AND(ISNUMBER(P178),N178=FixedDim),MAX('Adjustment factors'!$S$16,0.2+0.8*P178),IF(ISTEXT(N178),VLOOKUP(N178,Afactors,2,TRUE),""))</f>
        <v/>
      </c>
      <c r="Y178" s="17" t="str">
        <f>IF(AND(ISNUMBER(S178),Q178=FixedDim),MAX('Adjustment factors'!$S$16,0.2+0.8*S178),IF(ISTEXT(Q178),VLOOKUP(Q178,Afactors,2,TRUE),""))</f>
        <v/>
      </c>
      <c r="Z178" s="297" t="str">
        <f>IF(ISBLANK(T178),"",VLOOKUP(T178,'Adjustment factors'!$R$27:$S$30,2,TRUE))</f>
        <v/>
      </c>
      <c r="AA178" s="297" t="str">
        <f>IF(ISBLANK(U178),"",VLOOKUP(U178,'Adjustment factors'!$R$27:$S$30,2,TRUE))</f>
        <v/>
      </c>
      <c r="AB178" s="480">
        <f t="shared" si="226"/>
        <v>1</v>
      </c>
      <c r="AC178" s="18" t="b">
        <f t="shared" si="183"/>
        <v>0</v>
      </c>
      <c r="AD178" s="18" t="b">
        <f t="shared" si="184"/>
        <v>0</v>
      </c>
      <c r="AE178" s="18" t="b">
        <f t="shared" si="172"/>
        <v>0</v>
      </c>
      <c r="AF178" s="17" t="str">
        <f t="shared" si="185"/>
        <v/>
      </c>
      <c r="AG178" s="18" t="str">
        <f t="shared" si="186"/>
        <v/>
      </c>
      <c r="AH178" s="17" t="str">
        <f t="shared" si="173"/>
        <v/>
      </c>
      <c r="AI178" s="297" t="e">
        <f t="shared" si="227"/>
        <v>#VALUE!</v>
      </c>
      <c r="AJ178" s="79" t="e">
        <f t="shared" si="187"/>
        <v>#VALUE!</v>
      </c>
      <c r="AK178" s="17" t="str">
        <f t="shared" si="174"/>
        <v/>
      </c>
      <c r="AL178" s="80" t="e">
        <f t="shared" si="188"/>
        <v>#VALUE!</v>
      </c>
      <c r="AM178" s="139" t="b">
        <f t="shared" si="189"/>
        <v>1</v>
      </c>
      <c r="AN178" s="139" t="b">
        <f>AND(COUNTA(E178)&gt;0,ISNUMBER(F178),OR(COUNT(G178:H178)=0,COUNT(G178:H178)=2,AND(ISNUMBER(G178),ISNUMBER(VALUE(LEFT(H178,SUM(LEN(H178)-LEN(SUBSTITUTE(H178,{"0","1","2","3","4","5","6","7","8","9","."},"")))))))),ISNUMBER(I178),ISTEXT(J178))</f>
        <v>0</v>
      </c>
      <c r="AO178" s="19" t="b">
        <f t="shared" si="190"/>
        <v>0</v>
      </c>
      <c r="AP178" s="19" t="b">
        <f t="shared" si="191"/>
        <v>1</v>
      </c>
      <c r="AQ178" s="19" t="b">
        <f>IF(AND(COUNTBLANK(E178:J178)=6,OR(AN179:AN$523)),NOT(AN178))</f>
        <v>0</v>
      </c>
      <c r="AR178" s="19" t="str">
        <f t="shared" si="192"/>
        <v/>
      </c>
      <c r="AS178" s="19" t="b">
        <f t="shared" si="193"/>
        <v>1</v>
      </c>
      <c r="AT178" s="19" t="str">
        <f t="shared" si="194"/>
        <v/>
      </c>
      <c r="AU178" s="19" t="b">
        <f t="shared" si="195"/>
        <v>1</v>
      </c>
      <c r="AV178" s="140" t="str">
        <f t="shared" si="156"/>
        <v/>
      </c>
      <c r="AW178" s="19" t="str">
        <f t="shared" si="196"/>
        <v/>
      </c>
      <c r="AX178" s="81">
        <f t="shared" si="197"/>
        <v>0</v>
      </c>
      <c r="AY178" s="81" t="str">
        <f t="shared" si="198"/>
        <v/>
      </c>
      <c r="AZ178" s="307" t="str">
        <f t="shared" si="228"/>
        <v/>
      </c>
      <c r="BA178" s="281" t="str">
        <f t="shared" si="157"/>
        <v/>
      </c>
      <c r="BB178" s="281" t="str">
        <f t="shared" si="158"/>
        <v/>
      </c>
      <c r="BC178" s="953"/>
      <c r="BD178" s="955"/>
      <c r="BE178" s="219" t="str">
        <f t="shared" si="199"/>
        <v>n/a</v>
      </c>
      <c r="BF178" s="215" t="b">
        <f t="shared" si="200"/>
        <v>0</v>
      </c>
      <c r="BG178" s="145" t="b">
        <f t="shared" si="201"/>
        <v>0</v>
      </c>
      <c r="BH178" s="145" t="b">
        <f t="shared" si="202"/>
        <v>0</v>
      </c>
      <c r="BI178" s="216" t="b">
        <f t="shared" si="203"/>
        <v>0</v>
      </c>
      <c r="BJ178" s="215" t="b">
        <f t="shared" si="204"/>
        <v>0</v>
      </c>
      <c r="BK178" s="145" t="b">
        <f t="shared" si="205"/>
        <v>0</v>
      </c>
      <c r="BL178" s="216" t="b">
        <f t="shared" si="206"/>
        <v>0</v>
      </c>
      <c r="BM178" s="217" t="str">
        <f t="shared" si="159"/>
        <v/>
      </c>
      <c r="BN178" s="146" t="str">
        <f t="shared" si="160"/>
        <v/>
      </c>
      <c r="BO178" s="147" t="str">
        <f t="shared" si="161"/>
        <v/>
      </c>
      <c r="BP178" s="148" t="str">
        <f t="shared" si="162"/>
        <v/>
      </c>
      <c r="BT178" s="50">
        <f t="shared" si="177"/>
        <v>155</v>
      </c>
      <c r="BU178" s="50" t="str">
        <f t="shared" si="180"/>
        <v>-</v>
      </c>
      <c r="BW178" s="340"/>
      <c r="BX178" s="333"/>
      <c r="BY178" s="333"/>
      <c r="BZ178" s="333"/>
      <c r="CA178" s="333"/>
      <c r="CB178" s="333"/>
      <c r="CC178" s="333"/>
      <c r="CD178" s="333"/>
      <c r="CE178" s="333"/>
      <c r="CF178" s="333"/>
      <c r="CG178" s="354">
        <f t="shared" si="207"/>
        <v>155</v>
      </c>
      <c r="CH178" s="613">
        <f t="shared" si="208"/>
        <v>0</v>
      </c>
      <c r="CI178" s="613">
        <f t="shared" si="209"/>
        <v>0</v>
      </c>
      <c r="CJ178" s="614" t="str">
        <f t="shared" si="210"/>
        <v/>
      </c>
      <c r="CK178" s="615" t="str">
        <f t="shared" si="211"/>
        <v/>
      </c>
      <c r="CL178" s="610" t="str">
        <f>IF(ISBLANK(H178),"",IF(AND(ISNUMBER(F178),ISNUMBER(G178),ISNUMBER(H178)),ROUND(F178/(H178*G178),2),ROUND(F178/(VALUE(LEFT(H178,SUM(LEN(H178)-LEN(SUBSTITUTE(H178,{"0","1","2","3","4","5","6","7","8","9","."},"")))))*G178),2)))</f>
        <v/>
      </c>
      <c r="CM178" s="616" t="str">
        <f t="shared" si="163"/>
        <v/>
      </c>
      <c r="CN178" s="616" t="str">
        <f>IF(ISNUMBER(P178),MAX('Adjustment factors'!$S$16,(0.2+0.8*P178)),IF(ISTEXT(N178),VLOOKUP(N178,Afactors,2,FALSE),""))</f>
        <v/>
      </c>
      <c r="CO178" s="616" t="str">
        <f>IF(ISNUMBER(S178),MAX('Adjustment factors'!$S$16,0.2+0.8*S178),IF(ISTEXT(Q178),VLOOKUP(Q178,Afactors,2,FALSE),""))</f>
        <v/>
      </c>
      <c r="CP178" s="611" t="str">
        <f t="shared" si="229"/>
        <v/>
      </c>
      <c r="CQ178" s="612" t="str">
        <f t="shared" si="230"/>
        <v/>
      </c>
      <c r="CR178" s="340"/>
      <c r="CS178" s="340"/>
      <c r="CT178" s="340"/>
      <c r="CU178" s="340"/>
      <c r="CV178" s="333"/>
      <c r="CW178" s="333"/>
      <c r="CX178" s="333"/>
      <c r="CY178" s="333"/>
      <c r="DA178" s="313" t="str">
        <f t="shared" si="212"/>
        <v>OK</v>
      </c>
      <c r="DB178" s="313" t="str">
        <f t="shared" si="213"/>
        <v>OK</v>
      </c>
      <c r="DC178" s="313" t="str">
        <f t="shared" si="214"/>
        <v>OK</v>
      </c>
      <c r="DD178" s="313" t="str">
        <f t="shared" si="215"/>
        <v>OK</v>
      </c>
      <c r="DE178" s="153" t="str">
        <f t="shared" si="216"/>
        <v>OK</v>
      </c>
      <c r="DF178" s="314" t="str">
        <f t="shared" si="217"/>
        <v>OK</v>
      </c>
      <c r="DG178" s="482" t="str">
        <f t="shared" si="231"/>
        <v>OK</v>
      </c>
      <c r="DH178" s="482" t="str">
        <f>IF(OR(AND(T178='Adjustment factors'!$R$28,'Class 3, 5-9'!U178='Adjustment factors'!$R$29),AND('Class 3, 5-9'!T178='Adjustment factors'!$R$29,'Class 3, 5-9'!U178='Adjustment factors'!$R$28)),"Invalid combination of adjustment factors",IF(AND(T178=U178,NOT(ISBLANK(T178)),NOT(ISBLANK(U178))),"Same colour factor selected twice","OK"))</f>
        <v>OK</v>
      </c>
      <c r="DI178" s="313" t="str">
        <f t="shared" si="218"/>
        <v>OK</v>
      </c>
      <c r="DJ178" s="153" t="str">
        <f t="shared" si="164"/>
        <v>OK</v>
      </c>
      <c r="DK178" s="153" t="str">
        <f t="shared" si="219"/>
        <v>OK</v>
      </c>
      <c r="DL178" s="313" t="str">
        <f t="shared" si="220"/>
        <v>OK</v>
      </c>
      <c r="DM178" s="153" t="str">
        <f t="shared" si="221"/>
        <v>OK</v>
      </c>
      <c r="DN178" s="153" t="str">
        <f t="shared" si="165"/>
        <v>OK</v>
      </c>
      <c r="DO178" s="154" t="str">
        <f t="shared" si="166"/>
        <v>OK</v>
      </c>
      <c r="DP178" s="153" t="str">
        <f t="shared" si="222"/>
        <v>OK</v>
      </c>
      <c r="DQ178" s="313" t="str">
        <f t="shared" si="223"/>
        <v>OK</v>
      </c>
      <c r="DR178" s="153" t="str">
        <f t="shared" si="167"/>
        <v>OK</v>
      </c>
      <c r="DS178" s="153" t="str">
        <f t="shared" si="224"/>
        <v>OK</v>
      </c>
      <c r="DT178" s="313" t="str">
        <f t="shared" si="232"/>
        <v>OK</v>
      </c>
      <c r="DU178" s="153" t="str">
        <f t="shared" si="225"/>
        <v>OK</v>
      </c>
      <c r="DV178" s="153" t="str">
        <f t="shared" si="168"/>
        <v>OK</v>
      </c>
      <c r="DW178" s="154" t="str">
        <f t="shared" si="169"/>
        <v>OK</v>
      </c>
      <c r="DX178" s="157">
        <f t="shared" si="170"/>
        <v>0</v>
      </c>
      <c r="DY178" s="156" t="str">
        <f t="shared" si="171"/>
        <v>OK</v>
      </c>
    </row>
    <row r="179" spans="1:129" ht="13" hidden="1" x14ac:dyDescent="0.3">
      <c r="A179" s="333"/>
      <c r="B179" s="333"/>
      <c r="C179" s="332" t="str">
        <f t="shared" si="181"/>
        <v>-</v>
      </c>
      <c r="D179" s="584">
        <f t="shared" si="176"/>
        <v>156</v>
      </c>
      <c r="E179" s="585"/>
      <c r="F179" s="586"/>
      <c r="G179" s="600"/>
      <c r="H179" s="587"/>
      <c r="I179" s="601"/>
      <c r="J179" s="585"/>
      <c r="K179" s="617"/>
      <c r="L179" s="602"/>
      <c r="M179" s="603"/>
      <c r="N179" s="588"/>
      <c r="O179" s="604"/>
      <c r="P179" s="605"/>
      <c r="Q179" s="588"/>
      <c r="R179" s="604"/>
      <c r="S179" s="605"/>
      <c r="T179" s="606"/>
      <c r="U179" s="606"/>
      <c r="V179" s="429" t="str">
        <f t="shared" si="178"/>
        <v/>
      </c>
      <c r="W179" s="430" t="str">
        <f t="shared" si="175"/>
        <v/>
      </c>
      <c r="X179" s="66" t="str">
        <f>IF(AND(ISNUMBER(P179),N179=FixedDim),MAX('Adjustment factors'!$S$16,0.2+0.8*P179),IF(ISTEXT(N179),VLOOKUP(N179,Afactors,2,TRUE),""))</f>
        <v/>
      </c>
      <c r="Y179" s="17" t="str">
        <f>IF(AND(ISNUMBER(S179),Q179=FixedDim),MAX('Adjustment factors'!$S$16,0.2+0.8*S179),IF(ISTEXT(Q179),VLOOKUP(Q179,Afactors,2,TRUE),""))</f>
        <v/>
      </c>
      <c r="Z179" s="297" t="str">
        <f>IF(ISBLANK(T179),"",VLOOKUP(T179,'Adjustment factors'!$R$27:$S$30,2,TRUE))</f>
        <v/>
      </c>
      <c r="AA179" s="297" t="str">
        <f>IF(ISBLANK(U179),"",VLOOKUP(U179,'Adjustment factors'!$R$27:$S$30,2,TRUE))</f>
        <v/>
      </c>
      <c r="AB179" s="480">
        <f t="shared" si="226"/>
        <v>1</v>
      </c>
      <c r="AC179" s="18" t="b">
        <f t="shared" si="183"/>
        <v>0</v>
      </c>
      <c r="AD179" s="18" t="b">
        <f t="shared" si="184"/>
        <v>0</v>
      </c>
      <c r="AE179" s="18" t="b">
        <f t="shared" si="172"/>
        <v>0</v>
      </c>
      <c r="AF179" s="17" t="str">
        <f t="shared" si="185"/>
        <v/>
      </c>
      <c r="AG179" s="18" t="str">
        <f t="shared" si="186"/>
        <v/>
      </c>
      <c r="AH179" s="17" t="str">
        <f t="shared" si="173"/>
        <v/>
      </c>
      <c r="AI179" s="297" t="e">
        <f t="shared" si="227"/>
        <v>#VALUE!</v>
      </c>
      <c r="AJ179" s="79" t="e">
        <f t="shared" si="187"/>
        <v>#VALUE!</v>
      </c>
      <c r="AK179" s="17" t="str">
        <f t="shared" si="174"/>
        <v/>
      </c>
      <c r="AL179" s="80" t="e">
        <f t="shared" si="188"/>
        <v>#VALUE!</v>
      </c>
      <c r="AM179" s="139" t="b">
        <f t="shared" si="189"/>
        <v>1</v>
      </c>
      <c r="AN179" s="139" t="b">
        <f>AND(COUNTA(E179)&gt;0,ISNUMBER(F179),OR(COUNT(G179:H179)=0,COUNT(G179:H179)=2,AND(ISNUMBER(G179),ISNUMBER(VALUE(LEFT(H179,SUM(LEN(H179)-LEN(SUBSTITUTE(H179,{"0","1","2","3","4","5","6","7","8","9","."},"")))))))),ISNUMBER(I179),ISTEXT(J179))</f>
        <v>0</v>
      </c>
      <c r="AO179" s="19" t="b">
        <f t="shared" si="190"/>
        <v>0</v>
      </c>
      <c r="AP179" s="19" t="b">
        <f t="shared" si="191"/>
        <v>1</v>
      </c>
      <c r="AQ179" s="19" t="b">
        <f>IF(AND(COUNTBLANK(E179:J179)=6,OR(AN180:AN$523)),NOT(AN179))</f>
        <v>0</v>
      </c>
      <c r="AR179" s="19" t="str">
        <f t="shared" si="192"/>
        <v/>
      </c>
      <c r="AS179" s="19" t="b">
        <f t="shared" si="193"/>
        <v>1</v>
      </c>
      <c r="AT179" s="19" t="str">
        <f t="shared" si="194"/>
        <v/>
      </c>
      <c r="AU179" s="19" t="b">
        <f t="shared" si="195"/>
        <v>1</v>
      </c>
      <c r="AV179" s="140" t="str">
        <f t="shared" si="156"/>
        <v/>
      </c>
      <c r="AW179" s="19" t="str">
        <f t="shared" si="196"/>
        <v/>
      </c>
      <c r="AX179" s="81">
        <f t="shared" si="197"/>
        <v>0</v>
      </c>
      <c r="AY179" s="81" t="str">
        <f t="shared" si="198"/>
        <v/>
      </c>
      <c r="AZ179" s="307" t="str">
        <f t="shared" si="228"/>
        <v/>
      </c>
      <c r="BA179" s="281" t="str">
        <f t="shared" si="157"/>
        <v/>
      </c>
      <c r="BB179" s="281" t="str">
        <f t="shared" si="158"/>
        <v/>
      </c>
      <c r="BC179" s="953"/>
      <c r="BD179" s="955"/>
      <c r="BE179" s="219" t="str">
        <f t="shared" si="199"/>
        <v>n/a</v>
      </c>
      <c r="BF179" s="215" t="b">
        <f t="shared" si="200"/>
        <v>0</v>
      </c>
      <c r="BG179" s="145" t="b">
        <f t="shared" si="201"/>
        <v>0</v>
      </c>
      <c r="BH179" s="145" t="b">
        <f t="shared" si="202"/>
        <v>0</v>
      </c>
      <c r="BI179" s="216" t="b">
        <f t="shared" si="203"/>
        <v>0</v>
      </c>
      <c r="BJ179" s="215" t="b">
        <f t="shared" si="204"/>
        <v>0</v>
      </c>
      <c r="BK179" s="145" t="b">
        <f t="shared" si="205"/>
        <v>0</v>
      </c>
      <c r="BL179" s="216" t="b">
        <f t="shared" si="206"/>
        <v>0</v>
      </c>
      <c r="BM179" s="217" t="str">
        <f t="shared" si="159"/>
        <v/>
      </c>
      <c r="BN179" s="146" t="str">
        <f t="shared" si="160"/>
        <v/>
      </c>
      <c r="BO179" s="147" t="str">
        <f t="shared" si="161"/>
        <v/>
      </c>
      <c r="BP179" s="148" t="str">
        <f t="shared" si="162"/>
        <v/>
      </c>
      <c r="BT179" s="50">
        <f t="shared" si="177"/>
        <v>156</v>
      </c>
      <c r="BU179" s="50" t="str">
        <f t="shared" si="180"/>
        <v>-</v>
      </c>
      <c r="BW179" s="340"/>
      <c r="BX179" s="333"/>
      <c r="BY179" s="333"/>
      <c r="BZ179" s="333"/>
      <c r="CA179" s="333"/>
      <c r="CB179" s="333"/>
      <c r="CC179" s="333"/>
      <c r="CD179" s="333"/>
      <c r="CE179" s="333"/>
      <c r="CF179" s="333"/>
      <c r="CG179" s="354">
        <f t="shared" si="207"/>
        <v>156</v>
      </c>
      <c r="CH179" s="613">
        <f t="shared" si="208"/>
        <v>0</v>
      </c>
      <c r="CI179" s="613">
        <f t="shared" si="209"/>
        <v>0</v>
      </c>
      <c r="CJ179" s="614" t="str">
        <f t="shared" si="210"/>
        <v/>
      </c>
      <c r="CK179" s="615" t="str">
        <f t="shared" si="211"/>
        <v/>
      </c>
      <c r="CL179" s="610" t="str">
        <f>IF(ISBLANK(H179),"",IF(AND(ISNUMBER(F179),ISNUMBER(G179),ISNUMBER(H179)),ROUND(F179/(H179*G179),2),ROUND(F179/(VALUE(LEFT(H179,SUM(LEN(H179)-LEN(SUBSTITUTE(H179,{"0","1","2","3","4","5","6","7","8","9","."},"")))))*G179),2)))</f>
        <v/>
      </c>
      <c r="CM179" s="616" t="str">
        <f t="shared" si="163"/>
        <v/>
      </c>
      <c r="CN179" s="616" t="str">
        <f>IF(ISNUMBER(P179),MAX('Adjustment factors'!$S$16,(0.2+0.8*P179)),IF(ISTEXT(N179),VLOOKUP(N179,Afactors,2,FALSE),""))</f>
        <v/>
      </c>
      <c r="CO179" s="616" t="str">
        <f>IF(ISNUMBER(S179),MAX('Adjustment factors'!$S$16,0.2+0.8*S179),IF(ISTEXT(Q179),VLOOKUP(Q179,Afactors,2,FALSE),""))</f>
        <v/>
      </c>
      <c r="CP179" s="611" t="str">
        <f t="shared" si="229"/>
        <v/>
      </c>
      <c r="CQ179" s="612" t="str">
        <f t="shared" si="230"/>
        <v/>
      </c>
      <c r="CR179" s="340"/>
      <c r="CS179" s="340"/>
      <c r="CT179" s="340"/>
      <c r="CU179" s="340"/>
      <c r="CV179" s="333"/>
      <c r="CW179" s="333"/>
      <c r="CX179" s="333"/>
      <c r="CY179" s="333"/>
      <c r="DA179" s="313" t="str">
        <f t="shared" si="212"/>
        <v>OK</v>
      </c>
      <c r="DB179" s="313" t="str">
        <f t="shared" si="213"/>
        <v>OK</v>
      </c>
      <c r="DC179" s="313" t="str">
        <f t="shared" si="214"/>
        <v>OK</v>
      </c>
      <c r="DD179" s="313" t="str">
        <f t="shared" si="215"/>
        <v>OK</v>
      </c>
      <c r="DE179" s="153" t="str">
        <f t="shared" si="216"/>
        <v>OK</v>
      </c>
      <c r="DF179" s="314" t="str">
        <f t="shared" si="217"/>
        <v>OK</v>
      </c>
      <c r="DG179" s="482" t="str">
        <f t="shared" si="231"/>
        <v>OK</v>
      </c>
      <c r="DH179" s="482" t="str">
        <f>IF(OR(AND(T179='Adjustment factors'!$R$28,'Class 3, 5-9'!U179='Adjustment factors'!$R$29),AND('Class 3, 5-9'!T179='Adjustment factors'!$R$29,'Class 3, 5-9'!U179='Adjustment factors'!$R$28)),"Invalid combination of adjustment factors",IF(AND(T179=U179,NOT(ISBLANK(T179)),NOT(ISBLANK(U179))),"Same colour factor selected twice","OK"))</f>
        <v>OK</v>
      </c>
      <c r="DI179" s="313" t="str">
        <f t="shared" si="218"/>
        <v>OK</v>
      </c>
      <c r="DJ179" s="153" t="str">
        <f t="shared" si="164"/>
        <v>OK</v>
      </c>
      <c r="DK179" s="153" t="str">
        <f t="shared" si="219"/>
        <v>OK</v>
      </c>
      <c r="DL179" s="313" t="str">
        <f t="shared" si="220"/>
        <v>OK</v>
      </c>
      <c r="DM179" s="153" t="str">
        <f t="shared" si="221"/>
        <v>OK</v>
      </c>
      <c r="DN179" s="153" t="str">
        <f t="shared" si="165"/>
        <v>OK</v>
      </c>
      <c r="DO179" s="154" t="str">
        <f t="shared" si="166"/>
        <v>OK</v>
      </c>
      <c r="DP179" s="153" t="str">
        <f t="shared" si="222"/>
        <v>OK</v>
      </c>
      <c r="DQ179" s="313" t="str">
        <f t="shared" si="223"/>
        <v>OK</v>
      </c>
      <c r="DR179" s="153" t="str">
        <f t="shared" si="167"/>
        <v>OK</v>
      </c>
      <c r="DS179" s="153" t="str">
        <f t="shared" si="224"/>
        <v>OK</v>
      </c>
      <c r="DT179" s="313" t="str">
        <f t="shared" si="232"/>
        <v>OK</v>
      </c>
      <c r="DU179" s="153" t="str">
        <f t="shared" si="225"/>
        <v>OK</v>
      </c>
      <c r="DV179" s="153" t="str">
        <f t="shared" si="168"/>
        <v>OK</v>
      </c>
      <c r="DW179" s="154" t="str">
        <f t="shared" si="169"/>
        <v>OK</v>
      </c>
      <c r="DX179" s="157">
        <f t="shared" si="170"/>
        <v>0</v>
      </c>
      <c r="DY179" s="156" t="str">
        <f t="shared" si="171"/>
        <v>OK</v>
      </c>
    </row>
    <row r="180" spans="1:129" ht="13" hidden="1" x14ac:dyDescent="0.3">
      <c r="A180" s="333"/>
      <c r="B180" s="333"/>
      <c r="C180" s="332" t="str">
        <f t="shared" si="181"/>
        <v>-</v>
      </c>
      <c r="D180" s="584">
        <f t="shared" si="176"/>
        <v>157</v>
      </c>
      <c r="E180" s="585"/>
      <c r="F180" s="586"/>
      <c r="G180" s="600"/>
      <c r="H180" s="587"/>
      <c r="I180" s="601"/>
      <c r="J180" s="585"/>
      <c r="K180" s="617"/>
      <c r="L180" s="602"/>
      <c r="M180" s="603"/>
      <c r="N180" s="588"/>
      <c r="O180" s="604"/>
      <c r="P180" s="605"/>
      <c r="Q180" s="588"/>
      <c r="R180" s="604"/>
      <c r="S180" s="605"/>
      <c r="T180" s="606"/>
      <c r="U180" s="606"/>
      <c r="V180" s="429" t="str">
        <f t="shared" si="178"/>
        <v/>
      </c>
      <c r="W180" s="430" t="str">
        <f t="shared" si="175"/>
        <v/>
      </c>
      <c r="X180" s="66" t="str">
        <f>IF(AND(ISNUMBER(P180),N180=FixedDim),MAX('Adjustment factors'!$S$16,0.2+0.8*P180),IF(ISTEXT(N180),VLOOKUP(N180,Afactors,2,TRUE),""))</f>
        <v/>
      </c>
      <c r="Y180" s="17" t="str">
        <f>IF(AND(ISNUMBER(S180),Q180=FixedDim),MAX('Adjustment factors'!$S$16,0.2+0.8*S180),IF(ISTEXT(Q180),VLOOKUP(Q180,Afactors,2,TRUE),""))</f>
        <v/>
      </c>
      <c r="Z180" s="297" t="str">
        <f>IF(ISBLANK(T180),"",VLOOKUP(T180,'Adjustment factors'!$R$27:$S$30,2,TRUE))</f>
        <v/>
      </c>
      <c r="AA180" s="297" t="str">
        <f>IF(ISBLANK(U180),"",VLOOKUP(U180,'Adjustment factors'!$R$27:$S$30,2,TRUE))</f>
        <v/>
      </c>
      <c r="AB180" s="480">
        <f t="shared" si="226"/>
        <v>1</v>
      </c>
      <c r="AC180" s="18" t="b">
        <f t="shared" si="183"/>
        <v>0</v>
      </c>
      <c r="AD180" s="18" t="b">
        <f t="shared" si="184"/>
        <v>0</v>
      </c>
      <c r="AE180" s="18" t="b">
        <f t="shared" si="172"/>
        <v>0</v>
      </c>
      <c r="AF180" s="17" t="str">
        <f t="shared" si="185"/>
        <v/>
      </c>
      <c r="AG180" s="18" t="str">
        <f t="shared" si="186"/>
        <v/>
      </c>
      <c r="AH180" s="17" t="str">
        <f t="shared" si="173"/>
        <v/>
      </c>
      <c r="AI180" s="297" t="e">
        <f t="shared" si="227"/>
        <v>#VALUE!</v>
      </c>
      <c r="AJ180" s="79" t="e">
        <f t="shared" si="187"/>
        <v>#VALUE!</v>
      </c>
      <c r="AK180" s="17" t="str">
        <f t="shared" si="174"/>
        <v/>
      </c>
      <c r="AL180" s="80" t="e">
        <f t="shared" si="188"/>
        <v>#VALUE!</v>
      </c>
      <c r="AM180" s="139" t="b">
        <f t="shared" si="189"/>
        <v>1</v>
      </c>
      <c r="AN180" s="139" t="b">
        <f>AND(COUNTA(E180)&gt;0,ISNUMBER(F180),OR(COUNT(G180:H180)=0,COUNT(G180:H180)=2,AND(ISNUMBER(G180),ISNUMBER(VALUE(LEFT(H180,SUM(LEN(H180)-LEN(SUBSTITUTE(H180,{"0","1","2","3","4","5","6","7","8","9","."},"")))))))),ISNUMBER(I180),ISTEXT(J180))</f>
        <v>0</v>
      </c>
      <c r="AO180" s="19" t="b">
        <f t="shared" si="190"/>
        <v>0</v>
      </c>
      <c r="AP180" s="19" t="b">
        <f t="shared" si="191"/>
        <v>1</v>
      </c>
      <c r="AQ180" s="19" t="b">
        <f>IF(AND(COUNTBLANK(E180:J180)=6,OR(AN181:AN$523)),NOT(AN180))</f>
        <v>0</v>
      </c>
      <c r="AR180" s="19" t="str">
        <f t="shared" si="192"/>
        <v/>
      </c>
      <c r="AS180" s="19" t="b">
        <f t="shared" si="193"/>
        <v>1</v>
      </c>
      <c r="AT180" s="19" t="str">
        <f t="shared" si="194"/>
        <v/>
      </c>
      <c r="AU180" s="19" t="b">
        <f t="shared" si="195"/>
        <v>1</v>
      </c>
      <c r="AV180" s="140" t="str">
        <f t="shared" si="156"/>
        <v/>
      </c>
      <c r="AW180" s="19" t="str">
        <f t="shared" si="196"/>
        <v/>
      </c>
      <c r="AX180" s="81">
        <f t="shared" si="197"/>
        <v>0</v>
      </c>
      <c r="AY180" s="81" t="str">
        <f t="shared" si="198"/>
        <v/>
      </c>
      <c r="AZ180" s="307" t="str">
        <f t="shared" si="228"/>
        <v/>
      </c>
      <c r="BA180" s="281" t="str">
        <f t="shared" si="157"/>
        <v/>
      </c>
      <c r="BB180" s="281" t="str">
        <f t="shared" si="158"/>
        <v/>
      </c>
      <c r="BC180" s="953"/>
      <c r="BD180" s="955"/>
      <c r="BE180" s="219" t="str">
        <f t="shared" si="199"/>
        <v>n/a</v>
      </c>
      <c r="BF180" s="215" t="b">
        <f t="shared" si="200"/>
        <v>0</v>
      </c>
      <c r="BG180" s="145" t="b">
        <f t="shared" si="201"/>
        <v>0</v>
      </c>
      <c r="BH180" s="145" t="b">
        <f t="shared" si="202"/>
        <v>0</v>
      </c>
      <c r="BI180" s="216" t="b">
        <f t="shared" si="203"/>
        <v>0</v>
      </c>
      <c r="BJ180" s="215" t="b">
        <f t="shared" si="204"/>
        <v>0</v>
      </c>
      <c r="BK180" s="145" t="b">
        <f t="shared" si="205"/>
        <v>0</v>
      </c>
      <c r="BL180" s="216" t="b">
        <f t="shared" si="206"/>
        <v>0</v>
      </c>
      <c r="BM180" s="217" t="str">
        <f t="shared" si="159"/>
        <v/>
      </c>
      <c r="BN180" s="146" t="str">
        <f t="shared" si="160"/>
        <v/>
      </c>
      <c r="BO180" s="147" t="str">
        <f t="shared" si="161"/>
        <v/>
      </c>
      <c r="BP180" s="148" t="str">
        <f t="shared" si="162"/>
        <v/>
      </c>
      <c r="BT180" s="50">
        <f t="shared" si="177"/>
        <v>157</v>
      </c>
      <c r="BU180" s="50" t="str">
        <f t="shared" si="180"/>
        <v>-</v>
      </c>
      <c r="BW180" s="340"/>
      <c r="BX180" s="333"/>
      <c r="BY180" s="333"/>
      <c r="BZ180" s="333"/>
      <c r="CA180" s="333"/>
      <c r="CB180" s="333"/>
      <c r="CC180" s="333"/>
      <c r="CD180" s="333"/>
      <c r="CE180" s="333"/>
      <c r="CF180" s="333"/>
      <c r="CG180" s="354">
        <f t="shared" si="207"/>
        <v>157</v>
      </c>
      <c r="CH180" s="613">
        <f t="shared" si="208"/>
        <v>0</v>
      </c>
      <c r="CI180" s="613">
        <f t="shared" si="209"/>
        <v>0</v>
      </c>
      <c r="CJ180" s="614" t="str">
        <f t="shared" si="210"/>
        <v/>
      </c>
      <c r="CK180" s="615" t="str">
        <f t="shared" si="211"/>
        <v/>
      </c>
      <c r="CL180" s="610" t="str">
        <f>IF(ISBLANK(H180),"",IF(AND(ISNUMBER(F180),ISNUMBER(G180),ISNUMBER(H180)),ROUND(F180/(H180*G180),2),ROUND(F180/(VALUE(LEFT(H180,SUM(LEN(H180)-LEN(SUBSTITUTE(H180,{"0","1","2","3","4","5","6","7","8","9","."},"")))))*G180),2)))</f>
        <v/>
      </c>
      <c r="CM180" s="616" t="str">
        <f t="shared" si="163"/>
        <v/>
      </c>
      <c r="CN180" s="616" t="str">
        <f>IF(ISNUMBER(P180),MAX('Adjustment factors'!$S$16,(0.2+0.8*P180)),IF(ISTEXT(N180),VLOOKUP(N180,Afactors,2,FALSE),""))</f>
        <v/>
      </c>
      <c r="CO180" s="616" t="str">
        <f>IF(ISNUMBER(S180),MAX('Adjustment factors'!$S$16,0.2+0.8*S180),IF(ISTEXT(Q180),VLOOKUP(Q180,Afactors,2,FALSE),""))</f>
        <v/>
      </c>
      <c r="CP180" s="611" t="str">
        <f t="shared" si="229"/>
        <v/>
      </c>
      <c r="CQ180" s="612" t="str">
        <f t="shared" si="230"/>
        <v/>
      </c>
      <c r="CR180" s="340"/>
      <c r="CS180" s="340"/>
      <c r="CT180" s="340"/>
      <c r="CU180" s="340"/>
      <c r="CV180" s="333"/>
      <c r="CW180" s="333"/>
      <c r="CX180" s="333"/>
      <c r="CY180" s="333"/>
      <c r="DA180" s="313" t="str">
        <f t="shared" si="212"/>
        <v>OK</v>
      </c>
      <c r="DB180" s="313" t="str">
        <f t="shared" si="213"/>
        <v>OK</v>
      </c>
      <c r="DC180" s="313" t="str">
        <f t="shared" si="214"/>
        <v>OK</v>
      </c>
      <c r="DD180" s="313" t="str">
        <f t="shared" si="215"/>
        <v>OK</v>
      </c>
      <c r="DE180" s="153" t="str">
        <f t="shared" si="216"/>
        <v>OK</v>
      </c>
      <c r="DF180" s="314" t="str">
        <f t="shared" si="217"/>
        <v>OK</v>
      </c>
      <c r="DG180" s="482" t="str">
        <f t="shared" si="231"/>
        <v>OK</v>
      </c>
      <c r="DH180" s="482" t="str">
        <f>IF(OR(AND(T180='Adjustment factors'!$R$28,'Class 3, 5-9'!U180='Adjustment factors'!$R$29),AND('Class 3, 5-9'!T180='Adjustment factors'!$R$29,'Class 3, 5-9'!U180='Adjustment factors'!$R$28)),"Invalid combination of adjustment factors",IF(AND(T180=U180,NOT(ISBLANK(T180)),NOT(ISBLANK(U180))),"Same colour factor selected twice","OK"))</f>
        <v>OK</v>
      </c>
      <c r="DI180" s="313" t="str">
        <f t="shared" si="218"/>
        <v>OK</v>
      </c>
      <c r="DJ180" s="153" t="str">
        <f t="shared" si="164"/>
        <v>OK</v>
      </c>
      <c r="DK180" s="153" t="str">
        <f t="shared" si="219"/>
        <v>OK</v>
      </c>
      <c r="DL180" s="313" t="str">
        <f t="shared" si="220"/>
        <v>OK</v>
      </c>
      <c r="DM180" s="153" t="str">
        <f t="shared" si="221"/>
        <v>OK</v>
      </c>
      <c r="DN180" s="153" t="str">
        <f t="shared" si="165"/>
        <v>OK</v>
      </c>
      <c r="DO180" s="154" t="str">
        <f t="shared" si="166"/>
        <v>OK</v>
      </c>
      <c r="DP180" s="153" t="str">
        <f t="shared" si="222"/>
        <v>OK</v>
      </c>
      <c r="DQ180" s="313" t="str">
        <f t="shared" si="223"/>
        <v>OK</v>
      </c>
      <c r="DR180" s="153" t="str">
        <f t="shared" si="167"/>
        <v>OK</v>
      </c>
      <c r="DS180" s="153" t="str">
        <f t="shared" si="224"/>
        <v>OK</v>
      </c>
      <c r="DT180" s="313" t="str">
        <f t="shared" si="232"/>
        <v>OK</v>
      </c>
      <c r="DU180" s="153" t="str">
        <f t="shared" si="225"/>
        <v>OK</v>
      </c>
      <c r="DV180" s="153" t="str">
        <f t="shared" si="168"/>
        <v>OK</v>
      </c>
      <c r="DW180" s="154" t="str">
        <f t="shared" si="169"/>
        <v>OK</v>
      </c>
      <c r="DX180" s="157">
        <f t="shared" si="170"/>
        <v>0</v>
      </c>
      <c r="DY180" s="156" t="str">
        <f t="shared" si="171"/>
        <v>OK</v>
      </c>
    </row>
    <row r="181" spans="1:129" ht="13" hidden="1" x14ac:dyDescent="0.3">
      <c r="A181" s="333"/>
      <c r="B181" s="333"/>
      <c r="C181" s="332" t="str">
        <f t="shared" si="181"/>
        <v>-</v>
      </c>
      <c r="D181" s="584">
        <f t="shared" si="176"/>
        <v>158</v>
      </c>
      <c r="E181" s="585"/>
      <c r="F181" s="586"/>
      <c r="G181" s="600"/>
      <c r="H181" s="587"/>
      <c r="I181" s="601"/>
      <c r="J181" s="585"/>
      <c r="K181" s="617"/>
      <c r="L181" s="602"/>
      <c r="M181" s="603"/>
      <c r="N181" s="588"/>
      <c r="O181" s="604"/>
      <c r="P181" s="605"/>
      <c r="Q181" s="588"/>
      <c r="R181" s="604"/>
      <c r="S181" s="605"/>
      <c r="T181" s="606"/>
      <c r="U181" s="606"/>
      <c r="V181" s="429" t="str">
        <f t="shared" si="178"/>
        <v/>
      </c>
      <c r="W181" s="430" t="str">
        <f t="shared" si="175"/>
        <v/>
      </c>
      <c r="X181" s="66" t="str">
        <f>IF(AND(ISNUMBER(P181),N181=FixedDim),MAX('Adjustment factors'!$S$16,0.2+0.8*P181),IF(ISTEXT(N181),VLOOKUP(N181,Afactors,2,TRUE),""))</f>
        <v/>
      </c>
      <c r="Y181" s="17" t="str">
        <f>IF(AND(ISNUMBER(S181),Q181=FixedDim),MAX('Adjustment factors'!$S$16,0.2+0.8*S181),IF(ISTEXT(Q181),VLOOKUP(Q181,Afactors,2,TRUE),""))</f>
        <v/>
      </c>
      <c r="Z181" s="297" t="str">
        <f>IF(ISBLANK(T181),"",VLOOKUP(T181,'Adjustment factors'!$R$27:$S$30,2,TRUE))</f>
        <v/>
      </c>
      <c r="AA181" s="297" t="str">
        <f>IF(ISBLANK(U181),"",VLOOKUP(U181,'Adjustment factors'!$R$27:$S$30,2,TRUE))</f>
        <v/>
      </c>
      <c r="AB181" s="480">
        <f t="shared" si="226"/>
        <v>1</v>
      </c>
      <c r="AC181" s="18" t="b">
        <f t="shared" si="183"/>
        <v>0</v>
      </c>
      <c r="AD181" s="18" t="b">
        <f t="shared" si="184"/>
        <v>0</v>
      </c>
      <c r="AE181" s="18" t="b">
        <f t="shared" si="172"/>
        <v>0</v>
      </c>
      <c r="AF181" s="17" t="str">
        <f t="shared" si="185"/>
        <v/>
      </c>
      <c r="AG181" s="18" t="str">
        <f t="shared" si="186"/>
        <v/>
      </c>
      <c r="AH181" s="17" t="str">
        <f t="shared" si="173"/>
        <v/>
      </c>
      <c r="AI181" s="297" t="e">
        <f t="shared" si="227"/>
        <v>#VALUE!</v>
      </c>
      <c r="AJ181" s="79" t="e">
        <f t="shared" si="187"/>
        <v>#VALUE!</v>
      </c>
      <c r="AK181" s="17" t="str">
        <f t="shared" si="174"/>
        <v/>
      </c>
      <c r="AL181" s="80" t="e">
        <f t="shared" si="188"/>
        <v>#VALUE!</v>
      </c>
      <c r="AM181" s="139" t="b">
        <f t="shared" si="189"/>
        <v>1</v>
      </c>
      <c r="AN181" s="139" t="b">
        <f>AND(COUNTA(E181)&gt;0,ISNUMBER(F181),OR(COUNT(G181:H181)=0,COUNT(G181:H181)=2,AND(ISNUMBER(G181),ISNUMBER(VALUE(LEFT(H181,SUM(LEN(H181)-LEN(SUBSTITUTE(H181,{"0","1","2","3","4","5","6","7","8","9","."},"")))))))),ISNUMBER(I181),ISTEXT(J181))</f>
        <v>0</v>
      </c>
      <c r="AO181" s="19" t="b">
        <f t="shared" si="190"/>
        <v>0</v>
      </c>
      <c r="AP181" s="19" t="b">
        <f t="shared" si="191"/>
        <v>1</v>
      </c>
      <c r="AQ181" s="19" t="b">
        <f>IF(AND(COUNTBLANK(E181:J181)=6,OR(AN182:AN$523)),NOT(AN181))</f>
        <v>0</v>
      </c>
      <c r="AR181" s="19" t="str">
        <f t="shared" si="192"/>
        <v/>
      </c>
      <c r="AS181" s="19" t="b">
        <f t="shared" si="193"/>
        <v>1</v>
      </c>
      <c r="AT181" s="19" t="str">
        <f t="shared" si="194"/>
        <v/>
      </c>
      <c r="AU181" s="19" t="b">
        <f t="shared" si="195"/>
        <v>1</v>
      </c>
      <c r="AV181" s="140" t="str">
        <f t="shared" si="156"/>
        <v/>
      </c>
      <c r="AW181" s="19" t="str">
        <f t="shared" si="196"/>
        <v/>
      </c>
      <c r="AX181" s="81">
        <f t="shared" si="197"/>
        <v>0</v>
      </c>
      <c r="AY181" s="81" t="str">
        <f t="shared" si="198"/>
        <v/>
      </c>
      <c r="AZ181" s="307" t="str">
        <f t="shared" si="228"/>
        <v/>
      </c>
      <c r="BA181" s="281" t="str">
        <f t="shared" si="157"/>
        <v/>
      </c>
      <c r="BB181" s="281" t="str">
        <f t="shared" si="158"/>
        <v/>
      </c>
      <c r="BC181" s="953"/>
      <c r="BD181" s="955"/>
      <c r="BE181" s="219" t="str">
        <f t="shared" si="199"/>
        <v>n/a</v>
      </c>
      <c r="BF181" s="215" t="b">
        <f t="shared" si="200"/>
        <v>0</v>
      </c>
      <c r="BG181" s="145" t="b">
        <f t="shared" si="201"/>
        <v>0</v>
      </c>
      <c r="BH181" s="145" t="b">
        <f t="shared" si="202"/>
        <v>0</v>
      </c>
      <c r="BI181" s="216" t="b">
        <f t="shared" si="203"/>
        <v>0</v>
      </c>
      <c r="BJ181" s="215" t="b">
        <f t="shared" si="204"/>
        <v>0</v>
      </c>
      <c r="BK181" s="145" t="b">
        <f t="shared" si="205"/>
        <v>0</v>
      </c>
      <c r="BL181" s="216" t="b">
        <f t="shared" si="206"/>
        <v>0</v>
      </c>
      <c r="BM181" s="217" t="str">
        <f t="shared" si="159"/>
        <v/>
      </c>
      <c r="BN181" s="146" t="str">
        <f t="shared" si="160"/>
        <v/>
      </c>
      <c r="BO181" s="147" t="str">
        <f t="shared" si="161"/>
        <v/>
      </c>
      <c r="BP181" s="148" t="str">
        <f t="shared" si="162"/>
        <v/>
      </c>
      <c r="BT181" s="50">
        <f t="shared" si="177"/>
        <v>158</v>
      </c>
      <c r="BU181" s="50" t="str">
        <f t="shared" si="180"/>
        <v>-</v>
      </c>
      <c r="BW181" s="340"/>
      <c r="BX181" s="333"/>
      <c r="BY181" s="333"/>
      <c r="BZ181" s="333"/>
      <c r="CA181" s="333"/>
      <c r="CB181" s="333"/>
      <c r="CC181" s="333"/>
      <c r="CD181" s="333"/>
      <c r="CE181" s="333"/>
      <c r="CF181" s="333"/>
      <c r="CG181" s="354">
        <f t="shared" si="207"/>
        <v>158</v>
      </c>
      <c r="CH181" s="613">
        <f t="shared" si="208"/>
        <v>0</v>
      </c>
      <c r="CI181" s="613">
        <f t="shared" si="209"/>
        <v>0</v>
      </c>
      <c r="CJ181" s="614" t="str">
        <f t="shared" si="210"/>
        <v/>
      </c>
      <c r="CK181" s="615" t="str">
        <f t="shared" si="211"/>
        <v/>
      </c>
      <c r="CL181" s="610" t="str">
        <f>IF(ISBLANK(H181),"",IF(AND(ISNUMBER(F181),ISNUMBER(G181),ISNUMBER(H181)),ROUND(F181/(H181*G181),2),ROUND(F181/(VALUE(LEFT(H181,SUM(LEN(H181)-LEN(SUBSTITUTE(H181,{"0","1","2","3","4","5","6","7","8","9","."},"")))))*G181),2)))</f>
        <v/>
      </c>
      <c r="CM181" s="616" t="str">
        <f t="shared" si="163"/>
        <v/>
      </c>
      <c r="CN181" s="616" t="str">
        <f>IF(ISNUMBER(P181),MAX('Adjustment factors'!$S$16,(0.2+0.8*P181)),IF(ISTEXT(N181),VLOOKUP(N181,Afactors,2,FALSE),""))</f>
        <v/>
      </c>
      <c r="CO181" s="616" t="str">
        <f>IF(ISNUMBER(S181),MAX('Adjustment factors'!$S$16,0.2+0.8*S181),IF(ISTEXT(Q181),VLOOKUP(Q181,Afactors,2,FALSE),""))</f>
        <v/>
      </c>
      <c r="CP181" s="611" t="str">
        <f t="shared" si="229"/>
        <v/>
      </c>
      <c r="CQ181" s="612" t="str">
        <f t="shared" si="230"/>
        <v/>
      </c>
      <c r="CR181" s="340"/>
      <c r="CS181" s="340"/>
      <c r="CT181" s="340"/>
      <c r="CU181" s="340"/>
      <c r="CV181" s="333"/>
      <c r="CW181" s="333"/>
      <c r="CX181" s="333"/>
      <c r="CY181" s="333"/>
      <c r="DA181" s="313" t="str">
        <f t="shared" si="212"/>
        <v>OK</v>
      </c>
      <c r="DB181" s="313" t="str">
        <f t="shared" si="213"/>
        <v>OK</v>
      </c>
      <c r="DC181" s="313" t="str">
        <f t="shared" si="214"/>
        <v>OK</v>
      </c>
      <c r="DD181" s="313" t="str">
        <f t="shared" si="215"/>
        <v>OK</v>
      </c>
      <c r="DE181" s="153" t="str">
        <f t="shared" si="216"/>
        <v>OK</v>
      </c>
      <c r="DF181" s="314" t="str">
        <f t="shared" si="217"/>
        <v>OK</v>
      </c>
      <c r="DG181" s="482" t="str">
        <f t="shared" si="231"/>
        <v>OK</v>
      </c>
      <c r="DH181" s="482" t="str">
        <f>IF(OR(AND(T181='Adjustment factors'!$R$28,'Class 3, 5-9'!U181='Adjustment factors'!$R$29),AND('Class 3, 5-9'!T181='Adjustment factors'!$R$29,'Class 3, 5-9'!U181='Adjustment factors'!$R$28)),"Invalid combination of adjustment factors",IF(AND(T181=U181,NOT(ISBLANK(T181)),NOT(ISBLANK(U181))),"Same colour factor selected twice","OK"))</f>
        <v>OK</v>
      </c>
      <c r="DI181" s="313" t="str">
        <f t="shared" si="218"/>
        <v>OK</v>
      </c>
      <c r="DJ181" s="153" t="str">
        <f t="shared" si="164"/>
        <v>OK</v>
      </c>
      <c r="DK181" s="153" t="str">
        <f t="shared" si="219"/>
        <v>OK</v>
      </c>
      <c r="DL181" s="313" t="str">
        <f t="shared" si="220"/>
        <v>OK</v>
      </c>
      <c r="DM181" s="153" t="str">
        <f t="shared" si="221"/>
        <v>OK</v>
      </c>
      <c r="DN181" s="153" t="str">
        <f t="shared" si="165"/>
        <v>OK</v>
      </c>
      <c r="DO181" s="154" t="str">
        <f t="shared" si="166"/>
        <v>OK</v>
      </c>
      <c r="DP181" s="153" t="str">
        <f t="shared" si="222"/>
        <v>OK</v>
      </c>
      <c r="DQ181" s="313" t="str">
        <f t="shared" si="223"/>
        <v>OK</v>
      </c>
      <c r="DR181" s="153" t="str">
        <f t="shared" si="167"/>
        <v>OK</v>
      </c>
      <c r="DS181" s="153" t="str">
        <f t="shared" si="224"/>
        <v>OK</v>
      </c>
      <c r="DT181" s="313" t="str">
        <f t="shared" si="232"/>
        <v>OK</v>
      </c>
      <c r="DU181" s="153" t="str">
        <f t="shared" si="225"/>
        <v>OK</v>
      </c>
      <c r="DV181" s="153" t="str">
        <f t="shared" si="168"/>
        <v>OK</v>
      </c>
      <c r="DW181" s="154" t="str">
        <f t="shared" si="169"/>
        <v>OK</v>
      </c>
      <c r="DX181" s="157">
        <f t="shared" si="170"/>
        <v>0</v>
      </c>
      <c r="DY181" s="156" t="str">
        <f t="shared" si="171"/>
        <v>OK</v>
      </c>
    </row>
    <row r="182" spans="1:129" ht="13" hidden="1" x14ac:dyDescent="0.3">
      <c r="A182" s="333"/>
      <c r="B182" s="333"/>
      <c r="C182" s="332" t="str">
        <f t="shared" si="181"/>
        <v>-</v>
      </c>
      <c r="D182" s="584">
        <f t="shared" si="176"/>
        <v>159</v>
      </c>
      <c r="E182" s="585"/>
      <c r="F182" s="586"/>
      <c r="G182" s="600"/>
      <c r="H182" s="587"/>
      <c r="I182" s="601"/>
      <c r="J182" s="585"/>
      <c r="K182" s="617"/>
      <c r="L182" s="602"/>
      <c r="M182" s="603"/>
      <c r="N182" s="588"/>
      <c r="O182" s="604"/>
      <c r="P182" s="605"/>
      <c r="Q182" s="588"/>
      <c r="R182" s="604"/>
      <c r="S182" s="605"/>
      <c r="T182" s="606"/>
      <c r="U182" s="606"/>
      <c r="V182" s="429" t="str">
        <f t="shared" si="178"/>
        <v/>
      </c>
      <c r="W182" s="430" t="str">
        <f t="shared" si="175"/>
        <v/>
      </c>
      <c r="X182" s="66" t="str">
        <f>IF(AND(ISNUMBER(P182),N182=FixedDim),MAX('Adjustment factors'!$S$16,0.2+0.8*P182),IF(ISTEXT(N182),VLOOKUP(N182,Afactors,2,TRUE),""))</f>
        <v/>
      </c>
      <c r="Y182" s="17" t="str">
        <f>IF(AND(ISNUMBER(S182),Q182=FixedDim),MAX('Adjustment factors'!$S$16,0.2+0.8*S182),IF(ISTEXT(Q182),VLOOKUP(Q182,Afactors,2,TRUE),""))</f>
        <v/>
      </c>
      <c r="Z182" s="297" t="str">
        <f>IF(ISBLANK(T182),"",VLOOKUP(T182,'Adjustment factors'!$R$27:$S$30,2,TRUE))</f>
        <v/>
      </c>
      <c r="AA182" s="297" t="str">
        <f>IF(ISBLANK(U182),"",VLOOKUP(U182,'Adjustment factors'!$R$27:$S$30,2,TRUE))</f>
        <v/>
      </c>
      <c r="AB182" s="480">
        <f t="shared" si="226"/>
        <v>1</v>
      </c>
      <c r="AC182" s="18" t="b">
        <f t="shared" si="183"/>
        <v>0</v>
      </c>
      <c r="AD182" s="18" t="b">
        <f t="shared" si="184"/>
        <v>0</v>
      </c>
      <c r="AE182" s="18" t="b">
        <f t="shared" si="172"/>
        <v>0</v>
      </c>
      <c r="AF182" s="17" t="str">
        <f t="shared" si="185"/>
        <v/>
      </c>
      <c r="AG182" s="18" t="str">
        <f t="shared" si="186"/>
        <v/>
      </c>
      <c r="AH182" s="17" t="str">
        <f t="shared" si="173"/>
        <v/>
      </c>
      <c r="AI182" s="297" t="e">
        <f t="shared" si="227"/>
        <v>#VALUE!</v>
      </c>
      <c r="AJ182" s="79" t="e">
        <f t="shared" si="187"/>
        <v>#VALUE!</v>
      </c>
      <c r="AK182" s="17" t="str">
        <f t="shared" si="174"/>
        <v/>
      </c>
      <c r="AL182" s="80" t="e">
        <f t="shared" si="188"/>
        <v>#VALUE!</v>
      </c>
      <c r="AM182" s="139" t="b">
        <f t="shared" si="189"/>
        <v>1</v>
      </c>
      <c r="AN182" s="139" t="b">
        <f>AND(COUNTA(E182)&gt;0,ISNUMBER(F182),OR(COUNT(G182:H182)=0,COUNT(G182:H182)=2,AND(ISNUMBER(G182),ISNUMBER(VALUE(LEFT(H182,SUM(LEN(H182)-LEN(SUBSTITUTE(H182,{"0","1","2","3","4","5","6","7","8","9","."},"")))))))),ISNUMBER(I182),ISTEXT(J182))</f>
        <v>0</v>
      </c>
      <c r="AO182" s="19" t="b">
        <f t="shared" si="190"/>
        <v>0</v>
      </c>
      <c r="AP182" s="19" t="b">
        <f t="shared" si="191"/>
        <v>1</v>
      </c>
      <c r="AQ182" s="19" t="b">
        <f>IF(AND(COUNTBLANK(E182:J182)=6,OR(AN183:AN$523)),NOT(AN182))</f>
        <v>0</v>
      </c>
      <c r="AR182" s="19" t="str">
        <f t="shared" si="192"/>
        <v/>
      </c>
      <c r="AS182" s="19" t="b">
        <f t="shared" si="193"/>
        <v>1</v>
      </c>
      <c r="AT182" s="19" t="str">
        <f t="shared" si="194"/>
        <v/>
      </c>
      <c r="AU182" s="19" t="b">
        <f t="shared" si="195"/>
        <v>1</v>
      </c>
      <c r="AV182" s="140" t="str">
        <f t="shared" si="156"/>
        <v/>
      </c>
      <c r="AW182" s="19" t="str">
        <f t="shared" si="196"/>
        <v/>
      </c>
      <c r="AX182" s="81">
        <f t="shared" si="197"/>
        <v>0</v>
      </c>
      <c r="AY182" s="81" t="str">
        <f t="shared" si="198"/>
        <v/>
      </c>
      <c r="AZ182" s="307" t="str">
        <f t="shared" si="228"/>
        <v/>
      </c>
      <c r="BA182" s="281" t="str">
        <f t="shared" si="157"/>
        <v/>
      </c>
      <c r="BB182" s="281" t="str">
        <f t="shared" si="158"/>
        <v/>
      </c>
      <c r="BC182" s="953"/>
      <c r="BD182" s="955"/>
      <c r="BE182" s="219" t="str">
        <f t="shared" si="199"/>
        <v>n/a</v>
      </c>
      <c r="BF182" s="215" t="b">
        <f t="shared" si="200"/>
        <v>0</v>
      </c>
      <c r="BG182" s="145" t="b">
        <f t="shared" si="201"/>
        <v>0</v>
      </c>
      <c r="BH182" s="145" t="b">
        <f t="shared" si="202"/>
        <v>0</v>
      </c>
      <c r="BI182" s="216" t="b">
        <f t="shared" si="203"/>
        <v>0</v>
      </c>
      <c r="BJ182" s="215" t="b">
        <f t="shared" si="204"/>
        <v>0</v>
      </c>
      <c r="BK182" s="145" t="b">
        <f t="shared" si="205"/>
        <v>0</v>
      </c>
      <c r="BL182" s="216" t="b">
        <f t="shared" si="206"/>
        <v>0</v>
      </c>
      <c r="BM182" s="217" t="str">
        <f t="shared" si="159"/>
        <v/>
      </c>
      <c r="BN182" s="146" t="str">
        <f t="shared" si="160"/>
        <v/>
      </c>
      <c r="BO182" s="147" t="str">
        <f t="shared" si="161"/>
        <v/>
      </c>
      <c r="BP182" s="148" t="str">
        <f t="shared" si="162"/>
        <v/>
      </c>
      <c r="BT182" s="50">
        <f t="shared" si="177"/>
        <v>159</v>
      </c>
      <c r="BU182" s="50" t="str">
        <f t="shared" si="180"/>
        <v>-</v>
      </c>
      <c r="BW182" s="340"/>
      <c r="BX182" s="333"/>
      <c r="BY182" s="333"/>
      <c r="BZ182" s="333"/>
      <c r="CA182" s="333"/>
      <c r="CB182" s="333"/>
      <c r="CC182" s="333"/>
      <c r="CD182" s="333"/>
      <c r="CE182" s="333"/>
      <c r="CF182" s="333"/>
      <c r="CG182" s="354">
        <f t="shared" si="207"/>
        <v>159</v>
      </c>
      <c r="CH182" s="613">
        <f t="shared" si="208"/>
        <v>0</v>
      </c>
      <c r="CI182" s="613">
        <f t="shared" si="209"/>
        <v>0</v>
      </c>
      <c r="CJ182" s="614" t="str">
        <f t="shared" si="210"/>
        <v/>
      </c>
      <c r="CK182" s="615" t="str">
        <f t="shared" si="211"/>
        <v/>
      </c>
      <c r="CL182" s="610" t="str">
        <f>IF(ISBLANK(H182),"",IF(AND(ISNUMBER(F182),ISNUMBER(G182),ISNUMBER(H182)),ROUND(F182/(H182*G182),2),ROUND(F182/(VALUE(LEFT(H182,SUM(LEN(H182)-LEN(SUBSTITUTE(H182,{"0","1","2","3","4","5","6","7","8","9","."},"")))))*G182),2)))</f>
        <v/>
      </c>
      <c r="CM182" s="616" t="str">
        <f t="shared" si="163"/>
        <v/>
      </c>
      <c r="CN182" s="616" t="str">
        <f>IF(ISNUMBER(P182),MAX('Adjustment factors'!$S$16,(0.2+0.8*P182)),IF(ISTEXT(N182),VLOOKUP(N182,Afactors,2,FALSE),""))</f>
        <v/>
      </c>
      <c r="CO182" s="616" t="str">
        <f>IF(ISNUMBER(S182),MAX('Adjustment factors'!$S$16,0.2+0.8*S182),IF(ISTEXT(Q182),VLOOKUP(Q182,Afactors,2,FALSE),""))</f>
        <v/>
      </c>
      <c r="CP182" s="611" t="str">
        <f t="shared" si="229"/>
        <v/>
      </c>
      <c r="CQ182" s="612" t="str">
        <f t="shared" si="230"/>
        <v/>
      </c>
      <c r="CR182" s="340"/>
      <c r="CS182" s="340"/>
      <c r="CT182" s="340"/>
      <c r="CU182" s="340"/>
      <c r="CV182" s="333"/>
      <c r="CW182" s="333"/>
      <c r="CX182" s="333"/>
      <c r="CY182" s="333"/>
      <c r="DA182" s="313" t="str">
        <f t="shared" si="212"/>
        <v>OK</v>
      </c>
      <c r="DB182" s="313" t="str">
        <f t="shared" si="213"/>
        <v>OK</v>
      </c>
      <c r="DC182" s="313" t="str">
        <f t="shared" si="214"/>
        <v>OK</v>
      </c>
      <c r="DD182" s="313" t="str">
        <f t="shared" si="215"/>
        <v>OK</v>
      </c>
      <c r="DE182" s="153" t="str">
        <f t="shared" si="216"/>
        <v>OK</v>
      </c>
      <c r="DF182" s="314" t="str">
        <f t="shared" si="217"/>
        <v>OK</v>
      </c>
      <c r="DG182" s="482" t="str">
        <f t="shared" si="231"/>
        <v>OK</v>
      </c>
      <c r="DH182" s="482" t="str">
        <f>IF(OR(AND(T182='Adjustment factors'!$R$28,'Class 3, 5-9'!U182='Adjustment factors'!$R$29),AND('Class 3, 5-9'!T182='Adjustment factors'!$R$29,'Class 3, 5-9'!U182='Adjustment factors'!$R$28)),"Invalid combination of adjustment factors",IF(AND(T182=U182,NOT(ISBLANK(T182)),NOT(ISBLANK(U182))),"Same colour factor selected twice","OK"))</f>
        <v>OK</v>
      </c>
      <c r="DI182" s="313" t="str">
        <f t="shared" si="218"/>
        <v>OK</v>
      </c>
      <c r="DJ182" s="153" t="str">
        <f t="shared" si="164"/>
        <v>OK</v>
      </c>
      <c r="DK182" s="153" t="str">
        <f t="shared" si="219"/>
        <v>OK</v>
      </c>
      <c r="DL182" s="313" t="str">
        <f t="shared" si="220"/>
        <v>OK</v>
      </c>
      <c r="DM182" s="153" t="str">
        <f t="shared" si="221"/>
        <v>OK</v>
      </c>
      <c r="DN182" s="153" t="str">
        <f t="shared" si="165"/>
        <v>OK</v>
      </c>
      <c r="DO182" s="154" t="str">
        <f t="shared" si="166"/>
        <v>OK</v>
      </c>
      <c r="DP182" s="153" t="str">
        <f t="shared" si="222"/>
        <v>OK</v>
      </c>
      <c r="DQ182" s="313" t="str">
        <f t="shared" si="223"/>
        <v>OK</v>
      </c>
      <c r="DR182" s="153" t="str">
        <f t="shared" si="167"/>
        <v>OK</v>
      </c>
      <c r="DS182" s="153" t="str">
        <f t="shared" si="224"/>
        <v>OK</v>
      </c>
      <c r="DT182" s="313" t="str">
        <f t="shared" si="232"/>
        <v>OK</v>
      </c>
      <c r="DU182" s="153" t="str">
        <f t="shared" si="225"/>
        <v>OK</v>
      </c>
      <c r="DV182" s="153" t="str">
        <f t="shared" si="168"/>
        <v>OK</v>
      </c>
      <c r="DW182" s="154" t="str">
        <f t="shared" si="169"/>
        <v>OK</v>
      </c>
      <c r="DX182" s="157">
        <f t="shared" si="170"/>
        <v>0</v>
      </c>
      <c r="DY182" s="156" t="str">
        <f t="shared" si="171"/>
        <v>OK</v>
      </c>
    </row>
    <row r="183" spans="1:129" ht="13" hidden="1" x14ac:dyDescent="0.3">
      <c r="A183" s="333"/>
      <c r="B183" s="333"/>
      <c r="C183" s="332" t="str">
        <f t="shared" si="181"/>
        <v>-</v>
      </c>
      <c r="D183" s="584">
        <f t="shared" si="176"/>
        <v>160</v>
      </c>
      <c r="E183" s="585"/>
      <c r="F183" s="586"/>
      <c r="G183" s="600"/>
      <c r="H183" s="587"/>
      <c r="I183" s="601"/>
      <c r="J183" s="585"/>
      <c r="K183" s="617"/>
      <c r="L183" s="602"/>
      <c r="M183" s="603"/>
      <c r="N183" s="588"/>
      <c r="O183" s="604"/>
      <c r="P183" s="605"/>
      <c r="Q183" s="588"/>
      <c r="R183" s="604"/>
      <c r="S183" s="605"/>
      <c r="T183" s="606"/>
      <c r="U183" s="606"/>
      <c r="V183" s="429" t="str">
        <f t="shared" si="178"/>
        <v/>
      </c>
      <c r="W183" s="430" t="str">
        <f t="shared" si="175"/>
        <v/>
      </c>
      <c r="X183" s="66" t="str">
        <f>IF(AND(ISNUMBER(P183),N183=FixedDim),MAX('Adjustment factors'!$S$16,0.2+0.8*P183),IF(ISTEXT(N183),VLOOKUP(N183,Afactors,2,TRUE),""))</f>
        <v/>
      </c>
      <c r="Y183" s="17" t="str">
        <f>IF(AND(ISNUMBER(S183),Q183=FixedDim),MAX('Adjustment factors'!$S$16,0.2+0.8*S183),IF(ISTEXT(Q183),VLOOKUP(Q183,Afactors,2,TRUE),""))</f>
        <v/>
      </c>
      <c r="Z183" s="297" t="str">
        <f>IF(ISBLANK(T183),"",VLOOKUP(T183,'Adjustment factors'!$R$27:$S$30,2,TRUE))</f>
        <v/>
      </c>
      <c r="AA183" s="297" t="str">
        <f>IF(ISBLANK(U183),"",VLOOKUP(U183,'Adjustment factors'!$R$27:$S$30,2,TRUE))</f>
        <v/>
      </c>
      <c r="AB183" s="480">
        <f t="shared" si="226"/>
        <v>1</v>
      </c>
      <c r="AC183" s="18" t="b">
        <f t="shared" si="183"/>
        <v>0</v>
      </c>
      <c r="AD183" s="18" t="b">
        <f t="shared" si="184"/>
        <v>0</v>
      </c>
      <c r="AE183" s="18" t="b">
        <f t="shared" si="172"/>
        <v>0</v>
      </c>
      <c r="AF183" s="17" t="str">
        <f t="shared" si="185"/>
        <v/>
      </c>
      <c r="AG183" s="18" t="str">
        <f t="shared" si="186"/>
        <v/>
      </c>
      <c r="AH183" s="17" t="str">
        <f t="shared" si="173"/>
        <v/>
      </c>
      <c r="AI183" s="297" t="e">
        <f t="shared" si="227"/>
        <v>#VALUE!</v>
      </c>
      <c r="AJ183" s="79" t="e">
        <f t="shared" si="187"/>
        <v>#VALUE!</v>
      </c>
      <c r="AK183" s="17" t="str">
        <f t="shared" si="174"/>
        <v/>
      </c>
      <c r="AL183" s="80" t="e">
        <f t="shared" si="188"/>
        <v>#VALUE!</v>
      </c>
      <c r="AM183" s="139" t="b">
        <f t="shared" si="189"/>
        <v>1</v>
      </c>
      <c r="AN183" s="139" t="b">
        <f>AND(COUNTA(E183)&gt;0,ISNUMBER(F183),OR(COUNT(G183:H183)=0,COUNT(G183:H183)=2,AND(ISNUMBER(G183),ISNUMBER(VALUE(LEFT(H183,SUM(LEN(H183)-LEN(SUBSTITUTE(H183,{"0","1","2","3","4","5","6","7","8","9","."},"")))))))),ISNUMBER(I183),ISTEXT(J183))</f>
        <v>0</v>
      </c>
      <c r="AO183" s="19" t="b">
        <f t="shared" si="190"/>
        <v>0</v>
      </c>
      <c r="AP183" s="19" t="b">
        <f t="shared" si="191"/>
        <v>1</v>
      </c>
      <c r="AQ183" s="19" t="b">
        <f>IF(AND(COUNTBLANK(E183:J183)=6,OR(AN184:AN$523)),NOT(AN183))</f>
        <v>0</v>
      </c>
      <c r="AR183" s="19" t="str">
        <f t="shared" si="192"/>
        <v/>
      </c>
      <c r="AS183" s="19" t="b">
        <f t="shared" si="193"/>
        <v>1</v>
      </c>
      <c r="AT183" s="19" t="str">
        <f t="shared" si="194"/>
        <v/>
      </c>
      <c r="AU183" s="19" t="b">
        <f t="shared" si="195"/>
        <v>1</v>
      </c>
      <c r="AV183" s="140" t="str">
        <f t="shared" si="156"/>
        <v/>
      </c>
      <c r="AW183" s="19" t="str">
        <f t="shared" si="196"/>
        <v/>
      </c>
      <c r="AX183" s="81">
        <f t="shared" si="197"/>
        <v>0</v>
      </c>
      <c r="AY183" s="81" t="str">
        <f t="shared" si="198"/>
        <v/>
      </c>
      <c r="AZ183" s="307" t="str">
        <f t="shared" si="228"/>
        <v/>
      </c>
      <c r="BA183" s="281" t="str">
        <f t="shared" si="157"/>
        <v/>
      </c>
      <c r="BB183" s="281" t="str">
        <f t="shared" si="158"/>
        <v/>
      </c>
      <c r="BC183" s="953"/>
      <c r="BD183" s="955"/>
      <c r="BE183" s="219" t="str">
        <f t="shared" si="199"/>
        <v>n/a</v>
      </c>
      <c r="BF183" s="215" t="b">
        <f t="shared" si="200"/>
        <v>0</v>
      </c>
      <c r="BG183" s="145" t="b">
        <f t="shared" si="201"/>
        <v>0</v>
      </c>
      <c r="BH183" s="145" t="b">
        <f t="shared" si="202"/>
        <v>0</v>
      </c>
      <c r="BI183" s="216" t="b">
        <f t="shared" si="203"/>
        <v>0</v>
      </c>
      <c r="BJ183" s="215" t="b">
        <f t="shared" si="204"/>
        <v>0</v>
      </c>
      <c r="BK183" s="145" t="b">
        <f t="shared" si="205"/>
        <v>0</v>
      </c>
      <c r="BL183" s="216" t="b">
        <f t="shared" si="206"/>
        <v>0</v>
      </c>
      <c r="BM183" s="217" t="str">
        <f t="shared" si="159"/>
        <v/>
      </c>
      <c r="BN183" s="146" t="str">
        <f t="shared" si="160"/>
        <v/>
      </c>
      <c r="BO183" s="147" t="str">
        <f t="shared" si="161"/>
        <v/>
      </c>
      <c r="BP183" s="148" t="str">
        <f t="shared" si="162"/>
        <v/>
      </c>
      <c r="BT183" s="50">
        <f t="shared" si="177"/>
        <v>160</v>
      </c>
      <c r="BU183" s="50" t="str">
        <f t="shared" si="180"/>
        <v>-</v>
      </c>
      <c r="BW183" s="340"/>
      <c r="BX183" s="333"/>
      <c r="BY183" s="333"/>
      <c r="BZ183" s="333"/>
      <c r="CA183" s="333"/>
      <c r="CB183" s="333"/>
      <c r="CC183" s="333"/>
      <c r="CD183" s="333"/>
      <c r="CE183" s="333"/>
      <c r="CF183" s="333"/>
      <c r="CG183" s="354">
        <f t="shared" si="207"/>
        <v>160</v>
      </c>
      <c r="CH183" s="613">
        <f t="shared" si="208"/>
        <v>0</v>
      </c>
      <c r="CI183" s="613">
        <f t="shared" si="209"/>
        <v>0</v>
      </c>
      <c r="CJ183" s="614" t="str">
        <f t="shared" si="210"/>
        <v/>
      </c>
      <c r="CK183" s="615" t="str">
        <f t="shared" si="211"/>
        <v/>
      </c>
      <c r="CL183" s="610" t="str">
        <f>IF(ISBLANK(H183),"",IF(AND(ISNUMBER(F183),ISNUMBER(G183),ISNUMBER(H183)),ROUND(F183/(H183*G183),2),ROUND(F183/(VALUE(LEFT(H183,SUM(LEN(H183)-LEN(SUBSTITUTE(H183,{"0","1","2","3","4","5","6","7","8","9","."},"")))))*G183),2)))</f>
        <v/>
      </c>
      <c r="CM183" s="616" t="str">
        <f t="shared" si="163"/>
        <v/>
      </c>
      <c r="CN183" s="616" t="str">
        <f>IF(ISNUMBER(P183),MAX('Adjustment factors'!$S$16,(0.2+0.8*P183)),IF(ISTEXT(N183),VLOOKUP(N183,Afactors,2,FALSE),""))</f>
        <v/>
      </c>
      <c r="CO183" s="616" t="str">
        <f>IF(ISNUMBER(S183),MAX('Adjustment factors'!$S$16,0.2+0.8*S183),IF(ISTEXT(Q183),VLOOKUP(Q183,Afactors,2,FALSE),""))</f>
        <v/>
      </c>
      <c r="CP183" s="611" t="str">
        <f t="shared" si="229"/>
        <v/>
      </c>
      <c r="CQ183" s="612" t="str">
        <f t="shared" si="230"/>
        <v/>
      </c>
      <c r="CR183" s="340"/>
      <c r="CS183" s="340"/>
      <c r="CT183" s="340"/>
      <c r="CU183" s="340"/>
      <c r="CV183" s="333"/>
      <c r="CW183" s="333"/>
      <c r="CX183" s="333"/>
      <c r="CY183" s="333"/>
      <c r="DA183" s="313" t="str">
        <f t="shared" si="212"/>
        <v>OK</v>
      </c>
      <c r="DB183" s="313" t="str">
        <f t="shared" si="213"/>
        <v>OK</v>
      </c>
      <c r="DC183" s="313" t="str">
        <f t="shared" si="214"/>
        <v>OK</v>
      </c>
      <c r="DD183" s="313" t="str">
        <f t="shared" si="215"/>
        <v>OK</v>
      </c>
      <c r="DE183" s="153" t="str">
        <f t="shared" si="216"/>
        <v>OK</v>
      </c>
      <c r="DF183" s="314" t="str">
        <f t="shared" si="217"/>
        <v>OK</v>
      </c>
      <c r="DG183" s="482" t="str">
        <f t="shared" si="231"/>
        <v>OK</v>
      </c>
      <c r="DH183" s="482" t="str">
        <f>IF(OR(AND(T183='Adjustment factors'!$R$28,'Class 3, 5-9'!U183='Adjustment factors'!$R$29),AND('Class 3, 5-9'!T183='Adjustment factors'!$R$29,'Class 3, 5-9'!U183='Adjustment factors'!$R$28)),"Invalid combination of adjustment factors",IF(AND(T183=U183,NOT(ISBLANK(T183)),NOT(ISBLANK(U183))),"Same colour factor selected twice","OK"))</f>
        <v>OK</v>
      </c>
      <c r="DI183" s="313" t="str">
        <f t="shared" si="218"/>
        <v>OK</v>
      </c>
      <c r="DJ183" s="153" t="str">
        <f t="shared" si="164"/>
        <v>OK</v>
      </c>
      <c r="DK183" s="153" t="str">
        <f t="shared" si="219"/>
        <v>OK</v>
      </c>
      <c r="DL183" s="313" t="str">
        <f t="shared" si="220"/>
        <v>OK</v>
      </c>
      <c r="DM183" s="153" t="str">
        <f t="shared" si="221"/>
        <v>OK</v>
      </c>
      <c r="DN183" s="153" t="str">
        <f t="shared" si="165"/>
        <v>OK</v>
      </c>
      <c r="DO183" s="154" t="str">
        <f t="shared" si="166"/>
        <v>OK</v>
      </c>
      <c r="DP183" s="153" t="str">
        <f t="shared" si="222"/>
        <v>OK</v>
      </c>
      <c r="DQ183" s="313" t="str">
        <f t="shared" si="223"/>
        <v>OK</v>
      </c>
      <c r="DR183" s="153" t="str">
        <f t="shared" si="167"/>
        <v>OK</v>
      </c>
      <c r="DS183" s="153" t="str">
        <f t="shared" si="224"/>
        <v>OK</v>
      </c>
      <c r="DT183" s="313" t="str">
        <f t="shared" si="232"/>
        <v>OK</v>
      </c>
      <c r="DU183" s="153" t="str">
        <f t="shared" si="225"/>
        <v>OK</v>
      </c>
      <c r="DV183" s="153" t="str">
        <f t="shared" si="168"/>
        <v>OK</v>
      </c>
      <c r="DW183" s="154" t="str">
        <f t="shared" si="169"/>
        <v>OK</v>
      </c>
      <c r="DX183" s="157">
        <f t="shared" si="170"/>
        <v>0</v>
      </c>
      <c r="DY183" s="156" t="str">
        <f t="shared" si="171"/>
        <v>OK</v>
      </c>
    </row>
    <row r="184" spans="1:129" ht="13" hidden="1" x14ac:dyDescent="0.3">
      <c r="A184" s="333"/>
      <c r="B184" s="333"/>
      <c r="C184" s="332" t="str">
        <f t="shared" si="181"/>
        <v>-</v>
      </c>
      <c r="D184" s="584">
        <f t="shared" si="176"/>
        <v>161</v>
      </c>
      <c r="E184" s="585"/>
      <c r="F184" s="586"/>
      <c r="G184" s="600"/>
      <c r="H184" s="587"/>
      <c r="I184" s="601"/>
      <c r="J184" s="585"/>
      <c r="K184" s="617"/>
      <c r="L184" s="602"/>
      <c r="M184" s="603"/>
      <c r="N184" s="588"/>
      <c r="O184" s="604"/>
      <c r="P184" s="605"/>
      <c r="Q184" s="588"/>
      <c r="R184" s="604"/>
      <c r="S184" s="605"/>
      <c r="T184" s="606"/>
      <c r="U184" s="606"/>
      <c r="V184" s="429" t="str">
        <f t="shared" si="178"/>
        <v/>
      </c>
      <c r="W184" s="430" t="str">
        <f t="shared" si="175"/>
        <v/>
      </c>
      <c r="X184" s="66" t="str">
        <f>IF(AND(ISNUMBER(P184),N184=FixedDim),MAX('Adjustment factors'!$S$16,0.2+0.8*P184),IF(ISTEXT(N184),VLOOKUP(N184,Afactors,2,TRUE),""))</f>
        <v/>
      </c>
      <c r="Y184" s="17" t="str">
        <f>IF(AND(ISNUMBER(S184),Q184=FixedDim),MAX('Adjustment factors'!$S$16,0.2+0.8*S184),IF(ISTEXT(Q184),VLOOKUP(Q184,Afactors,2,TRUE),""))</f>
        <v/>
      </c>
      <c r="Z184" s="297" t="str">
        <f>IF(ISBLANK(T184),"",VLOOKUP(T184,'Adjustment factors'!$R$27:$S$30,2,TRUE))</f>
        <v/>
      </c>
      <c r="AA184" s="297" t="str">
        <f>IF(ISBLANK(U184),"",VLOOKUP(U184,'Adjustment factors'!$R$27:$S$30,2,TRUE))</f>
        <v/>
      </c>
      <c r="AB184" s="480">
        <f t="shared" si="226"/>
        <v>1</v>
      </c>
      <c r="AC184" s="18" t="b">
        <f t="shared" si="183"/>
        <v>0</v>
      </c>
      <c r="AD184" s="18" t="b">
        <f t="shared" si="184"/>
        <v>0</v>
      </c>
      <c r="AE184" s="18" t="b">
        <f t="shared" si="172"/>
        <v>0</v>
      </c>
      <c r="AF184" s="17" t="str">
        <f t="shared" si="185"/>
        <v/>
      </c>
      <c r="AG184" s="18" t="str">
        <f t="shared" si="186"/>
        <v/>
      </c>
      <c r="AH184" s="17" t="str">
        <f t="shared" si="173"/>
        <v/>
      </c>
      <c r="AI184" s="297" t="e">
        <f t="shared" si="227"/>
        <v>#VALUE!</v>
      </c>
      <c r="AJ184" s="79" t="e">
        <f t="shared" si="187"/>
        <v>#VALUE!</v>
      </c>
      <c r="AK184" s="17" t="str">
        <f t="shared" si="174"/>
        <v/>
      </c>
      <c r="AL184" s="80" t="e">
        <f t="shared" si="188"/>
        <v>#VALUE!</v>
      </c>
      <c r="AM184" s="139" t="b">
        <f t="shared" si="189"/>
        <v>1</v>
      </c>
      <c r="AN184" s="139" t="b">
        <f>AND(COUNTA(E184)&gt;0,ISNUMBER(F184),OR(COUNT(G184:H184)=0,COUNT(G184:H184)=2,AND(ISNUMBER(G184),ISNUMBER(VALUE(LEFT(H184,SUM(LEN(H184)-LEN(SUBSTITUTE(H184,{"0","1","2","3","4","5","6","7","8","9","."},"")))))))),ISNUMBER(I184),ISTEXT(J184))</f>
        <v>0</v>
      </c>
      <c r="AO184" s="19" t="b">
        <f t="shared" si="190"/>
        <v>0</v>
      </c>
      <c r="AP184" s="19" t="b">
        <f t="shared" si="191"/>
        <v>1</v>
      </c>
      <c r="AQ184" s="19" t="b">
        <f>IF(AND(COUNTBLANK(E184:J184)=6,OR(AN185:AN$523)),NOT(AN184))</f>
        <v>0</v>
      </c>
      <c r="AR184" s="19" t="str">
        <f t="shared" si="192"/>
        <v/>
      </c>
      <c r="AS184" s="19" t="b">
        <f t="shared" si="193"/>
        <v>1</v>
      </c>
      <c r="AT184" s="19" t="str">
        <f t="shared" si="194"/>
        <v/>
      </c>
      <c r="AU184" s="19" t="b">
        <f t="shared" si="195"/>
        <v>1</v>
      </c>
      <c r="AV184" s="140" t="str">
        <f t="shared" si="156"/>
        <v/>
      </c>
      <c r="AW184" s="19" t="str">
        <f t="shared" si="196"/>
        <v/>
      </c>
      <c r="AX184" s="81">
        <f t="shared" si="197"/>
        <v>0</v>
      </c>
      <c r="AY184" s="81" t="str">
        <f t="shared" si="198"/>
        <v/>
      </c>
      <c r="AZ184" s="307" t="str">
        <f t="shared" si="228"/>
        <v/>
      </c>
      <c r="BA184" s="281" t="str">
        <f t="shared" si="157"/>
        <v/>
      </c>
      <c r="BB184" s="281" t="str">
        <f t="shared" si="158"/>
        <v/>
      </c>
      <c r="BC184" s="953"/>
      <c r="BD184" s="955"/>
      <c r="BE184" s="219" t="str">
        <f t="shared" si="199"/>
        <v>n/a</v>
      </c>
      <c r="BF184" s="215" t="b">
        <f t="shared" si="200"/>
        <v>0</v>
      </c>
      <c r="BG184" s="145" t="b">
        <f t="shared" si="201"/>
        <v>0</v>
      </c>
      <c r="BH184" s="145" t="b">
        <f t="shared" si="202"/>
        <v>0</v>
      </c>
      <c r="BI184" s="216" t="b">
        <f t="shared" si="203"/>
        <v>0</v>
      </c>
      <c r="BJ184" s="215" t="b">
        <f t="shared" si="204"/>
        <v>0</v>
      </c>
      <c r="BK184" s="145" t="b">
        <f t="shared" si="205"/>
        <v>0</v>
      </c>
      <c r="BL184" s="216" t="b">
        <f t="shared" si="206"/>
        <v>0</v>
      </c>
      <c r="BM184" s="217" t="str">
        <f t="shared" si="159"/>
        <v/>
      </c>
      <c r="BN184" s="146" t="str">
        <f t="shared" si="160"/>
        <v/>
      </c>
      <c r="BO184" s="147" t="str">
        <f t="shared" si="161"/>
        <v/>
      </c>
      <c r="BP184" s="148" t="str">
        <f t="shared" si="162"/>
        <v/>
      </c>
      <c r="BT184" s="50">
        <f t="shared" si="177"/>
        <v>161</v>
      </c>
      <c r="BU184" s="50" t="str">
        <f t="shared" si="180"/>
        <v>-</v>
      </c>
      <c r="BW184" s="340"/>
      <c r="BX184" s="333"/>
      <c r="BY184" s="333"/>
      <c r="BZ184" s="333"/>
      <c r="CA184" s="333"/>
      <c r="CB184" s="333"/>
      <c r="CC184" s="333"/>
      <c r="CD184" s="333"/>
      <c r="CE184" s="333"/>
      <c r="CF184" s="333"/>
      <c r="CG184" s="354">
        <f t="shared" si="207"/>
        <v>161</v>
      </c>
      <c r="CH184" s="613">
        <f t="shared" si="208"/>
        <v>0</v>
      </c>
      <c r="CI184" s="613">
        <f t="shared" si="209"/>
        <v>0</v>
      </c>
      <c r="CJ184" s="614" t="str">
        <f t="shared" si="210"/>
        <v/>
      </c>
      <c r="CK184" s="615" t="str">
        <f t="shared" si="211"/>
        <v/>
      </c>
      <c r="CL184" s="610" t="str">
        <f>IF(ISBLANK(H184),"",IF(AND(ISNUMBER(F184),ISNUMBER(G184),ISNUMBER(H184)),ROUND(F184/(H184*G184),2),ROUND(F184/(VALUE(LEFT(H184,SUM(LEN(H184)-LEN(SUBSTITUTE(H184,{"0","1","2","3","4","5","6","7","8","9","."},"")))))*G184),2)))</f>
        <v/>
      </c>
      <c r="CM184" s="616" t="str">
        <f t="shared" si="163"/>
        <v/>
      </c>
      <c r="CN184" s="616" t="str">
        <f>IF(ISNUMBER(P184),MAX('Adjustment factors'!$S$16,(0.2+0.8*P184)),IF(ISTEXT(N184),VLOOKUP(N184,Afactors,2,FALSE),""))</f>
        <v/>
      </c>
      <c r="CO184" s="616" t="str">
        <f>IF(ISNUMBER(S184),MAX('Adjustment factors'!$S$16,0.2+0.8*S184),IF(ISTEXT(Q184),VLOOKUP(Q184,Afactors,2,FALSE),""))</f>
        <v/>
      </c>
      <c r="CP184" s="611" t="str">
        <f t="shared" si="229"/>
        <v/>
      </c>
      <c r="CQ184" s="612" t="str">
        <f t="shared" si="230"/>
        <v/>
      </c>
      <c r="CR184" s="340"/>
      <c r="CS184" s="340"/>
      <c r="CT184" s="340"/>
      <c r="CU184" s="340"/>
      <c r="CV184" s="333"/>
      <c r="CW184" s="333"/>
      <c r="CX184" s="333"/>
      <c r="CY184" s="333"/>
      <c r="DA184" s="313" t="str">
        <f t="shared" si="212"/>
        <v>OK</v>
      </c>
      <c r="DB184" s="313" t="str">
        <f t="shared" si="213"/>
        <v>OK</v>
      </c>
      <c r="DC184" s="313" t="str">
        <f t="shared" si="214"/>
        <v>OK</v>
      </c>
      <c r="DD184" s="313" t="str">
        <f t="shared" si="215"/>
        <v>OK</v>
      </c>
      <c r="DE184" s="153" t="str">
        <f t="shared" si="216"/>
        <v>OK</v>
      </c>
      <c r="DF184" s="314" t="str">
        <f t="shared" si="217"/>
        <v>OK</v>
      </c>
      <c r="DG184" s="482" t="str">
        <f t="shared" si="231"/>
        <v>OK</v>
      </c>
      <c r="DH184" s="482" t="str">
        <f>IF(OR(AND(T184='Adjustment factors'!$R$28,'Class 3, 5-9'!U184='Adjustment factors'!$R$29),AND('Class 3, 5-9'!T184='Adjustment factors'!$R$29,'Class 3, 5-9'!U184='Adjustment factors'!$R$28)),"Invalid combination of adjustment factors",IF(AND(T184=U184,NOT(ISBLANK(T184)),NOT(ISBLANK(U184))),"Same colour factor selected twice","OK"))</f>
        <v>OK</v>
      </c>
      <c r="DI184" s="313" t="str">
        <f t="shared" si="218"/>
        <v>OK</v>
      </c>
      <c r="DJ184" s="153" t="str">
        <f t="shared" si="164"/>
        <v>OK</v>
      </c>
      <c r="DK184" s="153" t="str">
        <f t="shared" si="219"/>
        <v>OK</v>
      </c>
      <c r="DL184" s="313" t="str">
        <f t="shared" si="220"/>
        <v>OK</v>
      </c>
      <c r="DM184" s="153" t="str">
        <f t="shared" si="221"/>
        <v>OK</v>
      </c>
      <c r="DN184" s="153" t="str">
        <f t="shared" si="165"/>
        <v>OK</v>
      </c>
      <c r="DO184" s="154" t="str">
        <f t="shared" si="166"/>
        <v>OK</v>
      </c>
      <c r="DP184" s="153" t="str">
        <f t="shared" si="222"/>
        <v>OK</v>
      </c>
      <c r="DQ184" s="313" t="str">
        <f t="shared" si="223"/>
        <v>OK</v>
      </c>
      <c r="DR184" s="153" t="str">
        <f t="shared" si="167"/>
        <v>OK</v>
      </c>
      <c r="DS184" s="153" t="str">
        <f t="shared" si="224"/>
        <v>OK</v>
      </c>
      <c r="DT184" s="313" t="str">
        <f t="shared" si="232"/>
        <v>OK</v>
      </c>
      <c r="DU184" s="153" t="str">
        <f t="shared" si="225"/>
        <v>OK</v>
      </c>
      <c r="DV184" s="153" t="str">
        <f t="shared" si="168"/>
        <v>OK</v>
      </c>
      <c r="DW184" s="154" t="str">
        <f t="shared" si="169"/>
        <v>OK</v>
      </c>
      <c r="DX184" s="157">
        <f t="shared" si="170"/>
        <v>0</v>
      </c>
      <c r="DY184" s="156" t="str">
        <f t="shared" si="171"/>
        <v>OK</v>
      </c>
    </row>
    <row r="185" spans="1:129" ht="13" hidden="1" x14ac:dyDescent="0.3">
      <c r="A185" s="333"/>
      <c r="B185" s="333"/>
      <c r="C185" s="332" t="str">
        <f t="shared" si="181"/>
        <v>-</v>
      </c>
      <c r="D185" s="584">
        <f t="shared" si="176"/>
        <v>162</v>
      </c>
      <c r="E185" s="585"/>
      <c r="F185" s="586"/>
      <c r="G185" s="600"/>
      <c r="H185" s="587"/>
      <c r="I185" s="601"/>
      <c r="J185" s="585"/>
      <c r="K185" s="617"/>
      <c r="L185" s="602"/>
      <c r="M185" s="603"/>
      <c r="N185" s="588"/>
      <c r="O185" s="604"/>
      <c r="P185" s="605"/>
      <c r="Q185" s="588"/>
      <c r="R185" s="604"/>
      <c r="S185" s="605"/>
      <c r="T185" s="606"/>
      <c r="U185" s="606"/>
      <c r="V185" s="429" t="str">
        <f t="shared" si="178"/>
        <v/>
      </c>
      <c r="W185" s="430" t="str">
        <f t="shared" si="175"/>
        <v/>
      </c>
      <c r="X185" s="66" t="str">
        <f>IF(AND(ISNUMBER(P185),N185=FixedDim),MAX('Adjustment factors'!$S$16,0.2+0.8*P185),IF(ISTEXT(N185),VLOOKUP(N185,Afactors,2,TRUE),""))</f>
        <v/>
      </c>
      <c r="Y185" s="17" t="str">
        <f>IF(AND(ISNUMBER(S185),Q185=FixedDim),MAX('Adjustment factors'!$S$16,0.2+0.8*S185),IF(ISTEXT(Q185),VLOOKUP(Q185,Afactors,2,TRUE),""))</f>
        <v/>
      </c>
      <c r="Z185" s="297" t="str">
        <f>IF(ISBLANK(T185),"",VLOOKUP(T185,'Adjustment factors'!$R$27:$S$30,2,TRUE))</f>
        <v/>
      </c>
      <c r="AA185" s="297" t="str">
        <f>IF(ISBLANK(U185),"",VLOOKUP(U185,'Adjustment factors'!$R$27:$S$30,2,TRUE))</f>
        <v/>
      </c>
      <c r="AB185" s="480">
        <f t="shared" si="226"/>
        <v>1</v>
      </c>
      <c r="AC185" s="18" t="b">
        <f t="shared" si="183"/>
        <v>0</v>
      </c>
      <c r="AD185" s="18" t="b">
        <f t="shared" si="184"/>
        <v>0</v>
      </c>
      <c r="AE185" s="18" t="b">
        <f t="shared" si="172"/>
        <v>0</v>
      </c>
      <c r="AF185" s="17" t="str">
        <f t="shared" si="185"/>
        <v/>
      </c>
      <c r="AG185" s="18" t="str">
        <f t="shared" si="186"/>
        <v/>
      </c>
      <c r="AH185" s="17" t="str">
        <f t="shared" si="173"/>
        <v/>
      </c>
      <c r="AI185" s="297" t="e">
        <f t="shared" si="227"/>
        <v>#VALUE!</v>
      </c>
      <c r="AJ185" s="79" t="e">
        <f t="shared" si="187"/>
        <v>#VALUE!</v>
      </c>
      <c r="AK185" s="17" t="str">
        <f t="shared" si="174"/>
        <v/>
      </c>
      <c r="AL185" s="80" t="e">
        <f t="shared" si="188"/>
        <v>#VALUE!</v>
      </c>
      <c r="AM185" s="139" t="b">
        <f t="shared" si="189"/>
        <v>1</v>
      </c>
      <c r="AN185" s="139" t="b">
        <f>AND(COUNTA(E185)&gt;0,ISNUMBER(F185),OR(COUNT(G185:H185)=0,COUNT(G185:H185)=2,AND(ISNUMBER(G185),ISNUMBER(VALUE(LEFT(H185,SUM(LEN(H185)-LEN(SUBSTITUTE(H185,{"0","1","2","3","4","5","6","7","8","9","."},"")))))))),ISNUMBER(I185),ISTEXT(J185))</f>
        <v>0</v>
      </c>
      <c r="AO185" s="19" t="b">
        <f t="shared" si="190"/>
        <v>0</v>
      </c>
      <c r="AP185" s="19" t="b">
        <f t="shared" si="191"/>
        <v>1</v>
      </c>
      <c r="AQ185" s="19" t="b">
        <f>IF(AND(COUNTBLANK(E185:J185)=6,OR(AN186:AN$523)),NOT(AN185))</f>
        <v>0</v>
      </c>
      <c r="AR185" s="19" t="str">
        <f t="shared" si="192"/>
        <v/>
      </c>
      <c r="AS185" s="19" t="b">
        <f t="shared" si="193"/>
        <v>1</v>
      </c>
      <c r="AT185" s="19" t="str">
        <f t="shared" si="194"/>
        <v/>
      </c>
      <c r="AU185" s="19" t="b">
        <f t="shared" si="195"/>
        <v>1</v>
      </c>
      <c r="AV185" s="140" t="str">
        <f t="shared" si="156"/>
        <v/>
      </c>
      <c r="AW185" s="19" t="str">
        <f t="shared" si="196"/>
        <v/>
      </c>
      <c r="AX185" s="81">
        <f t="shared" si="197"/>
        <v>0</v>
      </c>
      <c r="AY185" s="81" t="str">
        <f t="shared" si="198"/>
        <v/>
      </c>
      <c r="AZ185" s="307" t="str">
        <f t="shared" si="228"/>
        <v/>
      </c>
      <c r="BA185" s="281" t="str">
        <f t="shared" si="157"/>
        <v/>
      </c>
      <c r="BB185" s="281" t="str">
        <f t="shared" si="158"/>
        <v/>
      </c>
      <c r="BC185" s="953"/>
      <c r="BD185" s="955"/>
      <c r="BE185" s="219" t="str">
        <f t="shared" si="199"/>
        <v>n/a</v>
      </c>
      <c r="BF185" s="215" t="b">
        <f t="shared" si="200"/>
        <v>0</v>
      </c>
      <c r="BG185" s="145" t="b">
        <f t="shared" si="201"/>
        <v>0</v>
      </c>
      <c r="BH185" s="145" t="b">
        <f t="shared" si="202"/>
        <v>0</v>
      </c>
      <c r="BI185" s="216" t="b">
        <f t="shared" si="203"/>
        <v>0</v>
      </c>
      <c r="BJ185" s="215" t="b">
        <f t="shared" si="204"/>
        <v>0</v>
      </c>
      <c r="BK185" s="145" t="b">
        <f t="shared" si="205"/>
        <v>0</v>
      </c>
      <c r="BL185" s="216" t="b">
        <f t="shared" si="206"/>
        <v>0</v>
      </c>
      <c r="BM185" s="217" t="str">
        <f t="shared" si="159"/>
        <v/>
      </c>
      <c r="BN185" s="146" t="str">
        <f t="shared" si="160"/>
        <v/>
      </c>
      <c r="BO185" s="147" t="str">
        <f t="shared" si="161"/>
        <v/>
      </c>
      <c r="BP185" s="148" t="str">
        <f t="shared" si="162"/>
        <v/>
      </c>
      <c r="BT185" s="50">
        <f t="shared" si="177"/>
        <v>162</v>
      </c>
      <c r="BU185" s="50" t="str">
        <f t="shared" si="180"/>
        <v>-</v>
      </c>
      <c r="BW185" s="340"/>
      <c r="BX185" s="333"/>
      <c r="BY185" s="333"/>
      <c r="BZ185" s="333"/>
      <c r="CA185" s="333"/>
      <c r="CB185" s="333"/>
      <c r="CC185" s="333"/>
      <c r="CD185" s="333"/>
      <c r="CE185" s="333"/>
      <c r="CF185" s="333"/>
      <c r="CG185" s="354">
        <f t="shared" si="207"/>
        <v>162</v>
      </c>
      <c r="CH185" s="613">
        <f t="shared" si="208"/>
        <v>0</v>
      </c>
      <c r="CI185" s="613">
        <f t="shared" si="209"/>
        <v>0</v>
      </c>
      <c r="CJ185" s="614" t="str">
        <f t="shared" si="210"/>
        <v/>
      </c>
      <c r="CK185" s="615" t="str">
        <f t="shared" si="211"/>
        <v/>
      </c>
      <c r="CL185" s="610" t="str">
        <f>IF(ISBLANK(H185),"",IF(AND(ISNUMBER(F185),ISNUMBER(G185),ISNUMBER(H185)),ROUND(F185/(H185*G185),2),ROUND(F185/(VALUE(LEFT(H185,SUM(LEN(H185)-LEN(SUBSTITUTE(H185,{"0","1","2","3","4","5","6","7","8","9","."},"")))))*G185),2)))</f>
        <v/>
      </c>
      <c r="CM185" s="616" t="str">
        <f t="shared" si="163"/>
        <v/>
      </c>
      <c r="CN185" s="616" t="str">
        <f>IF(ISNUMBER(P185),MAX('Adjustment factors'!$S$16,(0.2+0.8*P185)),IF(ISTEXT(N185),VLOOKUP(N185,Afactors,2,FALSE),""))</f>
        <v/>
      </c>
      <c r="CO185" s="616" t="str">
        <f>IF(ISNUMBER(S185),MAX('Adjustment factors'!$S$16,0.2+0.8*S185),IF(ISTEXT(Q185),VLOOKUP(Q185,Afactors,2,FALSE),""))</f>
        <v/>
      </c>
      <c r="CP185" s="611" t="str">
        <f t="shared" si="229"/>
        <v/>
      </c>
      <c r="CQ185" s="612" t="str">
        <f t="shared" si="230"/>
        <v/>
      </c>
      <c r="CR185" s="340"/>
      <c r="CS185" s="340"/>
      <c r="CT185" s="340"/>
      <c r="CU185" s="340"/>
      <c r="CV185" s="333"/>
      <c r="CW185" s="333"/>
      <c r="CX185" s="333"/>
      <c r="CY185" s="333"/>
      <c r="DA185" s="313" t="str">
        <f t="shared" si="212"/>
        <v>OK</v>
      </c>
      <c r="DB185" s="313" t="str">
        <f t="shared" si="213"/>
        <v>OK</v>
      </c>
      <c r="DC185" s="313" t="str">
        <f t="shared" si="214"/>
        <v>OK</v>
      </c>
      <c r="DD185" s="313" t="str">
        <f t="shared" si="215"/>
        <v>OK</v>
      </c>
      <c r="DE185" s="153" t="str">
        <f t="shared" si="216"/>
        <v>OK</v>
      </c>
      <c r="DF185" s="314" t="str">
        <f t="shared" si="217"/>
        <v>OK</v>
      </c>
      <c r="DG185" s="482" t="str">
        <f t="shared" si="231"/>
        <v>OK</v>
      </c>
      <c r="DH185" s="482" t="str">
        <f>IF(OR(AND(T185='Adjustment factors'!$R$28,'Class 3, 5-9'!U185='Adjustment factors'!$R$29),AND('Class 3, 5-9'!T185='Adjustment factors'!$R$29,'Class 3, 5-9'!U185='Adjustment factors'!$R$28)),"Invalid combination of adjustment factors",IF(AND(T185=U185,NOT(ISBLANK(T185)),NOT(ISBLANK(U185))),"Same colour factor selected twice","OK"))</f>
        <v>OK</v>
      </c>
      <c r="DI185" s="313" t="str">
        <f t="shared" si="218"/>
        <v>OK</v>
      </c>
      <c r="DJ185" s="153" t="str">
        <f t="shared" si="164"/>
        <v>OK</v>
      </c>
      <c r="DK185" s="153" t="str">
        <f t="shared" si="219"/>
        <v>OK</v>
      </c>
      <c r="DL185" s="313" t="str">
        <f t="shared" si="220"/>
        <v>OK</v>
      </c>
      <c r="DM185" s="153" t="str">
        <f t="shared" si="221"/>
        <v>OK</v>
      </c>
      <c r="DN185" s="153" t="str">
        <f t="shared" si="165"/>
        <v>OK</v>
      </c>
      <c r="DO185" s="154" t="str">
        <f t="shared" si="166"/>
        <v>OK</v>
      </c>
      <c r="DP185" s="153" t="str">
        <f t="shared" si="222"/>
        <v>OK</v>
      </c>
      <c r="DQ185" s="313" t="str">
        <f t="shared" si="223"/>
        <v>OK</v>
      </c>
      <c r="DR185" s="153" t="str">
        <f t="shared" si="167"/>
        <v>OK</v>
      </c>
      <c r="DS185" s="153" t="str">
        <f t="shared" si="224"/>
        <v>OK</v>
      </c>
      <c r="DT185" s="313" t="str">
        <f t="shared" si="232"/>
        <v>OK</v>
      </c>
      <c r="DU185" s="153" t="str">
        <f t="shared" si="225"/>
        <v>OK</v>
      </c>
      <c r="DV185" s="153" t="str">
        <f t="shared" si="168"/>
        <v>OK</v>
      </c>
      <c r="DW185" s="154" t="str">
        <f t="shared" si="169"/>
        <v>OK</v>
      </c>
      <c r="DX185" s="157">
        <f t="shared" si="170"/>
        <v>0</v>
      </c>
      <c r="DY185" s="156" t="str">
        <f t="shared" si="171"/>
        <v>OK</v>
      </c>
    </row>
    <row r="186" spans="1:129" ht="13" hidden="1" x14ac:dyDescent="0.3">
      <c r="A186" s="333"/>
      <c r="B186" s="333"/>
      <c r="C186" s="332" t="str">
        <f t="shared" si="181"/>
        <v>-</v>
      </c>
      <c r="D186" s="584">
        <f t="shared" si="176"/>
        <v>163</v>
      </c>
      <c r="E186" s="585"/>
      <c r="F186" s="586"/>
      <c r="G186" s="600"/>
      <c r="H186" s="587"/>
      <c r="I186" s="601"/>
      <c r="J186" s="585"/>
      <c r="K186" s="617"/>
      <c r="L186" s="602"/>
      <c r="M186" s="603"/>
      <c r="N186" s="588"/>
      <c r="O186" s="604"/>
      <c r="P186" s="605"/>
      <c r="Q186" s="588"/>
      <c r="R186" s="604"/>
      <c r="S186" s="605"/>
      <c r="T186" s="606"/>
      <c r="U186" s="606"/>
      <c r="V186" s="429" t="str">
        <f t="shared" si="178"/>
        <v/>
      </c>
      <c r="W186" s="430" t="str">
        <f t="shared" si="175"/>
        <v/>
      </c>
      <c r="X186" s="66" t="str">
        <f>IF(AND(ISNUMBER(P186),N186=FixedDim),MAX('Adjustment factors'!$S$16,0.2+0.8*P186),IF(ISTEXT(N186),VLOOKUP(N186,Afactors,2,TRUE),""))</f>
        <v/>
      </c>
      <c r="Y186" s="17" t="str">
        <f>IF(AND(ISNUMBER(S186),Q186=FixedDim),MAX('Adjustment factors'!$S$16,0.2+0.8*S186),IF(ISTEXT(Q186),VLOOKUP(Q186,Afactors,2,TRUE),""))</f>
        <v/>
      </c>
      <c r="Z186" s="297" t="str">
        <f>IF(ISBLANK(T186),"",VLOOKUP(T186,'Adjustment factors'!$R$27:$S$30,2,TRUE))</f>
        <v/>
      </c>
      <c r="AA186" s="297" t="str">
        <f>IF(ISBLANK(U186),"",VLOOKUP(U186,'Adjustment factors'!$R$27:$S$30,2,TRUE))</f>
        <v/>
      </c>
      <c r="AB186" s="480">
        <f t="shared" si="226"/>
        <v>1</v>
      </c>
      <c r="AC186" s="18" t="b">
        <f t="shared" si="183"/>
        <v>0</v>
      </c>
      <c r="AD186" s="18" t="b">
        <f t="shared" si="184"/>
        <v>0</v>
      </c>
      <c r="AE186" s="18" t="b">
        <f t="shared" si="172"/>
        <v>0</v>
      </c>
      <c r="AF186" s="17" t="str">
        <f t="shared" si="185"/>
        <v/>
      </c>
      <c r="AG186" s="18" t="str">
        <f t="shared" si="186"/>
        <v/>
      </c>
      <c r="AH186" s="17" t="str">
        <f t="shared" si="173"/>
        <v/>
      </c>
      <c r="AI186" s="297" t="e">
        <f t="shared" si="227"/>
        <v>#VALUE!</v>
      </c>
      <c r="AJ186" s="79" t="e">
        <f t="shared" si="187"/>
        <v>#VALUE!</v>
      </c>
      <c r="AK186" s="17" t="str">
        <f t="shared" si="174"/>
        <v/>
      </c>
      <c r="AL186" s="80" t="e">
        <f t="shared" si="188"/>
        <v>#VALUE!</v>
      </c>
      <c r="AM186" s="139" t="b">
        <f t="shared" si="189"/>
        <v>1</v>
      </c>
      <c r="AN186" s="139" t="b">
        <f>AND(COUNTA(E186)&gt;0,ISNUMBER(F186),OR(COUNT(G186:H186)=0,COUNT(G186:H186)=2,AND(ISNUMBER(G186),ISNUMBER(VALUE(LEFT(H186,SUM(LEN(H186)-LEN(SUBSTITUTE(H186,{"0","1","2","3","4","5","6","7","8","9","."},"")))))))),ISNUMBER(I186),ISTEXT(J186))</f>
        <v>0</v>
      </c>
      <c r="AO186" s="19" t="b">
        <f t="shared" si="190"/>
        <v>0</v>
      </c>
      <c r="AP186" s="19" t="b">
        <f t="shared" si="191"/>
        <v>1</v>
      </c>
      <c r="AQ186" s="19" t="b">
        <f>IF(AND(COUNTBLANK(E186:J186)=6,OR(AN187:AN$523)),NOT(AN186))</f>
        <v>0</v>
      </c>
      <c r="AR186" s="19" t="str">
        <f t="shared" si="192"/>
        <v/>
      </c>
      <c r="AS186" s="19" t="b">
        <f t="shared" si="193"/>
        <v>1</v>
      </c>
      <c r="AT186" s="19" t="str">
        <f t="shared" si="194"/>
        <v/>
      </c>
      <c r="AU186" s="19" t="b">
        <f t="shared" si="195"/>
        <v>1</v>
      </c>
      <c r="AV186" s="140" t="str">
        <f t="shared" si="156"/>
        <v/>
      </c>
      <c r="AW186" s="19" t="str">
        <f t="shared" si="196"/>
        <v/>
      </c>
      <c r="AX186" s="81">
        <f t="shared" si="197"/>
        <v>0</v>
      </c>
      <c r="AY186" s="81" t="str">
        <f t="shared" si="198"/>
        <v/>
      </c>
      <c r="AZ186" s="307" t="str">
        <f t="shared" si="228"/>
        <v/>
      </c>
      <c r="BA186" s="281" t="str">
        <f t="shared" si="157"/>
        <v/>
      </c>
      <c r="BB186" s="281" t="str">
        <f t="shared" si="158"/>
        <v/>
      </c>
      <c r="BC186" s="953"/>
      <c r="BD186" s="955"/>
      <c r="BE186" s="219" t="str">
        <f t="shared" si="199"/>
        <v>n/a</v>
      </c>
      <c r="BF186" s="215" t="b">
        <f t="shared" si="200"/>
        <v>0</v>
      </c>
      <c r="BG186" s="145" t="b">
        <f t="shared" si="201"/>
        <v>0</v>
      </c>
      <c r="BH186" s="145" t="b">
        <f t="shared" si="202"/>
        <v>0</v>
      </c>
      <c r="BI186" s="216" t="b">
        <f t="shared" si="203"/>
        <v>0</v>
      </c>
      <c r="BJ186" s="215" t="b">
        <f t="shared" si="204"/>
        <v>0</v>
      </c>
      <c r="BK186" s="145" t="b">
        <f t="shared" si="205"/>
        <v>0</v>
      </c>
      <c r="BL186" s="216" t="b">
        <f t="shared" si="206"/>
        <v>0</v>
      </c>
      <c r="BM186" s="217" t="str">
        <f t="shared" si="159"/>
        <v/>
      </c>
      <c r="BN186" s="146" t="str">
        <f t="shared" si="160"/>
        <v/>
      </c>
      <c r="BO186" s="147" t="str">
        <f t="shared" si="161"/>
        <v/>
      </c>
      <c r="BP186" s="148" t="str">
        <f t="shared" si="162"/>
        <v/>
      </c>
      <c r="BT186" s="50">
        <f t="shared" si="177"/>
        <v>163</v>
      </c>
      <c r="BU186" s="50" t="str">
        <f t="shared" si="180"/>
        <v>-</v>
      </c>
      <c r="BW186" s="340"/>
      <c r="BX186" s="333"/>
      <c r="BY186" s="333"/>
      <c r="BZ186" s="333"/>
      <c r="CA186" s="333"/>
      <c r="CB186" s="333"/>
      <c r="CC186" s="333"/>
      <c r="CD186" s="333"/>
      <c r="CE186" s="333"/>
      <c r="CF186" s="333"/>
      <c r="CG186" s="354">
        <f t="shared" si="207"/>
        <v>163</v>
      </c>
      <c r="CH186" s="613">
        <f t="shared" si="208"/>
        <v>0</v>
      </c>
      <c r="CI186" s="613">
        <f t="shared" si="209"/>
        <v>0</v>
      </c>
      <c r="CJ186" s="614" t="str">
        <f t="shared" si="210"/>
        <v/>
      </c>
      <c r="CK186" s="615" t="str">
        <f t="shared" si="211"/>
        <v/>
      </c>
      <c r="CL186" s="610" t="str">
        <f>IF(ISBLANK(H186),"",IF(AND(ISNUMBER(F186),ISNUMBER(G186),ISNUMBER(H186)),ROUND(F186/(H186*G186),2),ROUND(F186/(VALUE(LEFT(H186,SUM(LEN(H186)-LEN(SUBSTITUTE(H186,{"0","1","2","3","4","5","6","7","8","9","."},"")))))*G186),2)))</f>
        <v/>
      </c>
      <c r="CM186" s="616" t="str">
        <f t="shared" si="163"/>
        <v/>
      </c>
      <c r="CN186" s="616" t="str">
        <f>IF(ISNUMBER(P186),MAX('Adjustment factors'!$S$16,(0.2+0.8*P186)),IF(ISTEXT(N186),VLOOKUP(N186,Afactors,2,FALSE),""))</f>
        <v/>
      </c>
      <c r="CO186" s="616" t="str">
        <f>IF(ISNUMBER(S186),MAX('Adjustment factors'!$S$16,0.2+0.8*S186),IF(ISTEXT(Q186),VLOOKUP(Q186,Afactors,2,FALSE),""))</f>
        <v/>
      </c>
      <c r="CP186" s="611" t="str">
        <f t="shared" si="229"/>
        <v/>
      </c>
      <c r="CQ186" s="612" t="str">
        <f t="shared" si="230"/>
        <v/>
      </c>
      <c r="CR186" s="340"/>
      <c r="CS186" s="340"/>
      <c r="CT186" s="340"/>
      <c r="CU186" s="340"/>
      <c r="CV186" s="333"/>
      <c r="CW186" s="333"/>
      <c r="CX186" s="333"/>
      <c r="CY186" s="333"/>
      <c r="DA186" s="313" t="str">
        <f t="shared" si="212"/>
        <v>OK</v>
      </c>
      <c r="DB186" s="313" t="str">
        <f t="shared" si="213"/>
        <v>OK</v>
      </c>
      <c r="DC186" s="313" t="str">
        <f t="shared" si="214"/>
        <v>OK</v>
      </c>
      <c r="DD186" s="313" t="str">
        <f t="shared" si="215"/>
        <v>OK</v>
      </c>
      <c r="DE186" s="153" t="str">
        <f t="shared" si="216"/>
        <v>OK</v>
      </c>
      <c r="DF186" s="314" t="str">
        <f t="shared" si="217"/>
        <v>OK</v>
      </c>
      <c r="DG186" s="482" t="str">
        <f t="shared" si="231"/>
        <v>OK</v>
      </c>
      <c r="DH186" s="482" t="str">
        <f>IF(OR(AND(T186='Adjustment factors'!$R$28,'Class 3, 5-9'!U186='Adjustment factors'!$R$29),AND('Class 3, 5-9'!T186='Adjustment factors'!$R$29,'Class 3, 5-9'!U186='Adjustment factors'!$R$28)),"Invalid combination of adjustment factors",IF(AND(T186=U186,NOT(ISBLANK(T186)),NOT(ISBLANK(U186))),"Same colour factor selected twice","OK"))</f>
        <v>OK</v>
      </c>
      <c r="DI186" s="313" t="str">
        <f t="shared" si="218"/>
        <v>OK</v>
      </c>
      <c r="DJ186" s="153" t="str">
        <f t="shared" si="164"/>
        <v>OK</v>
      </c>
      <c r="DK186" s="153" t="str">
        <f t="shared" si="219"/>
        <v>OK</v>
      </c>
      <c r="DL186" s="313" t="str">
        <f t="shared" si="220"/>
        <v>OK</v>
      </c>
      <c r="DM186" s="153" t="str">
        <f t="shared" si="221"/>
        <v>OK</v>
      </c>
      <c r="DN186" s="153" t="str">
        <f t="shared" si="165"/>
        <v>OK</v>
      </c>
      <c r="DO186" s="154" t="str">
        <f t="shared" si="166"/>
        <v>OK</v>
      </c>
      <c r="DP186" s="153" t="str">
        <f t="shared" si="222"/>
        <v>OK</v>
      </c>
      <c r="DQ186" s="313" t="str">
        <f t="shared" si="223"/>
        <v>OK</v>
      </c>
      <c r="DR186" s="153" t="str">
        <f t="shared" si="167"/>
        <v>OK</v>
      </c>
      <c r="DS186" s="153" t="str">
        <f t="shared" si="224"/>
        <v>OK</v>
      </c>
      <c r="DT186" s="313" t="str">
        <f t="shared" si="232"/>
        <v>OK</v>
      </c>
      <c r="DU186" s="153" t="str">
        <f t="shared" si="225"/>
        <v>OK</v>
      </c>
      <c r="DV186" s="153" t="str">
        <f t="shared" si="168"/>
        <v>OK</v>
      </c>
      <c r="DW186" s="154" t="str">
        <f t="shared" si="169"/>
        <v>OK</v>
      </c>
      <c r="DX186" s="157">
        <f t="shared" si="170"/>
        <v>0</v>
      </c>
      <c r="DY186" s="156" t="str">
        <f t="shared" si="171"/>
        <v>OK</v>
      </c>
    </row>
    <row r="187" spans="1:129" ht="13" hidden="1" x14ac:dyDescent="0.3">
      <c r="A187" s="333"/>
      <c r="B187" s="333"/>
      <c r="C187" s="332" t="str">
        <f t="shared" si="181"/>
        <v>-</v>
      </c>
      <c r="D187" s="584">
        <f t="shared" si="176"/>
        <v>164</v>
      </c>
      <c r="E187" s="585"/>
      <c r="F187" s="586"/>
      <c r="G187" s="600"/>
      <c r="H187" s="587"/>
      <c r="I187" s="601"/>
      <c r="J187" s="585"/>
      <c r="K187" s="617"/>
      <c r="L187" s="602"/>
      <c r="M187" s="603"/>
      <c r="N187" s="588"/>
      <c r="O187" s="604"/>
      <c r="P187" s="605"/>
      <c r="Q187" s="588"/>
      <c r="R187" s="604"/>
      <c r="S187" s="605"/>
      <c r="T187" s="606"/>
      <c r="U187" s="606"/>
      <c r="V187" s="429" t="str">
        <f t="shared" si="178"/>
        <v/>
      </c>
      <c r="W187" s="430" t="str">
        <f t="shared" si="175"/>
        <v/>
      </c>
      <c r="X187" s="66" t="str">
        <f>IF(AND(ISNUMBER(P187),N187=FixedDim),MAX('Adjustment factors'!$S$16,0.2+0.8*P187),IF(ISTEXT(N187),VLOOKUP(N187,Afactors,2,TRUE),""))</f>
        <v/>
      </c>
      <c r="Y187" s="17" t="str">
        <f>IF(AND(ISNUMBER(S187),Q187=FixedDim),MAX('Adjustment factors'!$S$16,0.2+0.8*S187),IF(ISTEXT(Q187),VLOOKUP(Q187,Afactors,2,TRUE),""))</f>
        <v/>
      </c>
      <c r="Z187" s="297" t="str">
        <f>IF(ISBLANK(T187),"",VLOOKUP(T187,'Adjustment factors'!$R$27:$S$30,2,TRUE))</f>
        <v/>
      </c>
      <c r="AA187" s="297" t="str">
        <f>IF(ISBLANK(U187),"",VLOOKUP(U187,'Adjustment factors'!$R$27:$S$30,2,TRUE))</f>
        <v/>
      </c>
      <c r="AB187" s="480">
        <f t="shared" si="226"/>
        <v>1</v>
      </c>
      <c r="AC187" s="18" t="b">
        <f t="shared" si="183"/>
        <v>0</v>
      </c>
      <c r="AD187" s="18" t="b">
        <f t="shared" si="184"/>
        <v>0</v>
      </c>
      <c r="AE187" s="18" t="b">
        <f t="shared" si="172"/>
        <v>0</v>
      </c>
      <c r="AF187" s="17" t="str">
        <f t="shared" si="185"/>
        <v/>
      </c>
      <c r="AG187" s="18" t="str">
        <f t="shared" si="186"/>
        <v/>
      </c>
      <c r="AH187" s="17" t="str">
        <f t="shared" si="173"/>
        <v/>
      </c>
      <c r="AI187" s="297" t="e">
        <f t="shared" si="227"/>
        <v>#VALUE!</v>
      </c>
      <c r="AJ187" s="79" t="e">
        <f t="shared" si="187"/>
        <v>#VALUE!</v>
      </c>
      <c r="AK187" s="17" t="str">
        <f t="shared" si="174"/>
        <v/>
      </c>
      <c r="AL187" s="80" t="e">
        <f t="shared" si="188"/>
        <v>#VALUE!</v>
      </c>
      <c r="AM187" s="139" t="b">
        <f t="shared" si="189"/>
        <v>1</v>
      </c>
      <c r="AN187" s="139" t="b">
        <f>AND(COUNTA(E187)&gt;0,ISNUMBER(F187),OR(COUNT(G187:H187)=0,COUNT(G187:H187)=2,AND(ISNUMBER(G187),ISNUMBER(VALUE(LEFT(H187,SUM(LEN(H187)-LEN(SUBSTITUTE(H187,{"0","1","2","3","4","5","6","7","8","9","."},"")))))))),ISNUMBER(I187),ISTEXT(J187))</f>
        <v>0</v>
      </c>
      <c r="AO187" s="19" t="b">
        <f t="shared" si="190"/>
        <v>0</v>
      </c>
      <c r="AP187" s="19" t="b">
        <f t="shared" si="191"/>
        <v>1</v>
      </c>
      <c r="AQ187" s="19" t="b">
        <f>IF(AND(COUNTBLANK(E187:J187)=6,OR(AN188:AN$523)),NOT(AN187))</f>
        <v>0</v>
      </c>
      <c r="AR187" s="19" t="str">
        <f t="shared" si="192"/>
        <v/>
      </c>
      <c r="AS187" s="19" t="b">
        <f t="shared" si="193"/>
        <v>1</v>
      </c>
      <c r="AT187" s="19" t="str">
        <f t="shared" si="194"/>
        <v/>
      </c>
      <c r="AU187" s="19" t="b">
        <f t="shared" si="195"/>
        <v>1</v>
      </c>
      <c r="AV187" s="140" t="str">
        <f t="shared" si="156"/>
        <v/>
      </c>
      <c r="AW187" s="19" t="str">
        <f t="shared" si="196"/>
        <v/>
      </c>
      <c r="AX187" s="81">
        <f t="shared" si="197"/>
        <v>0</v>
      </c>
      <c r="AY187" s="81" t="str">
        <f t="shared" si="198"/>
        <v/>
      </c>
      <c r="AZ187" s="307" t="str">
        <f t="shared" si="228"/>
        <v/>
      </c>
      <c r="BA187" s="281" t="str">
        <f t="shared" si="157"/>
        <v/>
      </c>
      <c r="BB187" s="281" t="str">
        <f t="shared" si="158"/>
        <v/>
      </c>
      <c r="BC187" s="953"/>
      <c r="BD187" s="955"/>
      <c r="BE187" s="219" t="str">
        <f t="shared" si="199"/>
        <v>n/a</v>
      </c>
      <c r="BF187" s="215" t="b">
        <f t="shared" si="200"/>
        <v>0</v>
      </c>
      <c r="BG187" s="145" t="b">
        <f t="shared" si="201"/>
        <v>0</v>
      </c>
      <c r="BH187" s="145" t="b">
        <f t="shared" si="202"/>
        <v>0</v>
      </c>
      <c r="BI187" s="216" t="b">
        <f t="shared" si="203"/>
        <v>0</v>
      </c>
      <c r="BJ187" s="215" t="b">
        <f t="shared" si="204"/>
        <v>0</v>
      </c>
      <c r="BK187" s="145" t="b">
        <f t="shared" si="205"/>
        <v>0</v>
      </c>
      <c r="BL187" s="216" t="b">
        <f t="shared" si="206"/>
        <v>0</v>
      </c>
      <c r="BM187" s="217" t="str">
        <f t="shared" si="159"/>
        <v/>
      </c>
      <c r="BN187" s="146" t="str">
        <f t="shared" si="160"/>
        <v/>
      </c>
      <c r="BO187" s="147" t="str">
        <f t="shared" si="161"/>
        <v/>
      </c>
      <c r="BP187" s="148" t="str">
        <f t="shared" si="162"/>
        <v/>
      </c>
      <c r="BT187" s="50">
        <f t="shared" si="177"/>
        <v>164</v>
      </c>
      <c r="BU187" s="50" t="str">
        <f t="shared" si="180"/>
        <v>-</v>
      </c>
      <c r="BW187" s="340"/>
      <c r="BX187" s="333"/>
      <c r="BY187" s="333"/>
      <c r="BZ187" s="333"/>
      <c r="CA187" s="333"/>
      <c r="CB187" s="333"/>
      <c r="CC187" s="333"/>
      <c r="CD187" s="333"/>
      <c r="CE187" s="333"/>
      <c r="CF187" s="333"/>
      <c r="CG187" s="354">
        <f t="shared" si="207"/>
        <v>164</v>
      </c>
      <c r="CH187" s="613">
        <f t="shared" si="208"/>
        <v>0</v>
      </c>
      <c r="CI187" s="613">
        <f t="shared" si="209"/>
        <v>0</v>
      </c>
      <c r="CJ187" s="614" t="str">
        <f t="shared" si="210"/>
        <v/>
      </c>
      <c r="CK187" s="615" t="str">
        <f t="shared" si="211"/>
        <v/>
      </c>
      <c r="CL187" s="610" t="str">
        <f>IF(ISBLANK(H187),"",IF(AND(ISNUMBER(F187),ISNUMBER(G187),ISNUMBER(H187)),ROUND(F187/(H187*G187),2),ROUND(F187/(VALUE(LEFT(H187,SUM(LEN(H187)-LEN(SUBSTITUTE(H187,{"0","1","2","3","4","5","6","7","8","9","."},"")))))*G187),2)))</f>
        <v/>
      </c>
      <c r="CM187" s="616" t="str">
        <f t="shared" si="163"/>
        <v/>
      </c>
      <c r="CN187" s="616" t="str">
        <f>IF(ISNUMBER(P187),MAX('Adjustment factors'!$S$16,(0.2+0.8*P187)),IF(ISTEXT(N187),VLOOKUP(N187,Afactors,2,FALSE),""))</f>
        <v/>
      </c>
      <c r="CO187" s="616" t="str">
        <f>IF(ISNUMBER(S187),MAX('Adjustment factors'!$S$16,0.2+0.8*S187),IF(ISTEXT(Q187),VLOOKUP(Q187,Afactors,2,FALSE),""))</f>
        <v/>
      </c>
      <c r="CP187" s="611" t="str">
        <f t="shared" si="229"/>
        <v/>
      </c>
      <c r="CQ187" s="612" t="str">
        <f t="shared" si="230"/>
        <v/>
      </c>
      <c r="CR187" s="340"/>
      <c r="CS187" s="340"/>
      <c r="CT187" s="340"/>
      <c r="CU187" s="340"/>
      <c r="CV187" s="333"/>
      <c r="CW187" s="333"/>
      <c r="CX187" s="333"/>
      <c r="CY187" s="333"/>
      <c r="DA187" s="313" t="str">
        <f t="shared" si="212"/>
        <v>OK</v>
      </c>
      <c r="DB187" s="313" t="str">
        <f t="shared" si="213"/>
        <v>OK</v>
      </c>
      <c r="DC187" s="313" t="str">
        <f t="shared" si="214"/>
        <v>OK</v>
      </c>
      <c r="DD187" s="313" t="str">
        <f t="shared" si="215"/>
        <v>OK</v>
      </c>
      <c r="DE187" s="153" t="str">
        <f t="shared" si="216"/>
        <v>OK</v>
      </c>
      <c r="DF187" s="314" t="str">
        <f t="shared" si="217"/>
        <v>OK</v>
      </c>
      <c r="DG187" s="482" t="str">
        <f t="shared" si="231"/>
        <v>OK</v>
      </c>
      <c r="DH187" s="482" t="str">
        <f>IF(OR(AND(T187='Adjustment factors'!$R$28,'Class 3, 5-9'!U187='Adjustment factors'!$R$29),AND('Class 3, 5-9'!T187='Adjustment factors'!$R$29,'Class 3, 5-9'!U187='Adjustment factors'!$R$28)),"Invalid combination of adjustment factors",IF(AND(T187=U187,NOT(ISBLANK(T187)),NOT(ISBLANK(U187))),"Same colour factor selected twice","OK"))</f>
        <v>OK</v>
      </c>
      <c r="DI187" s="313" t="str">
        <f t="shared" si="218"/>
        <v>OK</v>
      </c>
      <c r="DJ187" s="153" t="str">
        <f t="shared" si="164"/>
        <v>OK</v>
      </c>
      <c r="DK187" s="153" t="str">
        <f t="shared" si="219"/>
        <v>OK</v>
      </c>
      <c r="DL187" s="313" t="str">
        <f t="shared" si="220"/>
        <v>OK</v>
      </c>
      <c r="DM187" s="153" t="str">
        <f t="shared" si="221"/>
        <v>OK</v>
      </c>
      <c r="DN187" s="153" t="str">
        <f t="shared" si="165"/>
        <v>OK</v>
      </c>
      <c r="DO187" s="154" t="str">
        <f t="shared" si="166"/>
        <v>OK</v>
      </c>
      <c r="DP187" s="153" t="str">
        <f t="shared" si="222"/>
        <v>OK</v>
      </c>
      <c r="DQ187" s="313" t="str">
        <f t="shared" si="223"/>
        <v>OK</v>
      </c>
      <c r="DR187" s="153" t="str">
        <f t="shared" si="167"/>
        <v>OK</v>
      </c>
      <c r="DS187" s="153" t="str">
        <f t="shared" si="224"/>
        <v>OK</v>
      </c>
      <c r="DT187" s="313" t="str">
        <f t="shared" si="232"/>
        <v>OK</v>
      </c>
      <c r="DU187" s="153" t="str">
        <f t="shared" si="225"/>
        <v>OK</v>
      </c>
      <c r="DV187" s="153" t="str">
        <f t="shared" si="168"/>
        <v>OK</v>
      </c>
      <c r="DW187" s="154" t="str">
        <f t="shared" si="169"/>
        <v>OK</v>
      </c>
      <c r="DX187" s="157">
        <f t="shared" si="170"/>
        <v>0</v>
      </c>
      <c r="DY187" s="156" t="str">
        <f t="shared" si="171"/>
        <v>OK</v>
      </c>
    </row>
    <row r="188" spans="1:129" ht="13" hidden="1" x14ac:dyDescent="0.3">
      <c r="A188" s="333"/>
      <c r="B188" s="333"/>
      <c r="C188" s="332" t="str">
        <f t="shared" si="181"/>
        <v>-</v>
      </c>
      <c r="D188" s="584">
        <f t="shared" si="176"/>
        <v>165</v>
      </c>
      <c r="E188" s="585"/>
      <c r="F188" s="586"/>
      <c r="G188" s="600"/>
      <c r="H188" s="587"/>
      <c r="I188" s="601"/>
      <c r="J188" s="585"/>
      <c r="K188" s="617"/>
      <c r="L188" s="602"/>
      <c r="M188" s="603"/>
      <c r="N188" s="588"/>
      <c r="O188" s="604"/>
      <c r="P188" s="605"/>
      <c r="Q188" s="588"/>
      <c r="R188" s="604"/>
      <c r="S188" s="605"/>
      <c r="T188" s="606"/>
      <c r="U188" s="606"/>
      <c r="V188" s="429" t="str">
        <f t="shared" si="178"/>
        <v/>
      </c>
      <c r="W188" s="430" t="str">
        <f t="shared" si="175"/>
        <v/>
      </c>
      <c r="X188" s="66" t="str">
        <f>IF(AND(ISNUMBER(P188),N188=FixedDim),MAX('Adjustment factors'!$S$16,0.2+0.8*P188),IF(ISTEXT(N188),VLOOKUP(N188,Afactors,2,TRUE),""))</f>
        <v/>
      </c>
      <c r="Y188" s="17" t="str">
        <f>IF(AND(ISNUMBER(S188),Q188=FixedDim),MAX('Adjustment factors'!$S$16,0.2+0.8*S188),IF(ISTEXT(Q188),VLOOKUP(Q188,Afactors,2,TRUE),""))</f>
        <v/>
      </c>
      <c r="Z188" s="297" t="str">
        <f>IF(ISBLANK(T188),"",VLOOKUP(T188,'Adjustment factors'!$R$27:$S$30,2,TRUE))</f>
        <v/>
      </c>
      <c r="AA188" s="297" t="str">
        <f>IF(ISBLANK(U188),"",VLOOKUP(U188,'Adjustment factors'!$R$27:$S$30,2,TRUE))</f>
        <v/>
      </c>
      <c r="AB188" s="480">
        <f t="shared" si="226"/>
        <v>1</v>
      </c>
      <c r="AC188" s="18" t="b">
        <f t="shared" si="183"/>
        <v>0</v>
      </c>
      <c r="AD188" s="18" t="b">
        <f t="shared" si="184"/>
        <v>0</v>
      </c>
      <c r="AE188" s="18" t="b">
        <f t="shared" si="172"/>
        <v>0</v>
      </c>
      <c r="AF188" s="17" t="str">
        <f t="shared" si="185"/>
        <v/>
      </c>
      <c r="AG188" s="18" t="str">
        <f t="shared" si="186"/>
        <v/>
      </c>
      <c r="AH188" s="17" t="str">
        <f t="shared" si="173"/>
        <v/>
      </c>
      <c r="AI188" s="297" t="e">
        <f t="shared" si="227"/>
        <v>#VALUE!</v>
      </c>
      <c r="AJ188" s="79" t="e">
        <f t="shared" si="187"/>
        <v>#VALUE!</v>
      </c>
      <c r="AK188" s="17" t="str">
        <f t="shared" si="174"/>
        <v/>
      </c>
      <c r="AL188" s="80" t="e">
        <f t="shared" si="188"/>
        <v>#VALUE!</v>
      </c>
      <c r="AM188" s="139" t="b">
        <f t="shared" si="189"/>
        <v>1</v>
      </c>
      <c r="AN188" s="139" t="b">
        <f>AND(COUNTA(E188)&gt;0,ISNUMBER(F188),OR(COUNT(G188:H188)=0,COUNT(G188:H188)=2,AND(ISNUMBER(G188),ISNUMBER(VALUE(LEFT(H188,SUM(LEN(H188)-LEN(SUBSTITUTE(H188,{"0","1","2","3","4","5","6","7","8","9","."},"")))))))),ISNUMBER(I188),ISTEXT(J188))</f>
        <v>0</v>
      </c>
      <c r="AO188" s="19" t="b">
        <f t="shared" si="190"/>
        <v>0</v>
      </c>
      <c r="AP188" s="19" t="b">
        <f t="shared" si="191"/>
        <v>1</v>
      </c>
      <c r="AQ188" s="19" t="b">
        <f>IF(AND(COUNTBLANK(E188:J188)=6,OR(AN189:AN$523)),NOT(AN188))</f>
        <v>0</v>
      </c>
      <c r="AR188" s="19" t="str">
        <f t="shared" si="192"/>
        <v/>
      </c>
      <c r="AS188" s="19" t="b">
        <f t="shared" si="193"/>
        <v>1</v>
      </c>
      <c r="AT188" s="19" t="str">
        <f t="shared" si="194"/>
        <v/>
      </c>
      <c r="AU188" s="19" t="b">
        <f t="shared" si="195"/>
        <v>1</v>
      </c>
      <c r="AV188" s="140" t="str">
        <f t="shared" si="156"/>
        <v/>
      </c>
      <c r="AW188" s="19" t="str">
        <f t="shared" si="196"/>
        <v/>
      </c>
      <c r="AX188" s="81">
        <f t="shared" si="197"/>
        <v>0</v>
      </c>
      <c r="AY188" s="81" t="str">
        <f t="shared" si="198"/>
        <v/>
      </c>
      <c r="AZ188" s="307" t="str">
        <f t="shared" si="228"/>
        <v/>
      </c>
      <c r="BA188" s="281" t="str">
        <f t="shared" si="157"/>
        <v/>
      </c>
      <c r="BB188" s="281" t="str">
        <f t="shared" si="158"/>
        <v/>
      </c>
      <c r="BC188" s="953"/>
      <c r="BD188" s="955"/>
      <c r="BE188" s="219" t="str">
        <f t="shared" si="199"/>
        <v>n/a</v>
      </c>
      <c r="BF188" s="215" t="b">
        <f t="shared" si="200"/>
        <v>0</v>
      </c>
      <c r="BG188" s="145" t="b">
        <f t="shared" si="201"/>
        <v>0</v>
      </c>
      <c r="BH188" s="145" t="b">
        <f t="shared" si="202"/>
        <v>0</v>
      </c>
      <c r="BI188" s="216" t="b">
        <f t="shared" si="203"/>
        <v>0</v>
      </c>
      <c r="BJ188" s="215" t="b">
        <f t="shared" si="204"/>
        <v>0</v>
      </c>
      <c r="BK188" s="145" t="b">
        <f t="shared" si="205"/>
        <v>0</v>
      </c>
      <c r="BL188" s="216" t="b">
        <f t="shared" si="206"/>
        <v>0</v>
      </c>
      <c r="BM188" s="217" t="str">
        <f t="shared" si="159"/>
        <v/>
      </c>
      <c r="BN188" s="146" t="str">
        <f t="shared" si="160"/>
        <v/>
      </c>
      <c r="BO188" s="147" t="str">
        <f t="shared" si="161"/>
        <v/>
      </c>
      <c r="BP188" s="148" t="str">
        <f t="shared" si="162"/>
        <v/>
      </c>
      <c r="BT188" s="50">
        <f t="shared" si="177"/>
        <v>165</v>
      </c>
      <c r="BU188" s="50" t="str">
        <f t="shared" si="180"/>
        <v>-</v>
      </c>
      <c r="BW188" s="340"/>
      <c r="BX188" s="333"/>
      <c r="BY188" s="333"/>
      <c r="BZ188" s="333"/>
      <c r="CA188" s="333"/>
      <c r="CB188" s="333"/>
      <c r="CC188" s="333"/>
      <c r="CD188" s="333"/>
      <c r="CE188" s="333"/>
      <c r="CF188" s="333"/>
      <c r="CG188" s="354">
        <f t="shared" si="207"/>
        <v>165</v>
      </c>
      <c r="CH188" s="613">
        <f t="shared" si="208"/>
        <v>0</v>
      </c>
      <c r="CI188" s="613">
        <f t="shared" si="209"/>
        <v>0</v>
      </c>
      <c r="CJ188" s="614" t="str">
        <f t="shared" si="210"/>
        <v/>
      </c>
      <c r="CK188" s="615" t="str">
        <f t="shared" si="211"/>
        <v/>
      </c>
      <c r="CL188" s="610" t="str">
        <f>IF(ISBLANK(H188),"",IF(AND(ISNUMBER(F188),ISNUMBER(G188),ISNUMBER(H188)),ROUND(F188/(H188*G188),2),ROUND(F188/(VALUE(LEFT(H188,SUM(LEN(H188)-LEN(SUBSTITUTE(H188,{"0","1","2","3","4","5","6","7","8","9","."},"")))))*G188),2)))</f>
        <v/>
      </c>
      <c r="CM188" s="616" t="str">
        <f t="shared" si="163"/>
        <v/>
      </c>
      <c r="CN188" s="616" t="str">
        <f>IF(ISNUMBER(P188),MAX('Adjustment factors'!$S$16,(0.2+0.8*P188)),IF(ISTEXT(N188),VLOOKUP(N188,Afactors,2,FALSE),""))</f>
        <v/>
      </c>
      <c r="CO188" s="616" t="str">
        <f>IF(ISNUMBER(S188),MAX('Adjustment factors'!$S$16,0.2+0.8*S188),IF(ISTEXT(Q188),VLOOKUP(Q188,Afactors,2,FALSE),""))</f>
        <v/>
      </c>
      <c r="CP188" s="611" t="str">
        <f t="shared" si="229"/>
        <v/>
      </c>
      <c r="CQ188" s="612" t="str">
        <f t="shared" si="230"/>
        <v/>
      </c>
      <c r="CR188" s="340"/>
      <c r="CS188" s="340"/>
      <c r="CT188" s="340"/>
      <c r="CU188" s="340"/>
      <c r="CV188" s="333"/>
      <c r="CW188" s="333"/>
      <c r="CX188" s="333"/>
      <c r="CY188" s="333"/>
      <c r="DA188" s="313" t="str">
        <f t="shared" si="212"/>
        <v>OK</v>
      </c>
      <c r="DB188" s="313" t="str">
        <f t="shared" si="213"/>
        <v>OK</v>
      </c>
      <c r="DC188" s="313" t="str">
        <f t="shared" si="214"/>
        <v>OK</v>
      </c>
      <c r="DD188" s="313" t="str">
        <f t="shared" si="215"/>
        <v>OK</v>
      </c>
      <c r="DE188" s="153" t="str">
        <f t="shared" si="216"/>
        <v>OK</v>
      </c>
      <c r="DF188" s="314" t="str">
        <f t="shared" si="217"/>
        <v>OK</v>
      </c>
      <c r="DG188" s="482" t="str">
        <f t="shared" si="231"/>
        <v>OK</v>
      </c>
      <c r="DH188" s="482" t="str">
        <f>IF(OR(AND(T188='Adjustment factors'!$R$28,'Class 3, 5-9'!U188='Adjustment factors'!$R$29),AND('Class 3, 5-9'!T188='Adjustment factors'!$R$29,'Class 3, 5-9'!U188='Adjustment factors'!$R$28)),"Invalid combination of adjustment factors",IF(AND(T188=U188,NOT(ISBLANK(T188)),NOT(ISBLANK(U188))),"Same colour factor selected twice","OK"))</f>
        <v>OK</v>
      </c>
      <c r="DI188" s="313" t="str">
        <f t="shared" si="218"/>
        <v>OK</v>
      </c>
      <c r="DJ188" s="153" t="str">
        <f t="shared" si="164"/>
        <v>OK</v>
      </c>
      <c r="DK188" s="153" t="str">
        <f t="shared" si="219"/>
        <v>OK</v>
      </c>
      <c r="DL188" s="313" t="str">
        <f t="shared" si="220"/>
        <v>OK</v>
      </c>
      <c r="DM188" s="153" t="str">
        <f t="shared" si="221"/>
        <v>OK</v>
      </c>
      <c r="DN188" s="153" t="str">
        <f t="shared" si="165"/>
        <v>OK</v>
      </c>
      <c r="DO188" s="154" t="str">
        <f t="shared" si="166"/>
        <v>OK</v>
      </c>
      <c r="DP188" s="153" t="str">
        <f t="shared" si="222"/>
        <v>OK</v>
      </c>
      <c r="DQ188" s="313" t="str">
        <f t="shared" si="223"/>
        <v>OK</v>
      </c>
      <c r="DR188" s="153" t="str">
        <f t="shared" si="167"/>
        <v>OK</v>
      </c>
      <c r="DS188" s="153" t="str">
        <f t="shared" si="224"/>
        <v>OK</v>
      </c>
      <c r="DT188" s="313" t="str">
        <f t="shared" si="232"/>
        <v>OK</v>
      </c>
      <c r="DU188" s="153" t="str">
        <f t="shared" si="225"/>
        <v>OK</v>
      </c>
      <c r="DV188" s="153" t="str">
        <f t="shared" si="168"/>
        <v>OK</v>
      </c>
      <c r="DW188" s="154" t="str">
        <f t="shared" si="169"/>
        <v>OK</v>
      </c>
      <c r="DX188" s="157">
        <f t="shared" si="170"/>
        <v>0</v>
      </c>
      <c r="DY188" s="156" t="str">
        <f t="shared" si="171"/>
        <v>OK</v>
      </c>
    </row>
    <row r="189" spans="1:129" ht="13" hidden="1" x14ac:dyDescent="0.3">
      <c r="A189" s="333"/>
      <c r="B189" s="333"/>
      <c r="C189" s="332" t="str">
        <f t="shared" si="181"/>
        <v>-</v>
      </c>
      <c r="D189" s="584">
        <f t="shared" si="176"/>
        <v>166</v>
      </c>
      <c r="E189" s="585"/>
      <c r="F189" s="586"/>
      <c r="G189" s="600"/>
      <c r="H189" s="587"/>
      <c r="I189" s="601"/>
      <c r="J189" s="585"/>
      <c r="K189" s="617"/>
      <c r="L189" s="602"/>
      <c r="M189" s="603"/>
      <c r="N189" s="588"/>
      <c r="O189" s="604"/>
      <c r="P189" s="605"/>
      <c r="Q189" s="588"/>
      <c r="R189" s="604"/>
      <c r="S189" s="605"/>
      <c r="T189" s="606"/>
      <c r="U189" s="606"/>
      <c r="V189" s="429" t="str">
        <f t="shared" si="178"/>
        <v/>
      </c>
      <c r="W189" s="430" t="str">
        <f t="shared" si="175"/>
        <v/>
      </c>
      <c r="X189" s="66" t="str">
        <f>IF(AND(ISNUMBER(P189),N189=FixedDim),MAX('Adjustment factors'!$S$16,0.2+0.8*P189),IF(ISTEXT(N189),VLOOKUP(N189,Afactors,2,TRUE),""))</f>
        <v/>
      </c>
      <c r="Y189" s="17" t="str">
        <f>IF(AND(ISNUMBER(S189),Q189=FixedDim),MAX('Adjustment factors'!$S$16,0.2+0.8*S189),IF(ISTEXT(Q189),VLOOKUP(Q189,Afactors,2,TRUE),""))</f>
        <v/>
      </c>
      <c r="Z189" s="297" t="str">
        <f>IF(ISBLANK(T189),"",VLOOKUP(T189,'Adjustment factors'!$R$27:$S$30,2,TRUE))</f>
        <v/>
      </c>
      <c r="AA189" s="297" t="str">
        <f>IF(ISBLANK(U189),"",VLOOKUP(U189,'Adjustment factors'!$R$27:$S$30,2,TRUE))</f>
        <v/>
      </c>
      <c r="AB189" s="480">
        <f t="shared" si="226"/>
        <v>1</v>
      </c>
      <c r="AC189" s="18" t="b">
        <f t="shared" si="183"/>
        <v>0</v>
      </c>
      <c r="AD189" s="18" t="b">
        <f t="shared" si="184"/>
        <v>0</v>
      </c>
      <c r="AE189" s="18" t="b">
        <f t="shared" si="172"/>
        <v>0</v>
      </c>
      <c r="AF189" s="17" t="str">
        <f t="shared" si="185"/>
        <v/>
      </c>
      <c r="AG189" s="18" t="str">
        <f t="shared" si="186"/>
        <v/>
      </c>
      <c r="AH189" s="17" t="str">
        <f t="shared" si="173"/>
        <v/>
      </c>
      <c r="AI189" s="297" t="e">
        <f t="shared" si="227"/>
        <v>#VALUE!</v>
      </c>
      <c r="AJ189" s="79" t="e">
        <f t="shared" si="187"/>
        <v>#VALUE!</v>
      </c>
      <c r="AK189" s="17" t="str">
        <f t="shared" si="174"/>
        <v/>
      </c>
      <c r="AL189" s="80" t="e">
        <f t="shared" si="188"/>
        <v>#VALUE!</v>
      </c>
      <c r="AM189" s="139" t="b">
        <f t="shared" si="189"/>
        <v>1</v>
      </c>
      <c r="AN189" s="139" t="b">
        <f>AND(COUNTA(E189)&gt;0,ISNUMBER(F189),OR(COUNT(G189:H189)=0,COUNT(G189:H189)=2,AND(ISNUMBER(G189),ISNUMBER(VALUE(LEFT(H189,SUM(LEN(H189)-LEN(SUBSTITUTE(H189,{"0","1","2","3","4","5","6","7","8","9","."},"")))))))),ISNUMBER(I189),ISTEXT(J189))</f>
        <v>0</v>
      </c>
      <c r="AO189" s="19" t="b">
        <f t="shared" si="190"/>
        <v>0</v>
      </c>
      <c r="AP189" s="19" t="b">
        <f t="shared" si="191"/>
        <v>1</v>
      </c>
      <c r="AQ189" s="19" t="b">
        <f>IF(AND(COUNTBLANK(E189:J189)=6,OR(AN190:AN$523)),NOT(AN189))</f>
        <v>0</v>
      </c>
      <c r="AR189" s="19" t="str">
        <f t="shared" si="192"/>
        <v/>
      </c>
      <c r="AS189" s="19" t="b">
        <f t="shared" si="193"/>
        <v>1</v>
      </c>
      <c r="AT189" s="19" t="str">
        <f t="shared" si="194"/>
        <v/>
      </c>
      <c r="AU189" s="19" t="b">
        <f t="shared" si="195"/>
        <v>1</v>
      </c>
      <c r="AV189" s="140" t="str">
        <f t="shared" ref="AV189:AV223" si="233">IF(AND(AM189,AN189,AR189,AT189),IF(ISNUMBER(AG189),ROUND(AL189,0),ROUND(AJ189,0)),"")</f>
        <v/>
      </c>
      <c r="AW189" s="19" t="str">
        <f t="shared" si="196"/>
        <v/>
      </c>
      <c r="AX189" s="81">
        <f t="shared" si="197"/>
        <v>0</v>
      </c>
      <c r="AY189" s="81" t="str">
        <f t="shared" si="198"/>
        <v/>
      </c>
      <c r="AZ189" s="307" t="str">
        <f t="shared" si="228"/>
        <v/>
      </c>
      <c r="BA189" s="281" t="str">
        <f t="shared" ref="BA189:BA223" si="234">IF(DI189&lt;&gt;"OK",DI189,IF(DJ189&lt;&gt;"OK",DJ189,IF(DK189&lt;&gt;"OK",DK189,IF(DL189&lt;&gt;"OK",DL189,IF(DM189&lt;&gt;"OK",DM189,IF(DN189&lt;&gt;"OK",DN189,IF(DO189&lt;&gt;"OK",DO189,BB189)))))))</f>
        <v/>
      </c>
      <c r="BB189" s="281" t="str">
        <f t="shared" ref="BB189:BB223" si="235">IF(DP189&lt;&gt;"OK",DP189,IF(DQ189&lt;&gt;"OK",DQ189,IF(DR189&lt;&gt;"OK",DR189,IF(DS189&lt;&gt;"OK",DS189,IF(DT189&lt;&gt;"OK",DT189,IF(DU189&lt;&gt;"OK",DU189,IF(DV189&lt;&gt;"OK",DV189,IF(DW189&lt;&gt;"OK",DW189,IF(DY189&lt;&gt;"OK",DY189,"")))))))))</f>
        <v/>
      </c>
      <c r="BC189" s="953"/>
      <c r="BD189" s="955"/>
      <c r="BE189" s="219" t="str">
        <f t="shared" si="199"/>
        <v>n/a</v>
      </c>
      <c r="BF189" s="215" t="b">
        <f t="shared" si="200"/>
        <v>0</v>
      </c>
      <c r="BG189" s="145" t="b">
        <f t="shared" si="201"/>
        <v>0</v>
      </c>
      <c r="BH189" s="145" t="b">
        <f t="shared" si="202"/>
        <v>0</v>
      </c>
      <c r="BI189" s="216" t="b">
        <f t="shared" si="203"/>
        <v>0</v>
      </c>
      <c r="BJ189" s="215" t="b">
        <f t="shared" si="204"/>
        <v>0</v>
      </c>
      <c r="BK189" s="145" t="b">
        <f t="shared" si="205"/>
        <v>0</v>
      </c>
      <c r="BL189" s="216" t="b">
        <f t="shared" si="206"/>
        <v>0</v>
      </c>
      <c r="BM189" s="217" t="str">
        <f t="shared" ref="BM189:BM223" si="236">IF(AN189,AX189/ADIPLone,"")</f>
        <v/>
      </c>
      <c r="BN189" s="146" t="str">
        <f t="shared" ref="BN189:BN223" si="237">IF(AN189,percentage,"")</f>
        <v/>
      </c>
      <c r="BO189" s="147" t="str">
        <f t="shared" ref="BO189:BO223" si="238">IF(AN189,MIPDLONE&gt;=ADIPLone,"")</f>
        <v/>
      </c>
      <c r="BP189" s="148" t="str">
        <f t="shared" ref="BP189:BP223" si="239">IF(AND(AN189,AR189,AT189),TEXT(BM189,"0%")&amp;" of "&amp;TEXT(BN189*100,"General")&amp;"%","")</f>
        <v/>
      </c>
      <c r="BT189" s="50">
        <f t="shared" si="177"/>
        <v>166</v>
      </c>
      <c r="BU189" s="50" t="str">
        <f t="shared" si="180"/>
        <v>-</v>
      </c>
      <c r="BW189" s="340"/>
      <c r="BX189" s="333"/>
      <c r="BY189" s="333"/>
      <c r="BZ189" s="333"/>
      <c r="CA189" s="333"/>
      <c r="CB189" s="333"/>
      <c r="CC189" s="333"/>
      <c r="CD189" s="333"/>
      <c r="CE189" s="333"/>
      <c r="CF189" s="333"/>
      <c r="CG189" s="354">
        <f t="shared" si="207"/>
        <v>166</v>
      </c>
      <c r="CH189" s="613">
        <f t="shared" si="208"/>
        <v>0</v>
      </c>
      <c r="CI189" s="613">
        <f t="shared" si="209"/>
        <v>0</v>
      </c>
      <c r="CJ189" s="614" t="str">
        <f t="shared" si="210"/>
        <v/>
      </c>
      <c r="CK189" s="615" t="str">
        <f t="shared" si="211"/>
        <v/>
      </c>
      <c r="CL189" s="610" t="str">
        <f>IF(ISBLANK(H189),"",IF(AND(ISNUMBER(F189),ISNUMBER(G189),ISNUMBER(H189)),ROUND(F189/(H189*G189),2),ROUND(F189/(VALUE(LEFT(H189,SUM(LEN(H189)-LEN(SUBSTITUTE(H189,{"0","1","2","3","4","5","6","7","8","9","."},"")))))*G189),2)))</f>
        <v/>
      </c>
      <c r="CM189" s="616" t="str">
        <f t="shared" ref="CM189:CM223" si="240">IF(CL189&lt;1.5,ROUND(0.5+CL189/3,2),"")</f>
        <v/>
      </c>
      <c r="CN189" s="616" t="str">
        <f>IF(ISNUMBER(P189),MAX('Adjustment factors'!$S$16,(0.2+0.8*P189)),IF(ISTEXT(N189),VLOOKUP(N189,Afactors,2,FALSE),""))</f>
        <v/>
      </c>
      <c r="CO189" s="616" t="str">
        <f>IF(ISNUMBER(S189),MAX('Adjustment factors'!$S$16,0.2+0.8*S189),IF(ISTEXT(Q189),VLOOKUP(Q189,Afactors,2,FALSE),""))</f>
        <v/>
      </c>
      <c r="CP189" s="611" t="str">
        <f t="shared" si="229"/>
        <v/>
      </c>
      <c r="CQ189" s="612" t="str">
        <f t="shared" si="230"/>
        <v/>
      </c>
      <c r="CR189" s="340"/>
      <c r="CS189" s="340"/>
      <c r="CT189" s="340"/>
      <c r="CU189" s="340"/>
      <c r="CV189" s="333"/>
      <c r="CW189" s="333"/>
      <c r="CX189" s="333"/>
      <c r="CY189" s="333"/>
      <c r="DA189" s="313" t="str">
        <f t="shared" si="212"/>
        <v>OK</v>
      </c>
      <c r="DB189" s="313" t="str">
        <f t="shared" si="213"/>
        <v>OK</v>
      </c>
      <c r="DC189" s="313" t="str">
        <f t="shared" si="214"/>
        <v>OK</v>
      </c>
      <c r="DD189" s="313" t="str">
        <f t="shared" si="215"/>
        <v>OK</v>
      </c>
      <c r="DE189" s="153" t="str">
        <f t="shared" si="216"/>
        <v>OK</v>
      </c>
      <c r="DF189" s="314" t="str">
        <f t="shared" si="217"/>
        <v>OK</v>
      </c>
      <c r="DG189" s="482" t="str">
        <f t="shared" si="231"/>
        <v>OK</v>
      </c>
      <c r="DH189" s="482" t="str">
        <f>IF(OR(AND(T189='Adjustment factors'!$R$28,'Class 3, 5-9'!U189='Adjustment factors'!$R$29),AND('Class 3, 5-9'!T189='Adjustment factors'!$R$29,'Class 3, 5-9'!U189='Adjustment factors'!$R$28)),"Invalid combination of adjustment factors",IF(AND(T189=U189,NOT(ISBLANK(T189)),NOT(ISBLANK(U189))),"Same colour factor selected twice","OK"))</f>
        <v>OK</v>
      </c>
      <c r="DI189" s="313" t="str">
        <f t="shared" si="218"/>
        <v>OK</v>
      </c>
      <c r="DJ189" s="153" t="str">
        <f t="shared" ref="DJ189:DJ223" si="241">"OK"</f>
        <v>OK</v>
      </c>
      <c r="DK189" s="153" t="str">
        <f t="shared" si="219"/>
        <v>OK</v>
      </c>
      <c r="DL189" s="313" t="str">
        <f t="shared" si="220"/>
        <v>OK</v>
      </c>
      <c r="DM189" s="153" t="str">
        <f t="shared" si="221"/>
        <v>OK</v>
      </c>
      <c r="DN189" s="153" t="str">
        <f t="shared" ref="DN189:DN223" si="242">IF(ISNUMBER(FIND("NA",$N189)),"Adjustment Factor not applicable","OK")</f>
        <v>OK</v>
      </c>
      <c r="DO189" s="154" t="str">
        <f t="shared" ref="DO189:DO223" si="243">"OK"</f>
        <v>OK</v>
      </c>
      <c r="DP189" s="153" t="str">
        <f t="shared" si="222"/>
        <v>OK</v>
      </c>
      <c r="DQ189" s="313" t="str">
        <f t="shared" si="223"/>
        <v>OK</v>
      </c>
      <c r="DR189" s="153" t="str">
        <f t="shared" ref="DR189:DR223" si="244">"OK"</f>
        <v>OK</v>
      </c>
      <c r="DS189" s="153" t="str">
        <f t="shared" si="224"/>
        <v>OK</v>
      </c>
      <c r="DT189" s="313" t="str">
        <f t="shared" si="232"/>
        <v>OK</v>
      </c>
      <c r="DU189" s="153" t="str">
        <f t="shared" si="225"/>
        <v>OK</v>
      </c>
      <c r="DV189" s="153" t="str">
        <f t="shared" ref="DV189:DV223" si="245">IF(ISNUMBER(FIND("NA",$Q189)),"Adjustment Factor not applicable","OK")</f>
        <v>OK</v>
      </c>
      <c r="DW189" s="154" t="str">
        <f t="shared" ref="DW189:DW223" si="246">"OK"</f>
        <v>OK</v>
      </c>
      <c r="DX189" s="157">
        <f t="shared" ref="DX189:DX223" si="247">COUNTIF(DA189:DW189,"&lt;&gt;OK")</f>
        <v>0</v>
      </c>
      <c r="DY189" s="156" t="str">
        <f t="shared" ref="DY189:DY223" si="248">IF(AQ189,"ROW SKIPPED (OK if intentional)","OK")</f>
        <v>OK</v>
      </c>
    </row>
    <row r="190" spans="1:129" ht="13" hidden="1" x14ac:dyDescent="0.3">
      <c r="A190" s="333"/>
      <c r="B190" s="333"/>
      <c r="C190" s="332" t="str">
        <f t="shared" si="181"/>
        <v>-</v>
      </c>
      <c r="D190" s="584">
        <f t="shared" si="176"/>
        <v>167</v>
      </c>
      <c r="E190" s="585"/>
      <c r="F190" s="586"/>
      <c r="G190" s="600"/>
      <c r="H190" s="587"/>
      <c r="I190" s="601"/>
      <c r="J190" s="585"/>
      <c r="K190" s="617"/>
      <c r="L190" s="602"/>
      <c r="M190" s="603"/>
      <c r="N190" s="588"/>
      <c r="O190" s="604"/>
      <c r="P190" s="605"/>
      <c r="Q190" s="588"/>
      <c r="R190" s="604"/>
      <c r="S190" s="605"/>
      <c r="T190" s="606"/>
      <c r="U190" s="606"/>
      <c r="V190" s="429" t="str">
        <f t="shared" si="178"/>
        <v/>
      </c>
      <c r="W190" s="430" t="str">
        <f t="shared" si="175"/>
        <v/>
      </c>
      <c r="X190" s="66" t="str">
        <f>IF(AND(ISNUMBER(P190),N190=FixedDim),MAX('Adjustment factors'!$S$16,0.2+0.8*P190),IF(ISTEXT(N190),VLOOKUP(N190,Afactors,2,TRUE),""))</f>
        <v/>
      </c>
      <c r="Y190" s="17" t="str">
        <f>IF(AND(ISNUMBER(S190),Q190=FixedDim),MAX('Adjustment factors'!$S$16,0.2+0.8*S190),IF(ISTEXT(Q190),VLOOKUP(Q190,Afactors,2,TRUE),""))</f>
        <v/>
      </c>
      <c r="Z190" s="297" t="str">
        <f>IF(ISBLANK(T190),"",VLOOKUP(T190,'Adjustment factors'!$R$27:$S$30,2,TRUE))</f>
        <v/>
      </c>
      <c r="AA190" s="297" t="str">
        <f>IF(ISBLANK(U190),"",VLOOKUP(U190,'Adjustment factors'!$R$27:$S$30,2,TRUE))</f>
        <v/>
      </c>
      <c r="AB190" s="480">
        <f t="shared" si="226"/>
        <v>1</v>
      </c>
      <c r="AC190" s="18" t="b">
        <f t="shared" si="183"/>
        <v>0</v>
      </c>
      <c r="AD190" s="18" t="b">
        <f t="shared" si="184"/>
        <v>0</v>
      </c>
      <c r="AE190" s="18" t="b">
        <f t="shared" ref="AE190:AE223" si="249">ISNUMBER(CM190)</f>
        <v>0</v>
      </c>
      <c r="AF190" s="17" t="str">
        <f t="shared" si="185"/>
        <v/>
      </c>
      <c r="AG190" s="18" t="str">
        <f t="shared" si="186"/>
        <v/>
      </c>
      <c r="AH190" s="17" t="str">
        <f t="shared" ref="AH190:AH224" si="250">IF(AE190,CK190/CM190,"")</f>
        <v/>
      </c>
      <c r="AI190" s="297" t="e">
        <f t="shared" si="227"/>
        <v>#VALUE!</v>
      </c>
      <c r="AJ190" s="79" t="e">
        <f t="shared" si="187"/>
        <v>#VALUE!</v>
      </c>
      <c r="AK190" s="17" t="str">
        <f t="shared" si="174"/>
        <v/>
      </c>
      <c r="AL190" s="80" t="e">
        <f t="shared" si="188"/>
        <v>#VALUE!</v>
      </c>
      <c r="AM190" s="139" t="b">
        <f t="shared" si="189"/>
        <v>1</v>
      </c>
      <c r="AN190" s="139" t="b">
        <f>AND(COUNTA(E190)&gt;0,ISNUMBER(F190),OR(COUNT(G190:H190)=0,COUNT(G190:H190)=2,AND(ISNUMBER(G190),ISNUMBER(VALUE(LEFT(H190,SUM(LEN(H190)-LEN(SUBSTITUTE(H190,{"0","1","2","3","4","5","6","7","8","9","."},"")))))))),ISNUMBER(I190),ISTEXT(J190))</f>
        <v>0</v>
      </c>
      <c r="AO190" s="19" t="b">
        <f t="shared" si="190"/>
        <v>0</v>
      </c>
      <c r="AP190" s="19" t="b">
        <f t="shared" si="191"/>
        <v>1</v>
      </c>
      <c r="AQ190" s="19" t="b">
        <f>IF(AND(COUNTBLANK(E190:J190)=6,OR(AN191:AN$523)),NOT(AN190))</f>
        <v>0</v>
      </c>
      <c r="AR190" s="19" t="str">
        <f t="shared" si="192"/>
        <v/>
      </c>
      <c r="AS190" s="19" t="b">
        <f t="shared" si="193"/>
        <v>1</v>
      </c>
      <c r="AT190" s="19" t="str">
        <f t="shared" si="194"/>
        <v/>
      </c>
      <c r="AU190" s="19" t="b">
        <f t="shared" si="195"/>
        <v>1</v>
      </c>
      <c r="AV190" s="140" t="str">
        <f t="shared" si="233"/>
        <v/>
      </c>
      <c r="AW190" s="19" t="str">
        <f t="shared" si="196"/>
        <v/>
      </c>
      <c r="AX190" s="81">
        <f t="shared" si="197"/>
        <v>0</v>
      </c>
      <c r="AY190" s="81" t="str">
        <f t="shared" si="198"/>
        <v/>
      </c>
      <c r="AZ190" s="307" t="str">
        <f t="shared" si="228"/>
        <v/>
      </c>
      <c r="BA190" s="281" t="str">
        <f t="shared" si="234"/>
        <v/>
      </c>
      <c r="BB190" s="281" t="str">
        <f t="shared" si="235"/>
        <v/>
      </c>
      <c r="BC190" s="953"/>
      <c r="BD190" s="955"/>
      <c r="BE190" s="219" t="str">
        <f t="shared" si="199"/>
        <v>n/a</v>
      </c>
      <c r="BF190" s="215" t="b">
        <f t="shared" si="200"/>
        <v>0</v>
      </c>
      <c r="BG190" s="145" t="b">
        <f t="shared" si="201"/>
        <v>0</v>
      </c>
      <c r="BH190" s="145" t="b">
        <f t="shared" si="202"/>
        <v>0</v>
      </c>
      <c r="BI190" s="216" t="b">
        <f t="shared" si="203"/>
        <v>0</v>
      </c>
      <c r="BJ190" s="215" t="b">
        <f t="shared" si="204"/>
        <v>0</v>
      </c>
      <c r="BK190" s="145" t="b">
        <f t="shared" si="205"/>
        <v>0</v>
      </c>
      <c r="BL190" s="216" t="b">
        <f t="shared" si="206"/>
        <v>0</v>
      </c>
      <c r="BM190" s="217" t="str">
        <f t="shared" si="236"/>
        <v/>
      </c>
      <c r="BN190" s="146" t="str">
        <f t="shared" si="237"/>
        <v/>
      </c>
      <c r="BO190" s="147" t="str">
        <f t="shared" si="238"/>
        <v/>
      </c>
      <c r="BP190" s="148" t="str">
        <f t="shared" si="239"/>
        <v/>
      </c>
      <c r="BT190" s="50">
        <f t="shared" si="177"/>
        <v>167</v>
      </c>
      <c r="BU190" s="50" t="str">
        <f t="shared" si="180"/>
        <v>-</v>
      </c>
      <c r="BW190" s="340"/>
      <c r="BX190" s="333"/>
      <c r="BY190" s="333"/>
      <c r="BZ190" s="333"/>
      <c r="CA190" s="333"/>
      <c r="CB190" s="333"/>
      <c r="CC190" s="333"/>
      <c r="CD190" s="333"/>
      <c r="CE190" s="333"/>
      <c r="CF190" s="333"/>
      <c r="CG190" s="354">
        <f t="shared" si="207"/>
        <v>167</v>
      </c>
      <c r="CH190" s="613">
        <f t="shared" si="208"/>
        <v>0</v>
      </c>
      <c r="CI190" s="613">
        <f t="shared" si="209"/>
        <v>0</v>
      </c>
      <c r="CJ190" s="614" t="str">
        <f t="shared" si="210"/>
        <v/>
      </c>
      <c r="CK190" s="615" t="str">
        <f t="shared" si="211"/>
        <v/>
      </c>
      <c r="CL190" s="610" t="str">
        <f>IF(ISBLANK(H190),"",IF(AND(ISNUMBER(F190),ISNUMBER(G190),ISNUMBER(H190)),ROUND(F190/(H190*G190),2),ROUND(F190/(VALUE(LEFT(H190,SUM(LEN(H190)-LEN(SUBSTITUTE(H190,{"0","1","2","3","4","5","6","7","8","9","."},"")))))*G190),2)))</f>
        <v/>
      </c>
      <c r="CM190" s="616" t="str">
        <f t="shared" si="240"/>
        <v/>
      </c>
      <c r="CN190" s="616" t="str">
        <f>IF(ISNUMBER(P190),MAX('Adjustment factors'!$S$16,(0.2+0.8*P190)),IF(ISTEXT(N190),VLOOKUP(N190,Afactors,2,FALSE),""))</f>
        <v/>
      </c>
      <c r="CO190" s="616" t="str">
        <f>IF(ISNUMBER(S190),MAX('Adjustment factors'!$S$16,0.2+0.8*S190),IF(ISTEXT(Q190),VLOOKUP(Q190,Afactors,2,FALSE),""))</f>
        <v/>
      </c>
      <c r="CP190" s="611" t="str">
        <f t="shared" si="229"/>
        <v/>
      </c>
      <c r="CQ190" s="612" t="str">
        <f t="shared" si="230"/>
        <v/>
      </c>
      <c r="CR190" s="340"/>
      <c r="CS190" s="340"/>
      <c r="CT190" s="340"/>
      <c r="CU190" s="340"/>
      <c r="CV190" s="333"/>
      <c r="CW190" s="333"/>
      <c r="CX190" s="333"/>
      <c r="CY190" s="333"/>
      <c r="DA190" s="313" t="str">
        <f t="shared" si="212"/>
        <v>OK</v>
      </c>
      <c r="DB190" s="313" t="str">
        <f t="shared" si="213"/>
        <v>OK</v>
      </c>
      <c r="DC190" s="313" t="str">
        <f t="shared" si="214"/>
        <v>OK</v>
      </c>
      <c r="DD190" s="313" t="str">
        <f t="shared" si="215"/>
        <v>OK</v>
      </c>
      <c r="DE190" s="153" t="str">
        <f t="shared" si="216"/>
        <v>OK</v>
      </c>
      <c r="DF190" s="314" t="str">
        <f t="shared" si="217"/>
        <v>OK</v>
      </c>
      <c r="DG190" s="482" t="str">
        <f t="shared" si="231"/>
        <v>OK</v>
      </c>
      <c r="DH190" s="482" t="str">
        <f>IF(OR(AND(T190='Adjustment factors'!$R$28,'Class 3, 5-9'!U190='Adjustment factors'!$R$29),AND('Class 3, 5-9'!T190='Adjustment factors'!$R$29,'Class 3, 5-9'!U190='Adjustment factors'!$R$28)),"Invalid combination of adjustment factors",IF(AND(T190=U190,NOT(ISBLANK(T190)),NOT(ISBLANK(U190))),"Same colour factor selected twice","OK"))</f>
        <v>OK</v>
      </c>
      <c r="DI190" s="313" t="str">
        <f t="shared" si="218"/>
        <v>OK</v>
      </c>
      <c r="DJ190" s="153" t="str">
        <f t="shared" si="241"/>
        <v>OK</v>
      </c>
      <c r="DK190" s="153" t="str">
        <f t="shared" si="219"/>
        <v>OK</v>
      </c>
      <c r="DL190" s="313" t="str">
        <f t="shared" si="220"/>
        <v>OK</v>
      </c>
      <c r="DM190" s="153" t="str">
        <f t="shared" si="221"/>
        <v>OK</v>
      </c>
      <c r="DN190" s="153" t="str">
        <f t="shared" si="242"/>
        <v>OK</v>
      </c>
      <c r="DO190" s="154" t="str">
        <f t="shared" si="243"/>
        <v>OK</v>
      </c>
      <c r="DP190" s="153" t="str">
        <f t="shared" si="222"/>
        <v>OK</v>
      </c>
      <c r="DQ190" s="313" t="str">
        <f t="shared" si="223"/>
        <v>OK</v>
      </c>
      <c r="DR190" s="153" t="str">
        <f t="shared" si="244"/>
        <v>OK</v>
      </c>
      <c r="DS190" s="153" t="str">
        <f t="shared" si="224"/>
        <v>OK</v>
      </c>
      <c r="DT190" s="313" t="str">
        <f t="shared" si="232"/>
        <v>OK</v>
      </c>
      <c r="DU190" s="153" t="str">
        <f t="shared" si="225"/>
        <v>OK</v>
      </c>
      <c r="DV190" s="153" t="str">
        <f t="shared" si="245"/>
        <v>OK</v>
      </c>
      <c r="DW190" s="154" t="str">
        <f t="shared" si="246"/>
        <v>OK</v>
      </c>
      <c r="DX190" s="157">
        <f t="shared" si="247"/>
        <v>0</v>
      </c>
      <c r="DY190" s="156" t="str">
        <f t="shared" si="248"/>
        <v>OK</v>
      </c>
    </row>
    <row r="191" spans="1:129" ht="13" hidden="1" x14ac:dyDescent="0.3">
      <c r="A191" s="333"/>
      <c r="B191" s="333"/>
      <c r="C191" s="332" t="str">
        <f t="shared" si="181"/>
        <v>-</v>
      </c>
      <c r="D191" s="584">
        <f t="shared" si="176"/>
        <v>168</v>
      </c>
      <c r="E191" s="585"/>
      <c r="F191" s="586"/>
      <c r="G191" s="600"/>
      <c r="H191" s="587"/>
      <c r="I191" s="601"/>
      <c r="J191" s="585"/>
      <c r="K191" s="617"/>
      <c r="L191" s="602"/>
      <c r="M191" s="603"/>
      <c r="N191" s="588"/>
      <c r="O191" s="604"/>
      <c r="P191" s="605"/>
      <c r="Q191" s="588"/>
      <c r="R191" s="604"/>
      <c r="S191" s="605"/>
      <c r="T191" s="606"/>
      <c r="U191" s="606"/>
      <c r="V191" s="429" t="str">
        <f t="shared" si="178"/>
        <v/>
      </c>
      <c r="W191" s="430" t="str">
        <f t="shared" si="175"/>
        <v/>
      </c>
      <c r="X191" s="66" t="str">
        <f>IF(AND(ISNUMBER(P191),N191=FixedDim),MAX('Adjustment factors'!$S$16,0.2+0.8*P191),IF(ISTEXT(N191),VLOOKUP(N191,Afactors,2,TRUE),""))</f>
        <v/>
      </c>
      <c r="Y191" s="17" t="str">
        <f>IF(AND(ISNUMBER(S191),Q191=FixedDim),MAX('Adjustment factors'!$S$16,0.2+0.8*S191),IF(ISTEXT(Q191),VLOOKUP(Q191,Afactors,2,TRUE),""))</f>
        <v/>
      </c>
      <c r="Z191" s="297" t="str">
        <f>IF(ISBLANK(T191),"",VLOOKUP(T191,'Adjustment factors'!$R$27:$S$30,2,TRUE))</f>
        <v/>
      </c>
      <c r="AA191" s="297" t="str">
        <f>IF(ISBLANK(U191),"",VLOOKUP(U191,'Adjustment factors'!$R$27:$S$30,2,TRUE))</f>
        <v/>
      </c>
      <c r="AB191" s="480">
        <f t="shared" si="226"/>
        <v>1</v>
      </c>
      <c r="AC191" s="18" t="b">
        <f t="shared" si="183"/>
        <v>0</v>
      </c>
      <c r="AD191" s="18" t="b">
        <f t="shared" si="184"/>
        <v>0</v>
      </c>
      <c r="AE191" s="18" t="b">
        <f t="shared" si="249"/>
        <v>0</v>
      </c>
      <c r="AF191" s="17" t="str">
        <f t="shared" si="185"/>
        <v/>
      </c>
      <c r="AG191" s="18" t="str">
        <f t="shared" si="186"/>
        <v/>
      </c>
      <c r="AH191" s="17" t="str">
        <f t="shared" si="250"/>
        <v/>
      </c>
      <c r="AI191" s="297" t="e">
        <f t="shared" si="227"/>
        <v>#VALUE!</v>
      </c>
      <c r="AJ191" s="79" t="e">
        <f t="shared" si="187"/>
        <v>#VALUE!</v>
      </c>
      <c r="AK191" s="17" t="str">
        <f t="shared" ref="AK191:AK223" si="251">IF(AD191,(AF191*(AG191+((1-AG191)/2))),"")</f>
        <v/>
      </c>
      <c r="AL191" s="80" t="e">
        <f t="shared" si="188"/>
        <v>#VALUE!</v>
      </c>
      <c r="AM191" s="139" t="b">
        <f t="shared" si="189"/>
        <v>1</v>
      </c>
      <c r="AN191" s="139" t="b">
        <f>AND(COUNTA(E191)&gt;0,ISNUMBER(F191),OR(COUNT(G191:H191)=0,COUNT(G191:H191)=2,AND(ISNUMBER(G191),ISNUMBER(VALUE(LEFT(H191,SUM(LEN(H191)-LEN(SUBSTITUTE(H191,{"0","1","2","3","4","5","6","7","8","9","."},"")))))))),ISNUMBER(I191),ISTEXT(J191))</f>
        <v>0</v>
      </c>
      <c r="AO191" s="19" t="b">
        <f t="shared" si="190"/>
        <v>0</v>
      </c>
      <c r="AP191" s="19" t="b">
        <f t="shared" si="191"/>
        <v>1</v>
      </c>
      <c r="AQ191" s="19" t="b">
        <f>IF(AND(COUNTBLANK(E191:J191)=6,OR(AN192:AN$523)),NOT(AN191))</f>
        <v>0</v>
      </c>
      <c r="AR191" s="19" t="str">
        <f t="shared" si="192"/>
        <v/>
      </c>
      <c r="AS191" s="19" t="b">
        <f t="shared" si="193"/>
        <v>1</v>
      </c>
      <c r="AT191" s="19" t="str">
        <f t="shared" si="194"/>
        <v/>
      </c>
      <c r="AU191" s="19" t="b">
        <f t="shared" si="195"/>
        <v>1</v>
      </c>
      <c r="AV191" s="140" t="str">
        <f t="shared" si="233"/>
        <v/>
      </c>
      <c r="AW191" s="19" t="str">
        <f t="shared" si="196"/>
        <v/>
      </c>
      <c r="AX191" s="81">
        <f t="shared" si="197"/>
        <v>0</v>
      </c>
      <c r="AY191" s="81" t="str">
        <f t="shared" si="198"/>
        <v/>
      </c>
      <c r="AZ191" s="307" t="str">
        <f t="shared" si="228"/>
        <v/>
      </c>
      <c r="BA191" s="281" t="str">
        <f t="shared" si="234"/>
        <v/>
      </c>
      <c r="BB191" s="281" t="str">
        <f t="shared" si="235"/>
        <v/>
      </c>
      <c r="BC191" s="953"/>
      <c r="BD191" s="955"/>
      <c r="BE191" s="219" t="str">
        <f t="shared" si="199"/>
        <v>n/a</v>
      </c>
      <c r="BF191" s="215" t="b">
        <f t="shared" si="200"/>
        <v>0</v>
      </c>
      <c r="BG191" s="145" t="b">
        <f t="shared" si="201"/>
        <v>0</v>
      </c>
      <c r="BH191" s="145" t="b">
        <f t="shared" si="202"/>
        <v>0</v>
      </c>
      <c r="BI191" s="216" t="b">
        <f t="shared" si="203"/>
        <v>0</v>
      </c>
      <c r="BJ191" s="215" t="b">
        <f t="shared" si="204"/>
        <v>0</v>
      </c>
      <c r="BK191" s="145" t="b">
        <f t="shared" si="205"/>
        <v>0</v>
      </c>
      <c r="BL191" s="216" t="b">
        <f t="shared" si="206"/>
        <v>0</v>
      </c>
      <c r="BM191" s="217" t="str">
        <f t="shared" si="236"/>
        <v/>
      </c>
      <c r="BN191" s="146" t="str">
        <f t="shared" si="237"/>
        <v/>
      </c>
      <c r="BO191" s="147" t="str">
        <f t="shared" si="238"/>
        <v/>
      </c>
      <c r="BP191" s="148" t="str">
        <f t="shared" si="239"/>
        <v/>
      </c>
      <c r="BT191" s="50">
        <f t="shared" si="177"/>
        <v>168</v>
      </c>
      <c r="BU191" s="50" t="str">
        <f t="shared" si="180"/>
        <v>-</v>
      </c>
      <c r="BW191" s="340"/>
      <c r="BX191" s="333"/>
      <c r="BY191" s="333"/>
      <c r="BZ191" s="333"/>
      <c r="CA191" s="333"/>
      <c r="CB191" s="333"/>
      <c r="CC191" s="333"/>
      <c r="CD191" s="333"/>
      <c r="CE191" s="333"/>
      <c r="CF191" s="333"/>
      <c r="CG191" s="354">
        <f t="shared" si="207"/>
        <v>168</v>
      </c>
      <c r="CH191" s="613">
        <f t="shared" si="208"/>
        <v>0</v>
      </c>
      <c r="CI191" s="613">
        <f t="shared" si="209"/>
        <v>0</v>
      </c>
      <c r="CJ191" s="614" t="str">
        <f t="shared" si="210"/>
        <v/>
      </c>
      <c r="CK191" s="615" t="str">
        <f t="shared" si="211"/>
        <v/>
      </c>
      <c r="CL191" s="610" t="str">
        <f>IF(ISBLANK(H191),"",IF(AND(ISNUMBER(F191),ISNUMBER(G191),ISNUMBER(H191)),ROUND(F191/(H191*G191),2),ROUND(F191/(VALUE(LEFT(H191,SUM(LEN(H191)-LEN(SUBSTITUTE(H191,{"0","1","2","3","4","5","6","7","8","9","."},"")))))*G191),2)))</f>
        <v/>
      </c>
      <c r="CM191" s="616" t="str">
        <f t="shared" si="240"/>
        <v/>
      </c>
      <c r="CN191" s="616" t="str">
        <f>IF(ISNUMBER(P191),MAX('Adjustment factors'!$S$16,(0.2+0.8*P191)),IF(ISTEXT(N191),VLOOKUP(N191,Afactors,2,FALSE),""))</f>
        <v/>
      </c>
      <c r="CO191" s="616" t="str">
        <f>IF(ISNUMBER(S191),MAX('Adjustment factors'!$S$16,0.2+0.8*S191),IF(ISTEXT(Q191),VLOOKUP(Q191,Afactors,2,FALSE),""))</f>
        <v/>
      </c>
      <c r="CP191" s="611" t="str">
        <f t="shared" si="229"/>
        <v/>
      </c>
      <c r="CQ191" s="612" t="str">
        <f t="shared" si="230"/>
        <v/>
      </c>
      <c r="CR191" s="340"/>
      <c r="CS191" s="340"/>
      <c r="CT191" s="340"/>
      <c r="CU191" s="340"/>
      <c r="CV191" s="333"/>
      <c r="CW191" s="333"/>
      <c r="CX191" s="333"/>
      <c r="CY191" s="333"/>
      <c r="DA191" s="313" t="str">
        <f t="shared" si="212"/>
        <v>OK</v>
      </c>
      <c r="DB191" s="313" t="str">
        <f t="shared" si="213"/>
        <v>OK</v>
      </c>
      <c r="DC191" s="313" t="str">
        <f t="shared" si="214"/>
        <v>OK</v>
      </c>
      <c r="DD191" s="313" t="str">
        <f t="shared" si="215"/>
        <v>OK</v>
      </c>
      <c r="DE191" s="153" t="str">
        <f t="shared" si="216"/>
        <v>OK</v>
      </c>
      <c r="DF191" s="314" t="str">
        <f t="shared" si="217"/>
        <v>OK</v>
      </c>
      <c r="DG191" s="482" t="str">
        <f t="shared" si="231"/>
        <v>OK</v>
      </c>
      <c r="DH191" s="482" t="str">
        <f>IF(OR(AND(T191='Adjustment factors'!$R$28,'Class 3, 5-9'!U191='Adjustment factors'!$R$29),AND('Class 3, 5-9'!T191='Adjustment factors'!$R$29,'Class 3, 5-9'!U191='Adjustment factors'!$R$28)),"Invalid combination of adjustment factors",IF(AND(T191=U191,NOT(ISBLANK(T191)),NOT(ISBLANK(U191))),"Same colour factor selected twice","OK"))</f>
        <v>OK</v>
      </c>
      <c r="DI191" s="313" t="str">
        <f t="shared" si="218"/>
        <v>OK</v>
      </c>
      <c r="DJ191" s="153" t="str">
        <f t="shared" si="241"/>
        <v>OK</v>
      </c>
      <c r="DK191" s="153" t="str">
        <f t="shared" si="219"/>
        <v>OK</v>
      </c>
      <c r="DL191" s="313" t="str">
        <f t="shared" si="220"/>
        <v>OK</v>
      </c>
      <c r="DM191" s="153" t="str">
        <f t="shared" si="221"/>
        <v>OK</v>
      </c>
      <c r="DN191" s="153" t="str">
        <f t="shared" si="242"/>
        <v>OK</v>
      </c>
      <c r="DO191" s="154" t="str">
        <f t="shared" si="243"/>
        <v>OK</v>
      </c>
      <c r="DP191" s="153" t="str">
        <f t="shared" si="222"/>
        <v>OK</v>
      </c>
      <c r="DQ191" s="313" t="str">
        <f t="shared" si="223"/>
        <v>OK</v>
      </c>
      <c r="DR191" s="153" t="str">
        <f t="shared" si="244"/>
        <v>OK</v>
      </c>
      <c r="DS191" s="153" t="str">
        <f t="shared" si="224"/>
        <v>OK</v>
      </c>
      <c r="DT191" s="313" t="str">
        <f t="shared" si="232"/>
        <v>OK</v>
      </c>
      <c r="DU191" s="153" t="str">
        <f t="shared" si="225"/>
        <v>OK</v>
      </c>
      <c r="DV191" s="153" t="str">
        <f t="shared" si="245"/>
        <v>OK</v>
      </c>
      <c r="DW191" s="154" t="str">
        <f t="shared" si="246"/>
        <v>OK</v>
      </c>
      <c r="DX191" s="157">
        <f t="shared" si="247"/>
        <v>0</v>
      </c>
      <c r="DY191" s="156" t="str">
        <f t="shared" si="248"/>
        <v>OK</v>
      </c>
    </row>
    <row r="192" spans="1:129" ht="13" hidden="1" x14ac:dyDescent="0.3">
      <c r="A192" s="333"/>
      <c r="B192" s="333"/>
      <c r="C192" s="332" t="str">
        <f t="shared" si="181"/>
        <v>-</v>
      </c>
      <c r="D192" s="584">
        <f t="shared" si="176"/>
        <v>169</v>
      </c>
      <c r="E192" s="585"/>
      <c r="F192" s="586"/>
      <c r="G192" s="600"/>
      <c r="H192" s="587"/>
      <c r="I192" s="601"/>
      <c r="J192" s="585"/>
      <c r="K192" s="617"/>
      <c r="L192" s="602"/>
      <c r="M192" s="603"/>
      <c r="N192" s="588"/>
      <c r="O192" s="604"/>
      <c r="P192" s="605"/>
      <c r="Q192" s="588"/>
      <c r="R192" s="604"/>
      <c r="S192" s="605"/>
      <c r="T192" s="606"/>
      <c r="U192" s="606"/>
      <c r="V192" s="429" t="str">
        <f t="shared" si="178"/>
        <v/>
      </c>
      <c r="W192" s="430" t="str">
        <f t="shared" ref="W192:W223" si="252">AW192</f>
        <v/>
      </c>
      <c r="X192" s="66" t="str">
        <f>IF(AND(ISNUMBER(P192),N192=FixedDim),MAX('Adjustment factors'!$S$16,0.2+0.8*P192),IF(ISTEXT(N192),VLOOKUP(N192,Afactors,2,TRUE),""))</f>
        <v/>
      </c>
      <c r="Y192" s="17" t="str">
        <f>IF(AND(ISNUMBER(S192),Q192=FixedDim),MAX('Adjustment factors'!$S$16,0.2+0.8*S192),IF(ISTEXT(Q192),VLOOKUP(Q192,Afactors,2,TRUE),""))</f>
        <v/>
      </c>
      <c r="Z192" s="297" t="str">
        <f>IF(ISBLANK(T192),"",VLOOKUP(T192,'Adjustment factors'!$R$27:$S$30,2,TRUE))</f>
        <v/>
      </c>
      <c r="AA192" s="297" t="str">
        <f>IF(ISBLANK(U192),"",VLOOKUP(U192,'Adjustment factors'!$R$27:$S$30,2,TRUE))</f>
        <v/>
      </c>
      <c r="AB192" s="480">
        <f t="shared" si="226"/>
        <v>1</v>
      </c>
      <c r="AC192" s="18" t="b">
        <f t="shared" si="183"/>
        <v>0</v>
      </c>
      <c r="AD192" s="18" t="b">
        <f t="shared" si="184"/>
        <v>0</v>
      </c>
      <c r="AE192" s="18" t="b">
        <f t="shared" si="249"/>
        <v>0</v>
      </c>
      <c r="AF192" s="17" t="str">
        <f t="shared" si="185"/>
        <v/>
      </c>
      <c r="AG192" s="18" t="str">
        <f t="shared" si="186"/>
        <v/>
      </c>
      <c r="AH192" s="17" t="str">
        <f t="shared" si="250"/>
        <v/>
      </c>
      <c r="AI192" s="297" t="e">
        <f t="shared" si="227"/>
        <v>#VALUE!</v>
      </c>
      <c r="AJ192" s="79" t="e">
        <f t="shared" si="187"/>
        <v>#VALUE!</v>
      </c>
      <c r="AK192" s="17" t="str">
        <f t="shared" si="251"/>
        <v/>
      </c>
      <c r="AL192" s="80" t="e">
        <f t="shared" si="188"/>
        <v>#VALUE!</v>
      </c>
      <c r="AM192" s="139" t="b">
        <f t="shared" si="189"/>
        <v>1</v>
      </c>
      <c r="AN192" s="139" t="b">
        <f>AND(COUNTA(E192)&gt;0,ISNUMBER(F192),OR(COUNT(G192:H192)=0,COUNT(G192:H192)=2,AND(ISNUMBER(G192),ISNUMBER(VALUE(LEFT(H192,SUM(LEN(H192)-LEN(SUBSTITUTE(H192,{"0","1","2","3","4","5","6","7","8","9","."},"")))))))),ISNUMBER(I192),ISTEXT(J192))</f>
        <v>0</v>
      </c>
      <c r="AO192" s="19" t="b">
        <f t="shared" si="190"/>
        <v>0</v>
      </c>
      <c r="AP192" s="19" t="b">
        <f t="shared" si="191"/>
        <v>1</v>
      </c>
      <c r="AQ192" s="19" t="b">
        <f>IF(AND(COUNTBLANK(E192:J192)=6,OR(AN193:AN$523)),NOT(AN192))</f>
        <v>0</v>
      </c>
      <c r="AR192" s="19" t="str">
        <f t="shared" si="192"/>
        <v/>
      </c>
      <c r="AS192" s="19" t="b">
        <f t="shared" si="193"/>
        <v>1</v>
      </c>
      <c r="AT192" s="19" t="str">
        <f t="shared" si="194"/>
        <v/>
      </c>
      <c r="AU192" s="19" t="b">
        <f t="shared" si="195"/>
        <v>1</v>
      </c>
      <c r="AV192" s="140" t="str">
        <f t="shared" si="233"/>
        <v/>
      </c>
      <c r="AW192" s="19" t="str">
        <f t="shared" si="196"/>
        <v/>
      </c>
      <c r="AX192" s="81">
        <f t="shared" si="197"/>
        <v>0</v>
      </c>
      <c r="AY192" s="81" t="str">
        <f t="shared" si="198"/>
        <v/>
      </c>
      <c r="AZ192" s="307" t="str">
        <f t="shared" si="228"/>
        <v/>
      </c>
      <c r="BA192" s="281" t="str">
        <f t="shared" si="234"/>
        <v/>
      </c>
      <c r="BB192" s="281" t="str">
        <f t="shared" si="235"/>
        <v/>
      </c>
      <c r="BC192" s="953"/>
      <c r="BD192" s="955"/>
      <c r="BE192" s="219" t="str">
        <f t="shared" si="199"/>
        <v>n/a</v>
      </c>
      <c r="BF192" s="215" t="b">
        <f t="shared" si="200"/>
        <v>0</v>
      </c>
      <c r="BG192" s="145" t="b">
        <f t="shared" si="201"/>
        <v>0</v>
      </c>
      <c r="BH192" s="145" t="b">
        <f t="shared" si="202"/>
        <v>0</v>
      </c>
      <c r="BI192" s="216" t="b">
        <f t="shared" si="203"/>
        <v>0</v>
      </c>
      <c r="BJ192" s="215" t="b">
        <f t="shared" si="204"/>
        <v>0</v>
      </c>
      <c r="BK192" s="145" t="b">
        <f t="shared" si="205"/>
        <v>0</v>
      </c>
      <c r="BL192" s="216" t="b">
        <f t="shared" si="206"/>
        <v>0</v>
      </c>
      <c r="BM192" s="217" t="str">
        <f t="shared" si="236"/>
        <v/>
      </c>
      <c r="BN192" s="146" t="str">
        <f t="shared" si="237"/>
        <v/>
      </c>
      <c r="BO192" s="147" t="str">
        <f t="shared" si="238"/>
        <v/>
      </c>
      <c r="BP192" s="148" t="str">
        <f t="shared" si="239"/>
        <v/>
      </c>
      <c r="BT192" s="50">
        <f t="shared" si="177"/>
        <v>169</v>
      </c>
      <c r="BU192" s="50" t="str">
        <f t="shared" si="180"/>
        <v>-</v>
      </c>
      <c r="BW192" s="340"/>
      <c r="BX192" s="333"/>
      <c r="BY192" s="333"/>
      <c r="BZ192" s="333"/>
      <c r="CA192" s="333"/>
      <c r="CB192" s="333"/>
      <c r="CC192" s="333"/>
      <c r="CD192" s="333"/>
      <c r="CE192" s="333"/>
      <c r="CF192" s="333"/>
      <c r="CG192" s="354">
        <f t="shared" si="207"/>
        <v>169</v>
      </c>
      <c r="CH192" s="613">
        <f t="shared" si="208"/>
        <v>0</v>
      </c>
      <c r="CI192" s="613">
        <f t="shared" si="209"/>
        <v>0</v>
      </c>
      <c r="CJ192" s="614" t="str">
        <f t="shared" si="210"/>
        <v/>
      </c>
      <c r="CK192" s="615" t="str">
        <f t="shared" si="211"/>
        <v/>
      </c>
      <c r="CL192" s="610" t="str">
        <f>IF(ISBLANK(H192),"",IF(AND(ISNUMBER(F192),ISNUMBER(G192),ISNUMBER(H192)),ROUND(F192/(H192*G192),2),ROUND(F192/(VALUE(LEFT(H192,SUM(LEN(H192)-LEN(SUBSTITUTE(H192,{"0","1","2","3","4","5","6","7","8","9","."},"")))))*G192),2)))</f>
        <v/>
      </c>
      <c r="CM192" s="616" t="str">
        <f t="shared" si="240"/>
        <v/>
      </c>
      <c r="CN192" s="616" t="str">
        <f>IF(ISNUMBER(P192),MAX('Adjustment factors'!$S$16,(0.2+0.8*P192)),IF(ISTEXT(N192),VLOOKUP(N192,Afactors,2,FALSE),""))</f>
        <v/>
      </c>
      <c r="CO192" s="616" t="str">
        <f>IF(ISNUMBER(S192),MAX('Adjustment factors'!$S$16,0.2+0.8*S192),IF(ISTEXT(Q192),VLOOKUP(Q192,Afactors,2,FALSE),""))</f>
        <v/>
      </c>
      <c r="CP192" s="611" t="str">
        <f t="shared" si="229"/>
        <v/>
      </c>
      <c r="CQ192" s="612" t="str">
        <f t="shared" si="230"/>
        <v/>
      </c>
      <c r="CR192" s="340"/>
      <c r="CS192" s="340"/>
      <c r="CT192" s="340"/>
      <c r="CU192" s="340"/>
      <c r="CV192" s="333"/>
      <c r="CW192" s="333"/>
      <c r="CX192" s="333"/>
      <c r="CY192" s="333"/>
      <c r="DA192" s="313" t="str">
        <f t="shared" si="212"/>
        <v>OK</v>
      </c>
      <c r="DB192" s="313" t="str">
        <f t="shared" si="213"/>
        <v>OK</v>
      </c>
      <c r="DC192" s="313" t="str">
        <f t="shared" si="214"/>
        <v>OK</v>
      </c>
      <c r="DD192" s="313" t="str">
        <f t="shared" si="215"/>
        <v>OK</v>
      </c>
      <c r="DE192" s="153" t="str">
        <f t="shared" si="216"/>
        <v>OK</v>
      </c>
      <c r="DF192" s="314" t="str">
        <f t="shared" si="217"/>
        <v>OK</v>
      </c>
      <c r="DG192" s="482" t="str">
        <f t="shared" si="231"/>
        <v>OK</v>
      </c>
      <c r="DH192" s="482" t="str">
        <f>IF(OR(AND(T192='Adjustment factors'!$R$28,'Class 3, 5-9'!U192='Adjustment factors'!$R$29),AND('Class 3, 5-9'!T192='Adjustment factors'!$R$29,'Class 3, 5-9'!U192='Adjustment factors'!$R$28)),"Invalid combination of adjustment factors",IF(AND(T192=U192,NOT(ISBLANK(T192)),NOT(ISBLANK(U192))),"Same colour factor selected twice","OK"))</f>
        <v>OK</v>
      </c>
      <c r="DI192" s="313" t="str">
        <f t="shared" si="218"/>
        <v>OK</v>
      </c>
      <c r="DJ192" s="153" t="str">
        <f t="shared" si="241"/>
        <v>OK</v>
      </c>
      <c r="DK192" s="153" t="str">
        <f t="shared" si="219"/>
        <v>OK</v>
      </c>
      <c r="DL192" s="313" t="str">
        <f t="shared" si="220"/>
        <v>OK</v>
      </c>
      <c r="DM192" s="153" t="str">
        <f t="shared" si="221"/>
        <v>OK</v>
      </c>
      <c r="DN192" s="153" t="str">
        <f t="shared" si="242"/>
        <v>OK</v>
      </c>
      <c r="DO192" s="154" t="str">
        <f t="shared" si="243"/>
        <v>OK</v>
      </c>
      <c r="DP192" s="153" t="str">
        <f t="shared" si="222"/>
        <v>OK</v>
      </c>
      <c r="DQ192" s="313" t="str">
        <f t="shared" si="223"/>
        <v>OK</v>
      </c>
      <c r="DR192" s="153" t="str">
        <f t="shared" si="244"/>
        <v>OK</v>
      </c>
      <c r="DS192" s="153" t="str">
        <f t="shared" si="224"/>
        <v>OK</v>
      </c>
      <c r="DT192" s="313" t="str">
        <f t="shared" si="232"/>
        <v>OK</v>
      </c>
      <c r="DU192" s="153" t="str">
        <f t="shared" si="225"/>
        <v>OK</v>
      </c>
      <c r="DV192" s="153" t="str">
        <f t="shared" si="245"/>
        <v>OK</v>
      </c>
      <c r="DW192" s="154" t="str">
        <f t="shared" si="246"/>
        <v>OK</v>
      </c>
      <c r="DX192" s="157">
        <f t="shared" si="247"/>
        <v>0</v>
      </c>
      <c r="DY192" s="156" t="str">
        <f t="shared" si="248"/>
        <v>OK</v>
      </c>
    </row>
    <row r="193" spans="1:129" ht="13" hidden="1" x14ac:dyDescent="0.3">
      <c r="A193" s="333"/>
      <c r="B193" s="333"/>
      <c r="C193" s="332" t="str">
        <f t="shared" si="181"/>
        <v>-</v>
      </c>
      <c r="D193" s="584">
        <f t="shared" ref="D193:D256" si="253">D192+1</f>
        <v>170</v>
      </c>
      <c r="E193" s="585"/>
      <c r="F193" s="586"/>
      <c r="G193" s="600"/>
      <c r="H193" s="587"/>
      <c r="I193" s="601"/>
      <c r="J193" s="585"/>
      <c r="K193" s="617"/>
      <c r="L193" s="602"/>
      <c r="M193" s="603"/>
      <c r="N193" s="588"/>
      <c r="O193" s="604"/>
      <c r="P193" s="605"/>
      <c r="Q193" s="588"/>
      <c r="R193" s="604"/>
      <c r="S193" s="605"/>
      <c r="T193" s="606"/>
      <c r="U193" s="606"/>
      <c r="V193" s="429" t="str">
        <f t="shared" si="178"/>
        <v/>
      </c>
      <c r="W193" s="430" t="str">
        <f t="shared" si="252"/>
        <v/>
      </c>
      <c r="X193" s="66" t="str">
        <f>IF(AND(ISNUMBER(P193),N193=FixedDim),MAX('Adjustment factors'!$S$16,0.2+0.8*P193),IF(ISTEXT(N193),VLOOKUP(N193,Afactors,2,TRUE),""))</f>
        <v/>
      </c>
      <c r="Y193" s="17" t="str">
        <f>IF(AND(ISNUMBER(S193),Q193=FixedDim),MAX('Adjustment factors'!$S$16,0.2+0.8*S193),IF(ISTEXT(Q193),VLOOKUP(Q193,Afactors,2,TRUE),""))</f>
        <v/>
      </c>
      <c r="Z193" s="297" t="str">
        <f>IF(ISBLANK(T193),"",VLOOKUP(T193,'Adjustment factors'!$R$27:$S$30,2,TRUE))</f>
        <v/>
      </c>
      <c r="AA193" s="297" t="str">
        <f>IF(ISBLANK(U193),"",VLOOKUP(U193,'Adjustment factors'!$R$27:$S$30,2,TRUE))</f>
        <v/>
      </c>
      <c r="AB193" s="480">
        <f t="shared" si="226"/>
        <v>1</v>
      </c>
      <c r="AC193" s="18" t="b">
        <f t="shared" si="183"/>
        <v>0</v>
      </c>
      <c r="AD193" s="18" t="b">
        <f t="shared" si="184"/>
        <v>0</v>
      </c>
      <c r="AE193" s="18" t="b">
        <f t="shared" si="249"/>
        <v>0</v>
      </c>
      <c r="AF193" s="17" t="str">
        <f t="shared" si="185"/>
        <v/>
      </c>
      <c r="AG193" s="18" t="str">
        <f t="shared" si="186"/>
        <v/>
      </c>
      <c r="AH193" s="17" t="str">
        <f t="shared" si="250"/>
        <v/>
      </c>
      <c r="AI193" s="297" t="e">
        <f t="shared" si="227"/>
        <v>#VALUE!</v>
      </c>
      <c r="AJ193" s="79" t="e">
        <f t="shared" si="187"/>
        <v>#VALUE!</v>
      </c>
      <c r="AK193" s="17" t="str">
        <f t="shared" si="251"/>
        <v/>
      </c>
      <c r="AL193" s="80" t="e">
        <f t="shared" si="188"/>
        <v>#VALUE!</v>
      </c>
      <c r="AM193" s="139" t="b">
        <f t="shared" si="189"/>
        <v>1</v>
      </c>
      <c r="AN193" s="139" t="b">
        <f>AND(COUNTA(E193)&gt;0,ISNUMBER(F193),OR(COUNT(G193:H193)=0,COUNT(G193:H193)=2,AND(ISNUMBER(G193),ISNUMBER(VALUE(LEFT(H193,SUM(LEN(H193)-LEN(SUBSTITUTE(H193,{"0","1","2","3","4","5","6","7","8","9","."},"")))))))),ISNUMBER(I193),ISTEXT(J193))</f>
        <v>0</v>
      </c>
      <c r="AO193" s="19" t="b">
        <f t="shared" si="190"/>
        <v>0</v>
      </c>
      <c r="AP193" s="19" t="b">
        <f t="shared" si="191"/>
        <v>1</v>
      </c>
      <c r="AQ193" s="19" t="b">
        <f>IF(AND(COUNTBLANK(E193:J193)=6,OR(AN194:AN$523)),NOT(AN193))</f>
        <v>0</v>
      </c>
      <c r="AR193" s="19" t="str">
        <f t="shared" si="192"/>
        <v/>
      </c>
      <c r="AS193" s="19" t="b">
        <f t="shared" si="193"/>
        <v>1</v>
      </c>
      <c r="AT193" s="19" t="str">
        <f t="shared" si="194"/>
        <v/>
      </c>
      <c r="AU193" s="19" t="b">
        <f t="shared" si="195"/>
        <v>1</v>
      </c>
      <c r="AV193" s="140" t="str">
        <f t="shared" si="233"/>
        <v/>
      </c>
      <c r="AW193" s="19" t="str">
        <f t="shared" si="196"/>
        <v/>
      </c>
      <c r="AX193" s="81">
        <f t="shared" si="197"/>
        <v>0</v>
      </c>
      <c r="AY193" s="81" t="str">
        <f t="shared" si="198"/>
        <v/>
      </c>
      <c r="AZ193" s="307" t="str">
        <f t="shared" si="228"/>
        <v/>
      </c>
      <c r="BA193" s="281" t="str">
        <f t="shared" si="234"/>
        <v/>
      </c>
      <c r="BB193" s="281" t="str">
        <f t="shared" si="235"/>
        <v/>
      </c>
      <c r="BC193" s="953"/>
      <c r="BD193" s="955"/>
      <c r="BE193" s="219" t="str">
        <f t="shared" si="199"/>
        <v>n/a</v>
      </c>
      <c r="BF193" s="215" t="b">
        <f t="shared" si="200"/>
        <v>0</v>
      </c>
      <c r="BG193" s="145" t="b">
        <f t="shared" si="201"/>
        <v>0</v>
      </c>
      <c r="BH193" s="145" t="b">
        <f t="shared" si="202"/>
        <v>0</v>
      </c>
      <c r="BI193" s="216" t="b">
        <f t="shared" si="203"/>
        <v>0</v>
      </c>
      <c r="BJ193" s="215" t="b">
        <f t="shared" si="204"/>
        <v>0</v>
      </c>
      <c r="BK193" s="145" t="b">
        <f t="shared" si="205"/>
        <v>0</v>
      </c>
      <c r="BL193" s="216" t="b">
        <f t="shared" si="206"/>
        <v>0</v>
      </c>
      <c r="BM193" s="217" t="str">
        <f t="shared" si="236"/>
        <v/>
      </c>
      <c r="BN193" s="146" t="str">
        <f t="shared" si="237"/>
        <v/>
      </c>
      <c r="BO193" s="147" t="str">
        <f t="shared" si="238"/>
        <v/>
      </c>
      <c r="BP193" s="148" t="str">
        <f t="shared" si="239"/>
        <v/>
      </c>
      <c r="BT193" s="50">
        <f t="shared" ref="BT193:BT256" si="254">BT192+1</f>
        <v>170</v>
      </c>
      <c r="BU193" s="50" t="str">
        <f t="shared" si="180"/>
        <v>-</v>
      </c>
      <c r="BW193" s="340"/>
      <c r="BX193" s="333"/>
      <c r="BY193" s="333"/>
      <c r="BZ193" s="333"/>
      <c r="CA193" s="333"/>
      <c r="CB193" s="333"/>
      <c r="CC193" s="333"/>
      <c r="CD193" s="333"/>
      <c r="CE193" s="333"/>
      <c r="CF193" s="333"/>
      <c r="CG193" s="354">
        <f t="shared" si="207"/>
        <v>170</v>
      </c>
      <c r="CH193" s="613">
        <f t="shared" si="208"/>
        <v>0</v>
      </c>
      <c r="CI193" s="613">
        <f t="shared" si="209"/>
        <v>0</v>
      </c>
      <c r="CJ193" s="614" t="str">
        <f t="shared" si="210"/>
        <v/>
      </c>
      <c r="CK193" s="615" t="str">
        <f t="shared" si="211"/>
        <v/>
      </c>
      <c r="CL193" s="610" t="str">
        <f>IF(ISBLANK(H193),"",IF(AND(ISNUMBER(F193),ISNUMBER(G193),ISNUMBER(H193)),ROUND(F193/(H193*G193),2),ROUND(F193/(VALUE(LEFT(H193,SUM(LEN(H193)-LEN(SUBSTITUTE(H193,{"0","1","2","3","4","5","6","7","8","9","."},"")))))*G193),2)))</f>
        <v/>
      </c>
      <c r="CM193" s="616" t="str">
        <f t="shared" si="240"/>
        <v/>
      </c>
      <c r="CN193" s="616" t="str">
        <f>IF(ISNUMBER(P193),MAX('Adjustment factors'!$S$16,(0.2+0.8*P193)),IF(ISTEXT(N193),VLOOKUP(N193,Afactors,2,FALSE),""))</f>
        <v/>
      </c>
      <c r="CO193" s="616" t="str">
        <f>IF(ISNUMBER(S193),MAX('Adjustment factors'!$S$16,0.2+0.8*S193),IF(ISTEXT(Q193),VLOOKUP(Q193,Afactors,2,FALSE),""))</f>
        <v/>
      </c>
      <c r="CP193" s="611" t="str">
        <f t="shared" si="229"/>
        <v/>
      </c>
      <c r="CQ193" s="612" t="str">
        <f t="shared" si="230"/>
        <v/>
      </c>
      <c r="CR193" s="340"/>
      <c r="CS193" s="340"/>
      <c r="CT193" s="340"/>
      <c r="CU193" s="340"/>
      <c r="CV193" s="333"/>
      <c r="CW193" s="333"/>
      <c r="CX193" s="333"/>
      <c r="CY193" s="333"/>
      <c r="DA193" s="313" t="str">
        <f t="shared" si="212"/>
        <v>OK</v>
      </c>
      <c r="DB193" s="313" t="str">
        <f t="shared" si="213"/>
        <v>OK</v>
      </c>
      <c r="DC193" s="313" t="str">
        <f t="shared" si="214"/>
        <v>OK</v>
      </c>
      <c r="DD193" s="313" t="str">
        <f t="shared" si="215"/>
        <v>OK</v>
      </c>
      <c r="DE193" s="153" t="str">
        <f t="shared" si="216"/>
        <v>OK</v>
      </c>
      <c r="DF193" s="314" t="str">
        <f t="shared" si="217"/>
        <v>OK</v>
      </c>
      <c r="DG193" s="482" t="str">
        <f t="shared" si="231"/>
        <v>OK</v>
      </c>
      <c r="DH193" s="482" t="str">
        <f>IF(OR(AND(T193='Adjustment factors'!$R$28,'Class 3, 5-9'!U193='Adjustment factors'!$R$29),AND('Class 3, 5-9'!T193='Adjustment factors'!$R$29,'Class 3, 5-9'!U193='Adjustment factors'!$R$28)),"Invalid combination of adjustment factors",IF(AND(T193=U193,NOT(ISBLANK(T193)),NOT(ISBLANK(U193))),"Same colour factor selected twice","OK"))</f>
        <v>OK</v>
      </c>
      <c r="DI193" s="313" t="str">
        <f t="shared" si="218"/>
        <v>OK</v>
      </c>
      <c r="DJ193" s="153" t="str">
        <f t="shared" si="241"/>
        <v>OK</v>
      </c>
      <c r="DK193" s="153" t="str">
        <f t="shared" si="219"/>
        <v>OK</v>
      </c>
      <c r="DL193" s="313" t="str">
        <f t="shared" si="220"/>
        <v>OK</v>
      </c>
      <c r="DM193" s="153" t="str">
        <f t="shared" si="221"/>
        <v>OK</v>
      </c>
      <c r="DN193" s="153" t="str">
        <f t="shared" si="242"/>
        <v>OK</v>
      </c>
      <c r="DO193" s="154" t="str">
        <f t="shared" si="243"/>
        <v>OK</v>
      </c>
      <c r="DP193" s="153" t="str">
        <f t="shared" si="222"/>
        <v>OK</v>
      </c>
      <c r="DQ193" s="313" t="str">
        <f t="shared" si="223"/>
        <v>OK</v>
      </c>
      <c r="DR193" s="153" t="str">
        <f t="shared" si="244"/>
        <v>OK</v>
      </c>
      <c r="DS193" s="153" t="str">
        <f t="shared" si="224"/>
        <v>OK</v>
      </c>
      <c r="DT193" s="313" t="str">
        <f t="shared" si="232"/>
        <v>OK</v>
      </c>
      <c r="DU193" s="153" t="str">
        <f t="shared" si="225"/>
        <v>OK</v>
      </c>
      <c r="DV193" s="153" t="str">
        <f t="shared" si="245"/>
        <v>OK</v>
      </c>
      <c r="DW193" s="154" t="str">
        <f t="shared" si="246"/>
        <v>OK</v>
      </c>
      <c r="DX193" s="157">
        <f t="shared" si="247"/>
        <v>0</v>
      </c>
      <c r="DY193" s="156" t="str">
        <f t="shared" si="248"/>
        <v>OK</v>
      </c>
    </row>
    <row r="194" spans="1:129" ht="13" hidden="1" x14ac:dyDescent="0.3">
      <c r="A194" s="333"/>
      <c r="B194" s="333"/>
      <c r="C194" s="332" t="str">
        <f t="shared" si="181"/>
        <v>-</v>
      </c>
      <c r="D194" s="584">
        <f t="shared" si="253"/>
        <v>171</v>
      </c>
      <c r="E194" s="585"/>
      <c r="F194" s="586"/>
      <c r="G194" s="600"/>
      <c r="H194" s="587"/>
      <c r="I194" s="601"/>
      <c r="J194" s="585"/>
      <c r="K194" s="617"/>
      <c r="L194" s="602"/>
      <c r="M194" s="603"/>
      <c r="N194" s="588"/>
      <c r="O194" s="604"/>
      <c r="P194" s="605"/>
      <c r="Q194" s="588"/>
      <c r="R194" s="604"/>
      <c r="S194" s="605"/>
      <c r="T194" s="606"/>
      <c r="U194" s="606"/>
      <c r="V194" s="429" t="str">
        <f t="shared" ref="V194:V228" si="255">AV194</f>
        <v/>
      </c>
      <c r="W194" s="430" t="str">
        <f t="shared" si="252"/>
        <v/>
      </c>
      <c r="X194" s="66" t="str">
        <f>IF(AND(ISNUMBER(P194),N194=FixedDim),MAX('Adjustment factors'!$S$16,0.2+0.8*P194),IF(ISTEXT(N194),VLOOKUP(N194,Afactors,2,TRUE),""))</f>
        <v/>
      </c>
      <c r="Y194" s="17" t="str">
        <f>IF(AND(ISNUMBER(S194),Q194=FixedDim),MAX('Adjustment factors'!$S$16,0.2+0.8*S194),IF(ISTEXT(Q194),VLOOKUP(Q194,Afactors,2,TRUE),""))</f>
        <v/>
      </c>
      <c r="Z194" s="297" t="str">
        <f>IF(ISBLANK(T194),"",VLOOKUP(T194,'Adjustment factors'!$R$27:$S$30,2,TRUE))</f>
        <v/>
      </c>
      <c r="AA194" s="297" t="str">
        <f>IF(ISBLANK(U194),"",VLOOKUP(U194,'Adjustment factors'!$R$27:$S$30,2,TRUE))</f>
        <v/>
      </c>
      <c r="AB194" s="480">
        <f t="shared" si="226"/>
        <v>1</v>
      </c>
      <c r="AC194" s="18" t="b">
        <f t="shared" si="183"/>
        <v>0</v>
      </c>
      <c r="AD194" s="18" t="b">
        <f t="shared" si="184"/>
        <v>0</v>
      </c>
      <c r="AE194" s="18" t="b">
        <f t="shared" si="249"/>
        <v>0</v>
      </c>
      <c r="AF194" s="17" t="str">
        <f t="shared" si="185"/>
        <v/>
      </c>
      <c r="AG194" s="18" t="str">
        <f t="shared" si="186"/>
        <v/>
      </c>
      <c r="AH194" s="17" t="str">
        <f t="shared" si="250"/>
        <v/>
      </c>
      <c r="AI194" s="297" t="e">
        <f t="shared" si="227"/>
        <v>#VALUE!</v>
      </c>
      <c r="AJ194" s="79" t="e">
        <f t="shared" si="187"/>
        <v>#VALUE!</v>
      </c>
      <c r="AK194" s="17" t="str">
        <f t="shared" si="251"/>
        <v/>
      </c>
      <c r="AL194" s="80" t="e">
        <f t="shared" si="188"/>
        <v>#VALUE!</v>
      </c>
      <c r="AM194" s="139" t="b">
        <f t="shared" si="189"/>
        <v>1</v>
      </c>
      <c r="AN194" s="139" t="b">
        <f>AND(COUNTA(E194)&gt;0,ISNUMBER(F194),OR(COUNT(G194:H194)=0,COUNT(G194:H194)=2,AND(ISNUMBER(G194),ISNUMBER(VALUE(LEFT(H194,SUM(LEN(H194)-LEN(SUBSTITUTE(H194,{"0","1","2","3","4","5","6","7","8","9","."},"")))))))),ISNUMBER(I194),ISTEXT(J194))</f>
        <v>0</v>
      </c>
      <c r="AO194" s="19" t="b">
        <f t="shared" si="190"/>
        <v>0</v>
      </c>
      <c r="AP194" s="19" t="b">
        <f t="shared" si="191"/>
        <v>1</v>
      </c>
      <c r="AQ194" s="19" t="b">
        <f>IF(AND(COUNTBLANK(E194:J194)=6,OR(AN195:AN$523)),NOT(AN194))</f>
        <v>0</v>
      </c>
      <c r="AR194" s="19" t="str">
        <f t="shared" si="192"/>
        <v/>
      </c>
      <c r="AS194" s="19" t="b">
        <f t="shared" si="193"/>
        <v>1</v>
      </c>
      <c r="AT194" s="19" t="str">
        <f t="shared" si="194"/>
        <v/>
      </c>
      <c r="AU194" s="19" t="b">
        <f t="shared" si="195"/>
        <v>1</v>
      </c>
      <c r="AV194" s="140" t="str">
        <f t="shared" si="233"/>
        <v/>
      </c>
      <c r="AW194" s="19" t="str">
        <f t="shared" si="196"/>
        <v/>
      </c>
      <c r="AX194" s="81">
        <f t="shared" si="197"/>
        <v>0</v>
      </c>
      <c r="AY194" s="81" t="str">
        <f t="shared" si="198"/>
        <v/>
      </c>
      <c r="AZ194" s="307" t="str">
        <f t="shared" si="228"/>
        <v/>
      </c>
      <c r="BA194" s="281" t="str">
        <f t="shared" si="234"/>
        <v/>
      </c>
      <c r="BB194" s="281" t="str">
        <f t="shared" si="235"/>
        <v/>
      </c>
      <c r="BC194" s="953"/>
      <c r="BD194" s="955"/>
      <c r="BE194" s="219" t="str">
        <f t="shared" si="199"/>
        <v>n/a</v>
      </c>
      <c r="BF194" s="215" t="b">
        <f t="shared" si="200"/>
        <v>0</v>
      </c>
      <c r="BG194" s="145" t="b">
        <f t="shared" si="201"/>
        <v>0</v>
      </c>
      <c r="BH194" s="145" t="b">
        <f t="shared" si="202"/>
        <v>0</v>
      </c>
      <c r="BI194" s="216" t="b">
        <f t="shared" si="203"/>
        <v>0</v>
      </c>
      <c r="BJ194" s="215" t="b">
        <f t="shared" si="204"/>
        <v>0</v>
      </c>
      <c r="BK194" s="145" t="b">
        <f t="shared" si="205"/>
        <v>0</v>
      </c>
      <c r="BL194" s="216" t="b">
        <f t="shared" si="206"/>
        <v>0</v>
      </c>
      <c r="BM194" s="217" t="str">
        <f t="shared" si="236"/>
        <v/>
      </c>
      <c r="BN194" s="146" t="str">
        <f t="shared" si="237"/>
        <v/>
      </c>
      <c r="BO194" s="147" t="str">
        <f t="shared" si="238"/>
        <v/>
      </c>
      <c r="BP194" s="148" t="str">
        <f t="shared" si="239"/>
        <v/>
      </c>
      <c r="BT194" s="50">
        <f t="shared" si="254"/>
        <v>171</v>
      </c>
      <c r="BU194" s="50" t="str">
        <f t="shared" si="180"/>
        <v>-</v>
      </c>
      <c r="BW194" s="340"/>
      <c r="BX194" s="333"/>
      <c r="BY194" s="333"/>
      <c r="BZ194" s="333"/>
      <c r="CA194" s="333"/>
      <c r="CB194" s="333"/>
      <c r="CC194" s="333"/>
      <c r="CD194" s="333"/>
      <c r="CE194" s="333"/>
      <c r="CF194" s="333"/>
      <c r="CG194" s="354">
        <f t="shared" si="207"/>
        <v>171</v>
      </c>
      <c r="CH194" s="613">
        <f t="shared" si="208"/>
        <v>0</v>
      </c>
      <c r="CI194" s="613">
        <f t="shared" si="209"/>
        <v>0</v>
      </c>
      <c r="CJ194" s="614" t="str">
        <f t="shared" si="210"/>
        <v/>
      </c>
      <c r="CK194" s="615" t="str">
        <f t="shared" si="211"/>
        <v/>
      </c>
      <c r="CL194" s="610" t="str">
        <f>IF(ISBLANK(H194),"",IF(AND(ISNUMBER(F194),ISNUMBER(G194),ISNUMBER(H194)),ROUND(F194/(H194*G194),2),ROUND(F194/(VALUE(LEFT(H194,SUM(LEN(H194)-LEN(SUBSTITUTE(H194,{"0","1","2","3","4","5","6","7","8","9","."},"")))))*G194),2)))</f>
        <v/>
      </c>
      <c r="CM194" s="616" t="str">
        <f t="shared" si="240"/>
        <v/>
      </c>
      <c r="CN194" s="616" t="str">
        <f>IF(ISNUMBER(P194),MAX('Adjustment factors'!$S$16,(0.2+0.8*P194)),IF(ISTEXT(N194),VLOOKUP(N194,Afactors,2,FALSE),""))</f>
        <v/>
      </c>
      <c r="CO194" s="616" t="str">
        <f>IF(ISNUMBER(S194),MAX('Adjustment factors'!$S$16,0.2+0.8*S194),IF(ISTEXT(Q194),VLOOKUP(Q194,Afactors,2,FALSE),""))</f>
        <v/>
      </c>
      <c r="CP194" s="611" t="str">
        <f t="shared" si="229"/>
        <v/>
      </c>
      <c r="CQ194" s="612" t="str">
        <f t="shared" si="230"/>
        <v/>
      </c>
      <c r="CR194" s="340"/>
      <c r="CS194" s="340"/>
      <c r="CT194" s="340"/>
      <c r="CU194" s="340"/>
      <c r="CV194" s="333"/>
      <c r="CW194" s="333"/>
      <c r="CX194" s="333"/>
      <c r="CY194" s="333"/>
      <c r="DA194" s="313" t="str">
        <f t="shared" si="212"/>
        <v>OK</v>
      </c>
      <c r="DB194" s="313" t="str">
        <f t="shared" si="213"/>
        <v>OK</v>
      </c>
      <c r="DC194" s="313" t="str">
        <f t="shared" si="214"/>
        <v>OK</v>
      </c>
      <c r="DD194" s="313" t="str">
        <f t="shared" si="215"/>
        <v>OK</v>
      </c>
      <c r="DE194" s="153" t="str">
        <f t="shared" si="216"/>
        <v>OK</v>
      </c>
      <c r="DF194" s="314" t="str">
        <f t="shared" si="217"/>
        <v>OK</v>
      </c>
      <c r="DG194" s="482" t="str">
        <f t="shared" si="231"/>
        <v>OK</v>
      </c>
      <c r="DH194" s="482" t="str">
        <f>IF(OR(AND(T194='Adjustment factors'!$R$28,'Class 3, 5-9'!U194='Adjustment factors'!$R$29),AND('Class 3, 5-9'!T194='Adjustment factors'!$R$29,'Class 3, 5-9'!U194='Adjustment factors'!$R$28)),"Invalid combination of adjustment factors",IF(AND(T194=U194,NOT(ISBLANK(T194)),NOT(ISBLANK(U194))),"Same colour factor selected twice","OK"))</f>
        <v>OK</v>
      </c>
      <c r="DI194" s="313" t="str">
        <f t="shared" si="218"/>
        <v>OK</v>
      </c>
      <c r="DJ194" s="153" t="str">
        <f t="shared" si="241"/>
        <v>OK</v>
      </c>
      <c r="DK194" s="153" t="str">
        <f t="shared" si="219"/>
        <v>OK</v>
      </c>
      <c r="DL194" s="313" t="str">
        <f t="shared" si="220"/>
        <v>OK</v>
      </c>
      <c r="DM194" s="153" t="str">
        <f t="shared" si="221"/>
        <v>OK</v>
      </c>
      <c r="DN194" s="153" t="str">
        <f t="shared" si="242"/>
        <v>OK</v>
      </c>
      <c r="DO194" s="154" t="str">
        <f t="shared" si="243"/>
        <v>OK</v>
      </c>
      <c r="DP194" s="153" t="str">
        <f t="shared" si="222"/>
        <v>OK</v>
      </c>
      <c r="DQ194" s="313" t="str">
        <f t="shared" si="223"/>
        <v>OK</v>
      </c>
      <c r="DR194" s="153" t="str">
        <f t="shared" si="244"/>
        <v>OK</v>
      </c>
      <c r="DS194" s="153" t="str">
        <f t="shared" si="224"/>
        <v>OK</v>
      </c>
      <c r="DT194" s="313" t="str">
        <f t="shared" si="232"/>
        <v>OK</v>
      </c>
      <c r="DU194" s="153" t="str">
        <f t="shared" si="225"/>
        <v>OK</v>
      </c>
      <c r="DV194" s="153" t="str">
        <f t="shared" si="245"/>
        <v>OK</v>
      </c>
      <c r="DW194" s="154" t="str">
        <f t="shared" si="246"/>
        <v>OK</v>
      </c>
      <c r="DX194" s="157">
        <f t="shared" si="247"/>
        <v>0</v>
      </c>
      <c r="DY194" s="156" t="str">
        <f t="shared" si="248"/>
        <v>OK</v>
      </c>
    </row>
    <row r="195" spans="1:129" ht="13" hidden="1" x14ac:dyDescent="0.3">
      <c r="A195" s="333"/>
      <c r="B195" s="333"/>
      <c r="C195" s="332" t="str">
        <f t="shared" si="181"/>
        <v>-</v>
      </c>
      <c r="D195" s="584">
        <f t="shared" si="253"/>
        <v>172</v>
      </c>
      <c r="E195" s="585"/>
      <c r="F195" s="586"/>
      <c r="G195" s="600"/>
      <c r="H195" s="587"/>
      <c r="I195" s="601"/>
      <c r="J195" s="585"/>
      <c r="K195" s="617"/>
      <c r="L195" s="602"/>
      <c r="M195" s="603"/>
      <c r="N195" s="588"/>
      <c r="O195" s="604"/>
      <c r="P195" s="605"/>
      <c r="Q195" s="588"/>
      <c r="R195" s="604"/>
      <c r="S195" s="605"/>
      <c r="T195" s="606"/>
      <c r="U195" s="606"/>
      <c r="V195" s="429" t="str">
        <f t="shared" si="255"/>
        <v/>
      </c>
      <c r="W195" s="430" t="str">
        <f t="shared" si="252"/>
        <v/>
      </c>
      <c r="X195" s="66" t="str">
        <f>IF(AND(ISNUMBER(P195),N195=FixedDim),MAX('Adjustment factors'!$S$16,0.2+0.8*P195),IF(ISTEXT(N195),VLOOKUP(N195,Afactors,2,TRUE),""))</f>
        <v/>
      </c>
      <c r="Y195" s="17" t="str">
        <f>IF(AND(ISNUMBER(S195),Q195=FixedDim),MAX('Adjustment factors'!$S$16,0.2+0.8*S195),IF(ISTEXT(Q195),VLOOKUP(Q195,Afactors,2,TRUE),""))</f>
        <v/>
      </c>
      <c r="Z195" s="297" t="str">
        <f>IF(ISBLANK(T195),"",VLOOKUP(T195,'Adjustment factors'!$R$27:$S$30,2,TRUE))</f>
        <v/>
      </c>
      <c r="AA195" s="297" t="str">
        <f>IF(ISBLANK(U195),"",VLOOKUP(U195,'Adjustment factors'!$R$27:$S$30,2,TRUE))</f>
        <v/>
      </c>
      <c r="AB195" s="480">
        <f t="shared" si="226"/>
        <v>1</v>
      </c>
      <c r="AC195" s="18" t="b">
        <f t="shared" si="183"/>
        <v>0</v>
      </c>
      <c r="AD195" s="18" t="b">
        <f t="shared" si="184"/>
        <v>0</v>
      </c>
      <c r="AE195" s="18" t="b">
        <f t="shared" si="249"/>
        <v>0</v>
      </c>
      <c r="AF195" s="17" t="str">
        <f t="shared" si="185"/>
        <v/>
      </c>
      <c r="AG195" s="18" t="str">
        <f t="shared" si="186"/>
        <v/>
      </c>
      <c r="AH195" s="17" t="str">
        <f t="shared" si="250"/>
        <v/>
      </c>
      <c r="AI195" s="297" t="e">
        <f t="shared" si="227"/>
        <v>#VALUE!</v>
      </c>
      <c r="AJ195" s="79" t="e">
        <f t="shared" si="187"/>
        <v>#VALUE!</v>
      </c>
      <c r="AK195" s="17" t="str">
        <f t="shared" si="251"/>
        <v/>
      </c>
      <c r="AL195" s="80" t="e">
        <f t="shared" si="188"/>
        <v>#VALUE!</v>
      </c>
      <c r="AM195" s="139" t="b">
        <f t="shared" si="189"/>
        <v>1</v>
      </c>
      <c r="AN195" s="139" t="b">
        <f>AND(COUNTA(E195)&gt;0,ISNUMBER(F195),OR(COUNT(G195:H195)=0,COUNT(G195:H195)=2,AND(ISNUMBER(G195),ISNUMBER(VALUE(LEFT(H195,SUM(LEN(H195)-LEN(SUBSTITUTE(H195,{"0","1","2","3","4","5","6","7","8","9","."},"")))))))),ISNUMBER(I195),ISTEXT(J195))</f>
        <v>0</v>
      </c>
      <c r="AO195" s="19" t="b">
        <f t="shared" si="190"/>
        <v>0</v>
      </c>
      <c r="AP195" s="19" t="b">
        <f t="shared" si="191"/>
        <v>1</v>
      </c>
      <c r="AQ195" s="19" t="b">
        <f>IF(AND(COUNTBLANK(E195:J195)=6,OR(AN196:AN$523)),NOT(AN195))</f>
        <v>0</v>
      </c>
      <c r="AR195" s="19" t="str">
        <f t="shared" si="192"/>
        <v/>
      </c>
      <c r="AS195" s="19" t="b">
        <f t="shared" si="193"/>
        <v>1</v>
      </c>
      <c r="AT195" s="19" t="str">
        <f t="shared" si="194"/>
        <v/>
      </c>
      <c r="AU195" s="19" t="b">
        <f t="shared" si="195"/>
        <v>1</v>
      </c>
      <c r="AV195" s="140" t="str">
        <f t="shared" si="233"/>
        <v/>
      </c>
      <c r="AW195" s="19" t="str">
        <f t="shared" si="196"/>
        <v/>
      </c>
      <c r="AX195" s="81">
        <f t="shared" si="197"/>
        <v>0</v>
      </c>
      <c r="AY195" s="81" t="str">
        <f t="shared" si="198"/>
        <v/>
      </c>
      <c r="AZ195" s="307" t="str">
        <f t="shared" si="228"/>
        <v/>
      </c>
      <c r="BA195" s="281" t="str">
        <f t="shared" si="234"/>
        <v/>
      </c>
      <c r="BB195" s="281" t="str">
        <f t="shared" si="235"/>
        <v/>
      </c>
      <c r="BC195" s="953"/>
      <c r="BD195" s="955"/>
      <c r="BE195" s="219" t="str">
        <f t="shared" si="199"/>
        <v>n/a</v>
      </c>
      <c r="BF195" s="215" t="b">
        <f t="shared" si="200"/>
        <v>0</v>
      </c>
      <c r="BG195" s="145" t="b">
        <f t="shared" si="201"/>
        <v>0</v>
      </c>
      <c r="BH195" s="145" t="b">
        <f t="shared" si="202"/>
        <v>0</v>
      </c>
      <c r="BI195" s="216" t="b">
        <f t="shared" si="203"/>
        <v>0</v>
      </c>
      <c r="BJ195" s="215" t="b">
        <f t="shared" si="204"/>
        <v>0</v>
      </c>
      <c r="BK195" s="145" t="b">
        <f t="shared" si="205"/>
        <v>0</v>
      </c>
      <c r="BL195" s="216" t="b">
        <f t="shared" si="206"/>
        <v>0</v>
      </c>
      <c r="BM195" s="217" t="str">
        <f t="shared" si="236"/>
        <v/>
      </c>
      <c r="BN195" s="146" t="str">
        <f t="shared" si="237"/>
        <v/>
      </c>
      <c r="BO195" s="147" t="str">
        <f t="shared" si="238"/>
        <v/>
      </c>
      <c r="BP195" s="148" t="str">
        <f t="shared" si="239"/>
        <v/>
      </c>
      <c r="BT195" s="50">
        <f t="shared" si="254"/>
        <v>172</v>
      </c>
      <c r="BU195" s="50" t="str">
        <f t="shared" si="180"/>
        <v>-</v>
      </c>
      <c r="BW195" s="340"/>
      <c r="BX195" s="333"/>
      <c r="BY195" s="333"/>
      <c r="BZ195" s="333"/>
      <c r="CA195" s="333"/>
      <c r="CB195" s="333"/>
      <c r="CC195" s="333"/>
      <c r="CD195" s="333"/>
      <c r="CE195" s="333"/>
      <c r="CF195" s="333"/>
      <c r="CG195" s="354">
        <f t="shared" si="207"/>
        <v>172</v>
      </c>
      <c r="CH195" s="613">
        <f t="shared" si="208"/>
        <v>0</v>
      </c>
      <c r="CI195" s="613">
        <f t="shared" si="209"/>
        <v>0</v>
      </c>
      <c r="CJ195" s="614" t="str">
        <f t="shared" si="210"/>
        <v/>
      </c>
      <c r="CK195" s="615" t="str">
        <f t="shared" si="211"/>
        <v/>
      </c>
      <c r="CL195" s="610" t="str">
        <f>IF(ISBLANK(H195),"",IF(AND(ISNUMBER(F195),ISNUMBER(G195),ISNUMBER(H195)),ROUND(F195/(H195*G195),2),ROUND(F195/(VALUE(LEFT(H195,SUM(LEN(H195)-LEN(SUBSTITUTE(H195,{"0","1","2","3","4","5","6","7","8","9","."},"")))))*G195),2)))</f>
        <v/>
      </c>
      <c r="CM195" s="616" t="str">
        <f t="shared" si="240"/>
        <v/>
      </c>
      <c r="CN195" s="616" t="str">
        <f>IF(ISNUMBER(P195),MAX('Adjustment factors'!$S$16,(0.2+0.8*P195)),IF(ISTEXT(N195),VLOOKUP(N195,Afactors,2,FALSE),""))</f>
        <v/>
      </c>
      <c r="CO195" s="616" t="str">
        <f>IF(ISNUMBER(S195),MAX('Adjustment factors'!$S$16,0.2+0.8*S195),IF(ISTEXT(Q195),VLOOKUP(Q195,Afactors,2,FALSE),""))</f>
        <v/>
      </c>
      <c r="CP195" s="611" t="str">
        <f t="shared" si="229"/>
        <v/>
      </c>
      <c r="CQ195" s="612" t="str">
        <f t="shared" si="230"/>
        <v/>
      </c>
      <c r="CR195" s="340"/>
      <c r="CS195" s="340"/>
      <c r="CT195" s="340"/>
      <c r="CU195" s="340"/>
      <c r="CV195" s="333"/>
      <c r="CW195" s="333"/>
      <c r="CX195" s="333"/>
      <c r="CY195" s="333"/>
      <c r="DA195" s="313" t="str">
        <f t="shared" si="212"/>
        <v>OK</v>
      </c>
      <c r="DB195" s="313" t="str">
        <f t="shared" si="213"/>
        <v>OK</v>
      </c>
      <c r="DC195" s="313" t="str">
        <f t="shared" si="214"/>
        <v>OK</v>
      </c>
      <c r="DD195" s="313" t="str">
        <f t="shared" si="215"/>
        <v>OK</v>
      </c>
      <c r="DE195" s="153" t="str">
        <f t="shared" si="216"/>
        <v>OK</v>
      </c>
      <c r="DF195" s="314" t="str">
        <f t="shared" si="217"/>
        <v>OK</v>
      </c>
      <c r="DG195" s="482" t="str">
        <f t="shared" si="231"/>
        <v>OK</v>
      </c>
      <c r="DH195" s="482" t="str">
        <f>IF(OR(AND(T195='Adjustment factors'!$R$28,'Class 3, 5-9'!U195='Adjustment factors'!$R$29),AND('Class 3, 5-9'!T195='Adjustment factors'!$R$29,'Class 3, 5-9'!U195='Adjustment factors'!$R$28)),"Invalid combination of adjustment factors",IF(AND(T195=U195,NOT(ISBLANK(T195)),NOT(ISBLANK(U195))),"Same colour factor selected twice","OK"))</f>
        <v>OK</v>
      </c>
      <c r="DI195" s="313" t="str">
        <f t="shared" si="218"/>
        <v>OK</v>
      </c>
      <c r="DJ195" s="153" t="str">
        <f t="shared" si="241"/>
        <v>OK</v>
      </c>
      <c r="DK195" s="153" t="str">
        <f t="shared" si="219"/>
        <v>OK</v>
      </c>
      <c r="DL195" s="313" t="str">
        <f t="shared" si="220"/>
        <v>OK</v>
      </c>
      <c r="DM195" s="153" t="str">
        <f t="shared" si="221"/>
        <v>OK</v>
      </c>
      <c r="DN195" s="153" t="str">
        <f t="shared" si="242"/>
        <v>OK</v>
      </c>
      <c r="DO195" s="154" t="str">
        <f t="shared" si="243"/>
        <v>OK</v>
      </c>
      <c r="DP195" s="153" t="str">
        <f t="shared" si="222"/>
        <v>OK</v>
      </c>
      <c r="DQ195" s="313" t="str">
        <f t="shared" si="223"/>
        <v>OK</v>
      </c>
      <c r="DR195" s="153" t="str">
        <f t="shared" si="244"/>
        <v>OK</v>
      </c>
      <c r="DS195" s="153" t="str">
        <f t="shared" si="224"/>
        <v>OK</v>
      </c>
      <c r="DT195" s="313" t="str">
        <f t="shared" si="232"/>
        <v>OK</v>
      </c>
      <c r="DU195" s="153" t="str">
        <f t="shared" si="225"/>
        <v>OK</v>
      </c>
      <c r="DV195" s="153" t="str">
        <f t="shared" si="245"/>
        <v>OK</v>
      </c>
      <c r="DW195" s="154" t="str">
        <f t="shared" si="246"/>
        <v>OK</v>
      </c>
      <c r="DX195" s="157">
        <f t="shared" si="247"/>
        <v>0</v>
      </c>
      <c r="DY195" s="156" t="str">
        <f t="shared" si="248"/>
        <v>OK</v>
      </c>
    </row>
    <row r="196" spans="1:129" ht="13" hidden="1" x14ac:dyDescent="0.3">
      <c r="A196" s="333"/>
      <c r="B196" s="333"/>
      <c r="C196" s="332" t="str">
        <f t="shared" si="181"/>
        <v>-</v>
      </c>
      <c r="D196" s="584">
        <f t="shared" si="253"/>
        <v>173</v>
      </c>
      <c r="E196" s="585"/>
      <c r="F196" s="586"/>
      <c r="G196" s="600"/>
      <c r="H196" s="587"/>
      <c r="I196" s="601"/>
      <c r="J196" s="585"/>
      <c r="K196" s="617"/>
      <c r="L196" s="602"/>
      <c r="M196" s="603"/>
      <c r="N196" s="588"/>
      <c r="O196" s="604"/>
      <c r="P196" s="605"/>
      <c r="Q196" s="588"/>
      <c r="R196" s="604"/>
      <c r="S196" s="605"/>
      <c r="T196" s="606"/>
      <c r="U196" s="606"/>
      <c r="V196" s="429" t="str">
        <f t="shared" si="255"/>
        <v/>
      </c>
      <c r="W196" s="430" t="str">
        <f t="shared" si="252"/>
        <v/>
      </c>
      <c r="X196" s="66" t="str">
        <f>IF(AND(ISNUMBER(P196),N196=FixedDim),MAX('Adjustment factors'!$S$16,0.2+0.8*P196),IF(ISTEXT(N196),VLOOKUP(N196,Afactors,2,TRUE),""))</f>
        <v/>
      </c>
      <c r="Y196" s="17" t="str">
        <f>IF(AND(ISNUMBER(S196),Q196=FixedDim),MAX('Adjustment factors'!$S$16,0.2+0.8*S196),IF(ISTEXT(Q196),VLOOKUP(Q196,Afactors,2,TRUE),""))</f>
        <v/>
      </c>
      <c r="Z196" s="297" t="str">
        <f>IF(ISBLANK(T196),"",VLOOKUP(T196,'Adjustment factors'!$R$27:$S$30,2,TRUE))</f>
        <v/>
      </c>
      <c r="AA196" s="297" t="str">
        <f>IF(ISBLANK(U196),"",VLOOKUP(U196,'Adjustment factors'!$R$27:$S$30,2,TRUE))</f>
        <v/>
      </c>
      <c r="AB196" s="480">
        <f t="shared" si="226"/>
        <v>1</v>
      </c>
      <c r="AC196" s="18" t="b">
        <f t="shared" si="183"/>
        <v>0</v>
      </c>
      <c r="AD196" s="18" t="b">
        <f t="shared" si="184"/>
        <v>0</v>
      </c>
      <c r="AE196" s="18" t="b">
        <f t="shared" si="249"/>
        <v>0</v>
      </c>
      <c r="AF196" s="17" t="str">
        <f t="shared" si="185"/>
        <v/>
      </c>
      <c r="AG196" s="18" t="str">
        <f t="shared" si="186"/>
        <v/>
      </c>
      <c r="AH196" s="17" t="str">
        <f t="shared" si="250"/>
        <v/>
      </c>
      <c r="AI196" s="297" t="e">
        <f t="shared" si="227"/>
        <v>#VALUE!</v>
      </c>
      <c r="AJ196" s="79" t="e">
        <f t="shared" si="187"/>
        <v>#VALUE!</v>
      </c>
      <c r="AK196" s="17" t="str">
        <f t="shared" si="251"/>
        <v/>
      </c>
      <c r="AL196" s="80" t="e">
        <f t="shared" si="188"/>
        <v>#VALUE!</v>
      </c>
      <c r="AM196" s="139" t="b">
        <f t="shared" si="189"/>
        <v>1</v>
      </c>
      <c r="AN196" s="139" t="b">
        <f>AND(COUNTA(E196)&gt;0,ISNUMBER(F196),OR(COUNT(G196:H196)=0,COUNT(G196:H196)=2,AND(ISNUMBER(G196),ISNUMBER(VALUE(LEFT(H196,SUM(LEN(H196)-LEN(SUBSTITUTE(H196,{"0","1","2","3","4","5","6","7","8","9","."},"")))))))),ISNUMBER(I196),ISTEXT(J196))</f>
        <v>0</v>
      </c>
      <c r="AO196" s="19" t="b">
        <f t="shared" si="190"/>
        <v>0</v>
      </c>
      <c r="AP196" s="19" t="b">
        <f t="shared" si="191"/>
        <v>1</v>
      </c>
      <c r="AQ196" s="19" t="b">
        <f>IF(AND(COUNTBLANK(E196:J196)=6,OR(AN197:AN$523)),NOT(AN196))</f>
        <v>0</v>
      </c>
      <c r="AR196" s="19" t="str">
        <f t="shared" si="192"/>
        <v/>
      </c>
      <c r="AS196" s="19" t="b">
        <f t="shared" si="193"/>
        <v>1</v>
      </c>
      <c r="AT196" s="19" t="str">
        <f t="shared" si="194"/>
        <v/>
      </c>
      <c r="AU196" s="19" t="b">
        <f t="shared" si="195"/>
        <v>1</v>
      </c>
      <c r="AV196" s="140" t="str">
        <f t="shared" si="233"/>
        <v/>
      </c>
      <c r="AW196" s="19" t="str">
        <f t="shared" si="196"/>
        <v/>
      </c>
      <c r="AX196" s="81">
        <f t="shared" si="197"/>
        <v>0</v>
      </c>
      <c r="AY196" s="81" t="str">
        <f t="shared" si="198"/>
        <v/>
      </c>
      <c r="AZ196" s="307" t="str">
        <f t="shared" si="228"/>
        <v/>
      </c>
      <c r="BA196" s="281" t="str">
        <f t="shared" si="234"/>
        <v/>
      </c>
      <c r="BB196" s="281" t="str">
        <f t="shared" si="235"/>
        <v/>
      </c>
      <c r="BC196" s="953"/>
      <c r="BD196" s="955"/>
      <c r="BE196" s="219" t="str">
        <f t="shared" si="199"/>
        <v>n/a</v>
      </c>
      <c r="BF196" s="215" t="b">
        <f t="shared" si="200"/>
        <v>0</v>
      </c>
      <c r="BG196" s="145" t="b">
        <f t="shared" si="201"/>
        <v>0</v>
      </c>
      <c r="BH196" s="145" t="b">
        <f t="shared" si="202"/>
        <v>0</v>
      </c>
      <c r="BI196" s="216" t="b">
        <f t="shared" si="203"/>
        <v>0</v>
      </c>
      <c r="BJ196" s="215" t="b">
        <f t="shared" si="204"/>
        <v>0</v>
      </c>
      <c r="BK196" s="145" t="b">
        <f t="shared" si="205"/>
        <v>0</v>
      </c>
      <c r="BL196" s="216" t="b">
        <f t="shared" si="206"/>
        <v>0</v>
      </c>
      <c r="BM196" s="217" t="str">
        <f t="shared" si="236"/>
        <v/>
      </c>
      <c r="BN196" s="146" t="str">
        <f t="shared" si="237"/>
        <v/>
      </c>
      <c r="BO196" s="147" t="str">
        <f t="shared" si="238"/>
        <v/>
      </c>
      <c r="BP196" s="148" t="str">
        <f t="shared" si="239"/>
        <v/>
      </c>
      <c r="BT196" s="50">
        <f t="shared" si="254"/>
        <v>173</v>
      </c>
      <c r="BU196" s="50" t="str">
        <f t="shared" si="180"/>
        <v>-</v>
      </c>
      <c r="BW196" s="340"/>
      <c r="BX196" s="333"/>
      <c r="BY196" s="333"/>
      <c r="BZ196" s="333"/>
      <c r="CA196" s="333"/>
      <c r="CB196" s="333"/>
      <c r="CC196" s="333"/>
      <c r="CD196" s="333"/>
      <c r="CE196" s="333"/>
      <c r="CF196" s="333"/>
      <c r="CG196" s="354">
        <f t="shared" si="207"/>
        <v>173</v>
      </c>
      <c r="CH196" s="613">
        <f t="shared" si="208"/>
        <v>0</v>
      </c>
      <c r="CI196" s="613">
        <f t="shared" si="209"/>
        <v>0</v>
      </c>
      <c r="CJ196" s="614" t="str">
        <f t="shared" si="210"/>
        <v/>
      </c>
      <c r="CK196" s="615" t="str">
        <f t="shared" si="211"/>
        <v/>
      </c>
      <c r="CL196" s="610" t="str">
        <f>IF(ISBLANK(H196),"",IF(AND(ISNUMBER(F196),ISNUMBER(G196),ISNUMBER(H196)),ROUND(F196/(H196*G196),2),ROUND(F196/(VALUE(LEFT(H196,SUM(LEN(H196)-LEN(SUBSTITUTE(H196,{"0","1","2","3","4","5","6","7","8","9","."},"")))))*G196),2)))</f>
        <v/>
      </c>
      <c r="CM196" s="616" t="str">
        <f t="shared" si="240"/>
        <v/>
      </c>
      <c r="CN196" s="616" t="str">
        <f>IF(ISNUMBER(P196),MAX('Adjustment factors'!$S$16,(0.2+0.8*P196)),IF(ISTEXT(N196),VLOOKUP(N196,Afactors,2,FALSE),""))</f>
        <v/>
      </c>
      <c r="CO196" s="616" t="str">
        <f>IF(ISNUMBER(S196),MAX('Adjustment factors'!$S$16,0.2+0.8*S196),IF(ISTEXT(Q196),VLOOKUP(Q196,Afactors,2,FALSE),""))</f>
        <v/>
      </c>
      <c r="CP196" s="611" t="str">
        <f t="shared" si="229"/>
        <v/>
      </c>
      <c r="CQ196" s="612" t="str">
        <f t="shared" si="230"/>
        <v/>
      </c>
      <c r="CR196" s="340"/>
      <c r="CS196" s="340"/>
      <c r="CT196" s="340"/>
      <c r="CU196" s="340"/>
      <c r="CV196" s="333"/>
      <c r="CW196" s="333"/>
      <c r="CX196" s="333"/>
      <c r="CY196" s="333"/>
      <c r="DA196" s="313" t="str">
        <f t="shared" si="212"/>
        <v>OK</v>
      </c>
      <c r="DB196" s="313" t="str">
        <f t="shared" si="213"/>
        <v>OK</v>
      </c>
      <c r="DC196" s="313" t="str">
        <f t="shared" si="214"/>
        <v>OK</v>
      </c>
      <c r="DD196" s="313" t="str">
        <f t="shared" si="215"/>
        <v>OK</v>
      </c>
      <c r="DE196" s="153" t="str">
        <f t="shared" si="216"/>
        <v>OK</v>
      </c>
      <c r="DF196" s="314" t="str">
        <f t="shared" si="217"/>
        <v>OK</v>
      </c>
      <c r="DG196" s="482" t="str">
        <f t="shared" si="231"/>
        <v>OK</v>
      </c>
      <c r="DH196" s="482" t="str">
        <f>IF(OR(AND(T196='Adjustment factors'!$R$28,'Class 3, 5-9'!U196='Adjustment factors'!$R$29),AND('Class 3, 5-9'!T196='Adjustment factors'!$R$29,'Class 3, 5-9'!U196='Adjustment factors'!$R$28)),"Invalid combination of adjustment factors",IF(AND(T196=U196,NOT(ISBLANK(T196)),NOT(ISBLANK(U196))),"Same colour factor selected twice","OK"))</f>
        <v>OK</v>
      </c>
      <c r="DI196" s="313" t="str">
        <f t="shared" si="218"/>
        <v>OK</v>
      </c>
      <c r="DJ196" s="153" t="str">
        <f t="shared" si="241"/>
        <v>OK</v>
      </c>
      <c r="DK196" s="153" t="str">
        <f t="shared" si="219"/>
        <v>OK</v>
      </c>
      <c r="DL196" s="313" t="str">
        <f t="shared" si="220"/>
        <v>OK</v>
      </c>
      <c r="DM196" s="153" t="str">
        <f t="shared" si="221"/>
        <v>OK</v>
      </c>
      <c r="DN196" s="153" t="str">
        <f t="shared" si="242"/>
        <v>OK</v>
      </c>
      <c r="DO196" s="154" t="str">
        <f t="shared" si="243"/>
        <v>OK</v>
      </c>
      <c r="DP196" s="153" t="str">
        <f t="shared" si="222"/>
        <v>OK</v>
      </c>
      <c r="DQ196" s="313" t="str">
        <f t="shared" si="223"/>
        <v>OK</v>
      </c>
      <c r="DR196" s="153" t="str">
        <f t="shared" si="244"/>
        <v>OK</v>
      </c>
      <c r="DS196" s="153" t="str">
        <f t="shared" si="224"/>
        <v>OK</v>
      </c>
      <c r="DT196" s="313" t="str">
        <f t="shared" si="232"/>
        <v>OK</v>
      </c>
      <c r="DU196" s="153" t="str">
        <f t="shared" si="225"/>
        <v>OK</v>
      </c>
      <c r="DV196" s="153" t="str">
        <f t="shared" si="245"/>
        <v>OK</v>
      </c>
      <c r="DW196" s="154" t="str">
        <f t="shared" si="246"/>
        <v>OK</v>
      </c>
      <c r="DX196" s="157">
        <f t="shared" si="247"/>
        <v>0</v>
      </c>
      <c r="DY196" s="156" t="str">
        <f t="shared" si="248"/>
        <v>OK</v>
      </c>
    </row>
    <row r="197" spans="1:129" ht="13" hidden="1" x14ac:dyDescent="0.3">
      <c r="A197" s="333"/>
      <c r="B197" s="333"/>
      <c r="C197" s="332" t="str">
        <f t="shared" si="181"/>
        <v>-</v>
      </c>
      <c r="D197" s="584">
        <f t="shared" si="253"/>
        <v>174</v>
      </c>
      <c r="E197" s="585"/>
      <c r="F197" s="586"/>
      <c r="G197" s="600"/>
      <c r="H197" s="587"/>
      <c r="I197" s="601"/>
      <c r="J197" s="585"/>
      <c r="K197" s="617"/>
      <c r="L197" s="602"/>
      <c r="M197" s="603"/>
      <c r="N197" s="588"/>
      <c r="O197" s="604"/>
      <c r="P197" s="605"/>
      <c r="Q197" s="588"/>
      <c r="R197" s="604"/>
      <c r="S197" s="605"/>
      <c r="T197" s="606"/>
      <c r="U197" s="606"/>
      <c r="V197" s="429" t="str">
        <f t="shared" si="255"/>
        <v/>
      </c>
      <c r="W197" s="430" t="str">
        <f t="shared" si="252"/>
        <v/>
      </c>
      <c r="X197" s="66" t="str">
        <f>IF(AND(ISNUMBER(P197),N197=FixedDim),MAX('Adjustment factors'!$S$16,0.2+0.8*P197),IF(ISTEXT(N197),VLOOKUP(N197,Afactors,2,TRUE),""))</f>
        <v/>
      </c>
      <c r="Y197" s="17" t="str">
        <f>IF(AND(ISNUMBER(S197),Q197=FixedDim),MAX('Adjustment factors'!$S$16,0.2+0.8*S197),IF(ISTEXT(Q197),VLOOKUP(Q197,Afactors,2,TRUE),""))</f>
        <v/>
      </c>
      <c r="Z197" s="297" t="str">
        <f>IF(ISBLANK(T197),"",VLOOKUP(T197,'Adjustment factors'!$R$27:$S$30,2,TRUE))</f>
        <v/>
      </c>
      <c r="AA197" s="297" t="str">
        <f>IF(ISBLANK(U197),"",VLOOKUP(U197,'Adjustment factors'!$R$27:$S$30,2,TRUE))</f>
        <v/>
      </c>
      <c r="AB197" s="480">
        <f t="shared" si="226"/>
        <v>1</v>
      </c>
      <c r="AC197" s="18" t="b">
        <f t="shared" si="183"/>
        <v>0</v>
      </c>
      <c r="AD197" s="18" t="b">
        <f t="shared" si="184"/>
        <v>0</v>
      </c>
      <c r="AE197" s="18" t="b">
        <f t="shared" si="249"/>
        <v>0</v>
      </c>
      <c r="AF197" s="17" t="str">
        <f t="shared" si="185"/>
        <v/>
      </c>
      <c r="AG197" s="18" t="str">
        <f t="shared" si="186"/>
        <v/>
      </c>
      <c r="AH197" s="17" t="str">
        <f t="shared" si="250"/>
        <v/>
      </c>
      <c r="AI197" s="297" t="e">
        <f t="shared" si="227"/>
        <v>#VALUE!</v>
      </c>
      <c r="AJ197" s="79" t="e">
        <f t="shared" si="187"/>
        <v>#VALUE!</v>
      </c>
      <c r="AK197" s="17" t="str">
        <f t="shared" si="251"/>
        <v/>
      </c>
      <c r="AL197" s="80" t="e">
        <f t="shared" si="188"/>
        <v>#VALUE!</v>
      </c>
      <c r="AM197" s="139" t="b">
        <f t="shared" si="189"/>
        <v>1</v>
      </c>
      <c r="AN197" s="139" t="b">
        <f>AND(COUNTA(E197)&gt;0,ISNUMBER(F197),OR(COUNT(G197:H197)=0,COUNT(G197:H197)=2,AND(ISNUMBER(G197),ISNUMBER(VALUE(LEFT(H197,SUM(LEN(H197)-LEN(SUBSTITUTE(H197,{"0","1","2","3","4","5","6","7","8","9","."},"")))))))),ISNUMBER(I197),ISTEXT(J197))</f>
        <v>0</v>
      </c>
      <c r="AO197" s="19" t="b">
        <f t="shared" si="190"/>
        <v>0</v>
      </c>
      <c r="AP197" s="19" t="b">
        <f t="shared" si="191"/>
        <v>1</v>
      </c>
      <c r="AQ197" s="19" t="b">
        <f>IF(AND(COUNTBLANK(E197:J197)=6,OR(AN198:AN$523)),NOT(AN197))</f>
        <v>0</v>
      </c>
      <c r="AR197" s="19" t="str">
        <f t="shared" si="192"/>
        <v/>
      </c>
      <c r="AS197" s="19" t="b">
        <f t="shared" si="193"/>
        <v>1</v>
      </c>
      <c r="AT197" s="19" t="str">
        <f t="shared" si="194"/>
        <v/>
      </c>
      <c r="AU197" s="19" t="b">
        <f t="shared" si="195"/>
        <v>1</v>
      </c>
      <c r="AV197" s="140" t="str">
        <f t="shared" si="233"/>
        <v/>
      </c>
      <c r="AW197" s="19" t="str">
        <f t="shared" si="196"/>
        <v/>
      </c>
      <c r="AX197" s="81">
        <f t="shared" si="197"/>
        <v>0</v>
      </c>
      <c r="AY197" s="81" t="str">
        <f t="shared" si="198"/>
        <v/>
      </c>
      <c r="AZ197" s="307" t="str">
        <f t="shared" si="228"/>
        <v/>
      </c>
      <c r="BA197" s="281" t="str">
        <f t="shared" si="234"/>
        <v/>
      </c>
      <c r="BB197" s="281" t="str">
        <f t="shared" si="235"/>
        <v/>
      </c>
      <c r="BC197" s="953"/>
      <c r="BD197" s="955"/>
      <c r="BE197" s="219" t="str">
        <f t="shared" si="199"/>
        <v>n/a</v>
      </c>
      <c r="BF197" s="215" t="b">
        <f t="shared" si="200"/>
        <v>0</v>
      </c>
      <c r="BG197" s="145" t="b">
        <f t="shared" si="201"/>
        <v>0</v>
      </c>
      <c r="BH197" s="145" t="b">
        <f t="shared" si="202"/>
        <v>0</v>
      </c>
      <c r="BI197" s="216" t="b">
        <f t="shared" si="203"/>
        <v>0</v>
      </c>
      <c r="BJ197" s="215" t="b">
        <f t="shared" si="204"/>
        <v>0</v>
      </c>
      <c r="BK197" s="145" t="b">
        <f t="shared" si="205"/>
        <v>0</v>
      </c>
      <c r="BL197" s="216" t="b">
        <f t="shared" si="206"/>
        <v>0</v>
      </c>
      <c r="BM197" s="217" t="str">
        <f t="shared" si="236"/>
        <v/>
      </c>
      <c r="BN197" s="146" t="str">
        <f t="shared" si="237"/>
        <v/>
      </c>
      <c r="BO197" s="147" t="str">
        <f t="shared" si="238"/>
        <v/>
      </c>
      <c r="BP197" s="148" t="str">
        <f t="shared" si="239"/>
        <v/>
      </c>
      <c r="BT197" s="50">
        <f t="shared" si="254"/>
        <v>174</v>
      </c>
      <c r="BU197" s="50" t="str">
        <f t="shared" si="180"/>
        <v>-</v>
      </c>
      <c r="BW197" s="340"/>
      <c r="BX197" s="333"/>
      <c r="BY197" s="333"/>
      <c r="BZ197" s="333"/>
      <c r="CA197" s="333"/>
      <c r="CB197" s="333"/>
      <c r="CC197" s="333"/>
      <c r="CD197" s="333"/>
      <c r="CE197" s="333"/>
      <c r="CF197" s="333"/>
      <c r="CG197" s="354">
        <f t="shared" si="207"/>
        <v>174</v>
      </c>
      <c r="CH197" s="613">
        <f t="shared" si="208"/>
        <v>0</v>
      </c>
      <c r="CI197" s="613">
        <f t="shared" si="209"/>
        <v>0</v>
      </c>
      <c r="CJ197" s="614" t="str">
        <f t="shared" si="210"/>
        <v/>
      </c>
      <c r="CK197" s="615" t="str">
        <f t="shared" si="211"/>
        <v/>
      </c>
      <c r="CL197" s="610" t="str">
        <f>IF(ISBLANK(H197),"",IF(AND(ISNUMBER(F197),ISNUMBER(G197),ISNUMBER(H197)),ROUND(F197/(H197*G197),2),ROUND(F197/(VALUE(LEFT(H197,SUM(LEN(H197)-LEN(SUBSTITUTE(H197,{"0","1","2","3","4","5","6","7","8","9","."},"")))))*G197),2)))</f>
        <v/>
      </c>
      <c r="CM197" s="616" t="str">
        <f t="shared" si="240"/>
        <v/>
      </c>
      <c r="CN197" s="616" t="str">
        <f>IF(ISNUMBER(P197),MAX('Adjustment factors'!$S$16,(0.2+0.8*P197)),IF(ISTEXT(N197),VLOOKUP(N197,Afactors,2,FALSE),""))</f>
        <v/>
      </c>
      <c r="CO197" s="616" t="str">
        <f>IF(ISNUMBER(S197),MAX('Adjustment factors'!$S$16,0.2+0.8*S197),IF(ISTEXT(Q197),VLOOKUP(Q197,Afactors,2,FALSE),""))</f>
        <v/>
      </c>
      <c r="CP197" s="611" t="str">
        <f t="shared" si="229"/>
        <v/>
      </c>
      <c r="CQ197" s="612" t="str">
        <f t="shared" si="230"/>
        <v/>
      </c>
      <c r="CR197" s="340"/>
      <c r="CS197" s="340"/>
      <c r="CT197" s="340"/>
      <c r="CU197" s="340"/>
      <c r="CV197" s="333"/>
      <c r="CW197" s="333"/>
      <c r="CX197" s="333"/>
      <c r="CY197" s="333"/>
      <c r="DA197" s="313" t="str">
        <f t="shared" si="212"/>
        <v>OK</v>
      </c>
      <c r="DB197" s="313" t="str">
        <f t="shared" si="213"/>
        <v>OK</v>
      </c>
      <c r="DC197" s="313" t="str">
        <f t="shared" si="214"/>
        <v>OK</v>
      </c>
      <c r="DD197" s="313" t="str">
        <f t="shared" si="215"/>
        <v>OK</v>
      </c>
      <c r="DE197" s="153" t="str">
        <f t="shared" si="216"/>
        <v>OK</v>
      </c>
      <c r="DF197" s="314" t="str">
        <f t="shared" si="217"/>
        <v>OK</v>
      </c>
      <c r="DG197" s="482" t="str">
        <f t="shared" si="231"/>
        <v>OK</v>
      </c>
      <c r="DH197" s="482" t="str">
        <f>IF(OR(AND(T197='Adjustment factors'!$R$28,'Class 3, 5-9'!U197='Adjustment factors'!$R$29),AND('Class 3, 5-9'!T197='Adjustment factors'!$R$29,'Class 3, 5-9'!U197='Adjustment factors'!$R$28)),"Invalid combination of adjustment factors",IF(AND(T197=U197,NOT(ISBLANK(T197)),NOT(ISBLANK(U197))),"Same colour factor selected twice","OK"))</f>
        <v>OK</v>
      </c>
      <c r="DI197" s="313" t="str">
        <f t="shared" si="218"/>
        <v>OK</v>
      </c>
      <c r="DJ197" s="153" t="str">
        <f t="shared" si="241"/>
        <v>OK</v>
      </c>
      <c r="DK197" s="153" t="str">
        <f t="shared" si="219"/>
        <v>OK</v>
      </c>
      <c r="DL197" s="313" t="str">
        <f t="shared" si="220"/>
        <v>OK</v>
      </c>
      <c r="DM197" s="153" t="str">
        <f t="shared" si="221"/>
        <v>OK</v>
      </c>
      <c r="DN197" s="153" t="str">
        <f t="shared" si="242"/>
        <v>OK</v>
      </c>
      <c r="DO197" s="154" t="str">
        <f t="shared" si="243"/>
        <v>OK</v>
      </c>
      <c r="DP197" s="153" t="str">
        <f t="shared" si="222"/>
        <v>OK</v>
      </c>
      <c r="DQ197" s="313" t="str">
        <f t="shared" si="223"/>
        <v>OK</v>
      </c>
      <c r="DR197" s="153" t="str">
        <f t="shared" si="244"/>
        <v>OK</v>
      </c>
      <c r="DS197" s="153" t="str">
        <f t="shared" si="224"/>
        <v>OK</v>
      </c>
      <c r="DT197" s="313" t="str">
        <f t="shared" si="232"/>
        <v>OK</v>
      </c>
      <c r="DU197" s="153" t="str">
        <f t="shared" si="225"/>
        <v>OK</v>
      </c>
      <c r="DV197" s="153" t="str">
        <f t="shared" si="245"/>
        <v>OK</v>
      </c>
      <c r="DW197" s="154" t="str">
        <f t="shared" si="246"/>
        <v>OK</v>
      </c>
      <c r="DX197" s="157">
        <f t="shared" si="247"/>
        <v>0</v>
      </c>
      <c r="DY197" s="156" t="str">
        <f t="shared" si="248"/>
        <v>OK</v>
      </c>
    </row>
    <row r="198" spans="1:129" ht="13" hidden="1" x14ac:dyDescent="0.3">
      <c r="A198" s="333"/>
      <c r="B198" s="333"/>
      <c r="C198" s="332" t="str">
        <f t="shared" si="181"/>
        <v>-</v>
      </c>
      <c r="D198" s="584">
        <f t="shared" si="253"/>
        <v>175</v>
      </c>
      <c r="E198" s="585"/>
      <c r="F198" s="586"/>
      <c r="G198" s="600"/>
      <c r="H198" s="587"/>
      <c r="I198" s="601"/>
      <c r="J198" s="585"/>
      <c r="K198" s="617"/>
      <c r="L198" s="602"/>
      <c r="M198" s="603"/>
      <c r="N198" s="588"/>
      <c r="O198" s="604"/>
      <c r="P198" s="605"/>
      <c r="Q198" s="588"/>
      <c r="R198" s="604"/>
      <c r="S198" s="605"/>
      <c r="T198" s="606"/>
      <c r="U198" s="606"/>
      <c r="V198" s="429" t="str">
        <f t="shared" si="255"/>
        <v/>
      </c>
      <c r="W198" s="430" t="str">
        <f t="shared" si="252"/>
        <v/>
      </c>
      <c r="X198" s="66" t="str">
        <f>IF(AND(ISNUMBER(P198),N198=FixedDim),MAX('Adjustment factors'!$S$16,0.2+0.8*P198),IF(ISTEXT(N198),VLOOKUP(N198,Afactors,2,TRUE),""))</f>
        <v/>
      </c>
      <c r="Y198" s="17" t="str">
        <f>IF(AND(ISNUMBER(S198),Q198=FixedDim),MAX('Adjustment factors'!$S$16,0.2+0.8*S198),IF(ISTEXT(Q198),VLOOKUP(Q198,Afactors,2,TRUE),""))</f>
        <v/>
      </c>
      <c r="Z198" s="297" t="str">
        <f>IF(ISBLANK(T198),"",VLOOKUP(T198,'Adjustment factors'!$R$27:$S$30,2,TRUE))</f>
        <v/>
      </c>
      <c r="AA198" s="297" t="str">
        <f>IF(ISBLANK(U198),"",VLOOKUP(U198,'Adjustment factors'!$R$27:$S$30,2,TRUE))</f>
        <v/>
      </c>
      <c r="AB198" s="480">
        <f t="shared" si="226"/>
        <v>1</v>
      </c>
      <c r="AC198" s="18" t="b">
        <f t="shared" si="183"/>
        <v>0</v>
      </c>
      <c r="AD198" s="18" t="b">
        <f t="shared" si="184"/>
        <v>0</v>
      </c>
      <c r="AE198" s="18" t="b">
        <f t="shared" si="249"/>
        <v>0</v>
      </c>
      <c r="AF198" s="17" t="str">
        <f t="shared" si="185"/>
        <v/>
      </c>
      <c r="AG198" s="18" t="str">
        <f t="shared" si="186"/>
        <v/>
      </c>
      <c r="AH198" s="17" t="str">
        <f t="shared" si="250"/>
        <v/>
      </c>
      <c r="AI198" s="297" t="e">
        <f t="shared" si="227"/>
        <v>#VALUE!</v>
      </c>
      <c r="AJ198" s="79" t="e">
        <f t="shared" si="187"/>
        <v>#VALUE!</v>
      </c>
      <c r="AK198" s="17" t="str">
        <f t="shared" si="251"/>
        <v/>
      </c>
      <c r="AL198" s="80" t="e">
        <f t="shared" si="188"/>
        <v>#VALUE!</v>
      </c>
      <c r="AM198" s="139" t="b">
        <f t="shared" si="189"/>
        <v>1</v>
      </c>
      <c r="AN198" s="139" t="b">
        <f>AND(COUNTA(E198)&gt;0,ISNUMBER(F198),OR(COUNT(G198:H198)=0,COUNT(G198:H198)=2,AND(ISNUMBER(G198),ISNUMBER(VALUE(LEFT(H198,SUM(LEN(H198)-LEN(SUBSTITUTE(H198,{"0","1","2","3","4","5","6","7","8","9","."},"")))))))),ISNUMBER(I198),ISTEXT(J198))</f>
        <v>0</v>
      </c>
      <c r="AO198" s="19" t="b">
        <f t="shared" si="190"/>
        <v>0</v>
      </c>
      <c r="AP198" s="19" t="b">
        <f t="shared" si="191"/>
        <v>1</v>
      </c>
      <c r="AQ198" s="19" t="b">
        <f>IF(AND(COUNTBLANK(E198:J198)=6,OR(AN199:AN$523)),NOT(AN198))</f>
        <v>0</v>
      </c>
      <c r="AR198" s="19" t="str">
        <f t="shared" si="192"/>
        <v/>
      </c>
      <c r="AS198" s="19" t="b">
        <f t="shared" si="193"/>
        <v>1</v>
      </c>
      <c r="AT198" s="19" t="str">
        <f t="shared" si="194"/>
        <v/>
      </c>
      <c r="AU198" s="19" t="b">
        <f t="shared" si="195"/>
        <v>1</v>
      </c>
      <c r="AV198" s="140" t="str">
        <f t="shared" si="233"/>
        <v/>
      </c>
      <c r="AW198" s="19" t="str">
        <f t="shared" si="196"/>
        <v/>
      </c>
      <c r="AX198" s="81">
        <f t="shared" si="197"/>
        <v>0</v>
      </c>
      <c r="AY198" s="81" t="str">
        <f t="shared" si="198"/>
        <v/>
      </c>
      <c r="AZ198" s="307" t="str">
        <f t="shared" si="228"/>
        <v/>
      </c>
      <c r="BA198" s="281" t="str">
        <f t="shared" si="234"/>
        <v/>
      </c>
      <c r="BB198" s="281" t="str">
        <f t="shared" si="235"/>
        <v/>
      </c>
      <c r="BC198" s="953"/>
      <c r="BD198" s="955"/>
      <c r="BE198" s="219" t="str">
        <f t="shared" si="199"/>
        <v>n/a</v>
      </c>
      <c r="BF198" s="215" t="b">
        <f t="shared" si="200"/>
        <v>0</v>
      </c>
      <c r="BG198" s="145" t="b">
        <f t="shared" si="201"/>
        <v>0</v>
      </c>
      <c r="BH198" s="145" t="b">
        <f t="shared" si="202"/>
        <v>0</v>
      </c>
      <c r="BI198" s="216" t="b">
        <f t="shared" si="203"/>
        <v>0</v>
      </c>
      <c r="BJ198" s="215" t="b">
        <f t="shared" si="204"/>
        <v>0</v>
      </c>
      <c r="BK198" s="145" t="b">
        <f t="shared" si="205"/>
        <v>0</v>
      </c>
      <c r="BL198" s="216" t="b">
        <f t="shared" si="206"/>
        <v>0</v>
      </c>
      <c r="BM198" s="217" t="str">
        <f t="shared" si="236"/>
        <v/>
      </c>
      <c r="BN198" s="146" t="str">
        <f t="shared" si="237"/>
        <v/>
      </c>
      <c r="BO198" s="147" t="str">
        <f t="shared" si="238"/>
        <v/>
      </c>
      <c r="BP198" s="148" t="str">
        <f t="shared" si="239"/>
        <v/>
      </c>
      <c r="BT198" s="50">
        <f t="shared" si="254"/>
        <v>175</v>
      </c>
      <c r="BU198" s="50" t="str">
        <f t="shared" ref="BU198:BU228" si="256">IF(RowsPreferredOne&gt;=BT198,RowsPreferredOne,"-")</f>
        <v>-</v>
      </c>
      <c r="BW198" s="340"/>
      <c r="BX198" s="333"/>
      <c r="BY198" s="333"/>
      <c r="BZ198" s="333"/>
      <c r="CA198" s="333"/>
      <c r="CB198" s="333"/>
      <c r="CC198" s="333"/>
      <c r="CD198" s="333"/>
      <c r="CE198" s="333"/>
      <c r="CF198" s="333"/>
      <c r="CG198" s="354">
        <f t="shared" si="207"/>
        <v>175</v>
      </c>
      <c r="CH198" s="613">
        <f t="shared" si="208"/>
        <v>0</v>
      </c>
      <c r="CI198" s="613">
        <f t="shared" si="209"/>
        <v>0</v>
      </c>
      <c r="CJ198" s="614" t="str">
        <f t="shared" si="210"/>
        <v/>
      </c>
      <c r="CK198" s="615" t="str">
        <f t="shared" si="211"/>
        <v/>
      </c>
      <c r="CL198" s="610" t="str">
        <f>IF(ISBLANK(H198),"",IF(AND(ISNUMBER(F198),ISNUMBER(G198),ISNUMBER(H198)),ROUND(F198/(H198*G198),2),ROUND(F198/(VALUE(LEFT(H198,SUM(LEN(H198)-LEN(SUBSTITUTE(H198,{"0","1","2","3","4","5","6","7","8","9","."},"")))))*G198),2)))</f>
        <v/>
      </c>
      <c r="CM198" s="616" t="str">
        <f t="shared" si="240"/>
        <v/>
      </c>
      <c r="CN198" s="616" t="str">
        <f>IF(ISNUMBER(P198),MAX('Adjustment factors'!$S$16,(0.2+0.8*P198)),IF(ISTEXT(N198),VLOOKUP(N198,Afactors,2,FALSE),""))</f>
        <v/>
      </c>
      <c r="CO198" s="616" t="str">
        <f>IF(ISNUMBER(S198),MAX('Adjustment factors'!$S$16,0.2+0.8*S198),IF(ISTEXT(Q198),VLOOKUP(Q198,Afactors,2,FALSE),""))</f>
        <v/>
      </c>
      <c r="CP198" s="611" t="str">
        <f t="shared" si="229"/>
        <v/>
      </c>
      <c r="CQ198" s="612" t="str">
        <f t="shared" si="230"/>
        <v/>
      </c>
      <c r="CR198" s="340"/>
      <c r="CS198" s="340"/>
      <c r="CT198" s="340"/>
      <c r="CU198" s="340"/>
      <c r="CV198" s="333"/>
      <c r="CW198" s="333"/>
      <c r="CX198" s="333"/>
      <c r="CY198" s="333"/>
      <c r="DA198" s="313" t="str">
        <f t="shared" si="212"/>
        <v>OK</v>
      </c>
      <c r="DB198" s="313" t="str">
        <f t="shared" si="213"/>
        <v>OK</v>
      </c>
      <c r="DC198" s="313" t="str">
        <f t="shared" si="214"/>
        <v>OK</v>
      </c>
      <c r="DD198" s="313" t="str">
        <f t="shared" si="215"/>
        <v>OK</v>
      </c>
      <c r="DE198" s="153" t="str">
        <f t="shared" si="216"/>
        <v>OK</v>
      </c>
      <c r="DF198" s="314" t="str">
        <f t="shared" si="217"/>
        <v>OK</v>
      </c>
      <c r="DG198" s="482" t="str">
        <f t="shared" si="231"/>
        <v>OK</v>
      </c>
      <c r="DH198" s="482" t="str">
        <f>IF(OR(AND(T198='Adjustment factors'!$R$28,'Class 3, 5-9'!U198='Adjustment factors'!$R$29),AND('Class 3, 5-9'!T198='Adjustment factors'!$R$29,'Class 3, 5-9'!U198='Adjustment factors'!$R$28)),"Invalid combination of adjustment factors",IF(AND(T198=U198,NOT(ISBLANK(T198)),NOT(ISBLANK(U198))),"Same colour factor selected twice","OK"))</f>
        <v>OK</v>
      </c>
      <c r="DI198" s="313" t="str">
        <f t="shared" si="218"/>
        <v>OK</v>
      </c>
      <c r="DJ198" s="153" t="str">
        <f t="shared" si="241"/>
        <v>OK</v>
      </c>
      <c r="DK198" s="153" t="str">
        <f t="shared" si="219"/>
        <v>OK</v>
      </c>
      <c r="DL198" s="313" t="str">
        <f t="shared" si="220"/>
        <v>OK</v>
      </c>
      <c r="DM198" s="153" t="str">
        <f t="shared" si="221"/>
        <v>OK</v>
      </c>
      <c r="DN198" s="153" t="str">
        <f t="shared" si="242"/>
        <v>OK</v>
      </c>
      <c r="DO198" s="154" t="str">
        <f t="shared" si="243"/>
        <v>OK</v>
      </c>
      <c r="DP198" s="153" t="str">
        <f t="shared" si="222"/>
        <v>OK</v>
      </c>
      <c r="DQ198" s="313" t="str">
        <f t="shared" si="223"/>
        <v>OK</v>
      </c>
      <c r="DR198" s="153" t="str">
        <f t="shared" si="244"/>
        <v>OK</v>
      </c>
      <c r="DS198" s="153" t="str">
        <f t="shared" si="224"/>
        <v>OK</v>
      </c>
      <c r="DT198" s="313" t="str">
        <f t="shared" si="232"/>
        <v>OK</v>
      </c>
      <c r="DU198" s="153" t="str">
        <f t="shared" si="225"/>
        <v>OK</v>
      </c>
      <c r="DV198" s="153" t="str">
        <f t="shared" si="245"/>
        <v>OK</v>
      </c>
      <c r="DW198" s="154" t="str">
        <f t="shared" si="246"/>
        <v>OK</v>
      </c>
      <c r="DX198" s="157">
        <f t="shared" si="247"/>
        <v>0</v>
      </c>
      <c r="DY198" s="156" t="str">
        <f t="shared" si="248"/>
        <v>OK</v>
      </c>
    </row>
    <row r="199" spans="1:129" ht="13" hidden="1" x14ac:dyDescent="0.3">
      <c r="A199" s="333"/>
      <c r="B199" s="333"/>
      <c r="C199" s="332" t="str">
        <f t="shared" si="181"/>
        <v>-</v>
      </c>
      <c r="D199" s="584">
        <f t="shared" si="253"/>
        <v>176</v>
      </c>
      <c r="E199" s="585"/>
      <c r="F199" s="586"/>
      <c r="G199" s="600"/>
      <c r="H199" s="587"/>
      <c r="I199" s="601"/>
      <c r="J199" s="585"/>
      <c r="K199" s="617"/>
      <c r="L199" s="602"/>
      <c r="M199" s="603"/>
      <c r="N199" s="588"/>
      <c r="O199" s="604"/>
      <c r="P199" s="605"/>
      <c r="Q199" s="588"/>
      <c r="R199" s="604"/>
      <c r="S199" s="605"/>
      <c r="T199" s="606"/>
      <c r="U199" s="606"/>
      <c r="V199" s="429" t="str">
        <f t="shared" si="255"/>
        <v/>
      </c>
      <c r="W199" s="430" t="str">
        <f t="shared" si="252"/>
        <v/>
      </c>
      <c r="X199" s="66" t="str">
        <f>IF(AND(ISNUMBER(P199),N199=FixedDim),MAX('Adjustment factors'!$S$16,0.2+0.8*P199),IF(ISTEXT(N199),VLOOKUP(N199,Afactors,2,TRUE),""))</f>
        <v/>
      </c>
      <c r="Y199" s="17" t="str">
        <f>IF(AND(ISNUMBER(S199),Q199=FixedDim),MAX('Adjustment factors'!$S$16,0.2+0.8*S199),IF(ISTEXT(Q199),VLOOKUP(Q199,Afactors,2,TRUE),""))</f>
        <v/>
      </c>
      <c r="Z199" s="297" t="str">
        <f>IF(ISBLANK(T199),"",VLOOKUP(T199,'Adjustment factors'!$R$27:$S$30,2,TRUE))</f>
        <v/>
      </c>
      <c r="AA199" s="297" t="str">
        <f>IF(ISBLANK(U199),"",VLOOKUP(U199,'Adjustment factors'!$R$27:$S$30,2,TRUE))</f>
        <v/>
      </c>
      <c r="AB199" s="480">
        <f t="shared" si="226"/>
        <v>1</v>
      </c>
      <c r="AC199" s="18" t="b">
        <f t="shared" si="183"/>
        <v>0</v>
      </c>
      <c r="AD199" s="18" t="b">
        <f t="shared" si="184"/>
        <v>0</v>
      </c>
      <c r="AE199" s="18" t="b">
        <f t="shared" si="249"/>
        <v>0</v>
      </c>
      <c r="AF199" s="17" t="str">
        <f t="shared" si="185"/>
        <v/>
      </c>
      <c r="AG199" s="18" t="str">
        <f t="shared" si="186"/>
        <v/>
      </c>
      <c r="AH199" s="17" t="str">
        <f t="shared" si="250"/>
        <v/>
      </c>
      <c r="AI199" s="297" t="e">
        <f t="shared" si="227"/>
        <v>#VALUE!</v>
      </c>
      <c r="AJ199" s="79" t="e">
        <f t="shared" si="187"/>
        <v>#VALUE!</v>
      </c>
      <c r="AK199" s="17" t="str">
        <f t="shared" si="251"/>
        <v/>
      </c>
      <c r="AL199" s="80" t="e">
        <f t="shared" si="188"/>
        <v>#VALUE!</v>
      </c>
      <c r="AM199" s="139" t="b">
        <f t="shared" si="189"/>
        <v>1</v>
      </c>
      <c r="AN199" s="139" t="b">
        <f>AND(COUNTA(E199)&gt;0,ISNUMBER(F199),OR(COUNT(G199:H199)=0,COUNT(G199:H199)=2,AND(ISNUMBER(G199),ISNUMBER(VALUE(LEFT(H199,SUM(LEN(H199)-LEN(SUBSTITUTE(H199,{"0","1","2","3","4","5","6","7","8","9","."},"")))))))),ISNUMBER(I199),ISTEXT(J199))</f>
        <v>0</v>
      </c>
      <c r="AO199" s="19" t="b">
        <f t="shared" si="190"/>
        <v>0</v>
      </c>
      <c r="AP199" s="19" t="b">
        <f t="shared" si="191"/>
        <v>1</v>
      </c>
      <c r="AQ199" s="19" t="b">
        <f>IF(AND(COUNTBLANK(E199:J199)=6,OR(AN200:AN$523)),NOT(AN199))</f>
        <v>0</v>
      </c>
      <c r="AR199" s="19" t="str">
        <f t="shared" si="192"/>
        <v/>
      </c>
      <c r="AS199" s="19" t="b">
        <f t="shared" si="193"/>
        <v>1</v>
      </c>
      <c r="AT199" s="19" t="str">
        <f t="shared" si="194"/>
        <v/>
      </c>
      <c r="AU199" s="19" t="b">
        <f t="shared" si="195"/>
        <v>1</v>
      </c>
      <c r="AV199" s="140" t="str">
        <f t="shared" si="233"/>
        <v/>
      </c>
      <c r="AW199" s="19" t="str">
        <f t="shared" si="196"/>
        <v/>
      </c>
      <c r="AX199" s="81">
        <f t="shared" si="197"/>
        <v>0</v>
      </c>
      <c r="AY199" s="81" t="str">
        <f t="shared" si="198"/>
        <v/>
      </c>
      <c r="AZ199" s="307" t="str">
        <f t="shared" si="228"/>
        <v/>
      </c>
      <c r="BA199" s="281" t="str">
        <f t="shared" si="234"/>
        <v/>
      </c>
      <c r="BB199" s="281" t="str">
        <f t="shared" si="235"/>
        <v/>
      </c>
      <c r="BC199" s="953"/>
      <c r="BD199" s="955"/>
      <c r="BE199" s="219" t="str">
        <f t="shared" si="199"/>
        <v>n/a</v>
      </c>
      <c r="BF199" s="215" t="b">
        <f t="shared" si="200"/>
        <v>0</v>
      </c>
      <c r="BG199" s="145" t="b">
        <f t="shared" si="201"/>
        <v>0</v>
      </c>
      <c r="BH199" s="145" t="b">
        <f t="shared" si="202"/>
        <v>0</v>
      </c>
      <c r="BI199" s="216" t="b">
        <f t="shared" si="203"/>
        <v>0</v>
      </c>
      <c r="BJ199" s="215" t="b">
        <f t="shared" si="204"/>
        <v>0</v>
      </c>
      <c r="BK199" s="145" t="b">
        <f t="shared" si="205"/>
        <v>0</v>
      </c>
      <c r="BL199" s="216" t="b">
        <f t="shared" si="206"/>
        <v>0</v>
      </c>
      <c r="BM199" s="217" t="str">
        <f t="shared" si="236"/>
        <v/>
      </c>
      <c r="BN199" s="146" t="str">
        <f t="shared" si="237"/>
        <v/>
      </c>
      <c r="BO199" s="147" t="str">
        <f t="shared" si="238"/>
        <v/>
      </c>
      <c r="BP199" s="148" t="str">
        <f t="shared" si="239"/>
        <v/>
      </c>
      <c r="BT199" s="50">
        <f t="shared" si="254"/>
        <v>176</v>
      </c>
      <c r="BU199" s="50" t="str">
        <f t="shared" si="256"/>
        <v>-</v>
      </c>
      <c r="BW199" s="340"/>
      <c r="BX199" s="333"/>
      <c r="BY199" s="333"/>
      <c r="BZ199" s="333"/>
      <c r="CA199" s="333"/>
      <c r="CB199" s="333"/>
      <c r="CC199" s="333"/>
      <c r="CD199" s="333"/>
      <c r="CE199" s="333"/>
      <c r="CF199" s="333"/>
      <c r="CG199" s="354">
        <f t="shared" si="207"/>
        <v>176</v>
      </c>
      <c r="CH199" s="613">
        <f t="shared" si="208"/>
        <v>0</v>
      </c>
      <c r="CI199" s="613">
        <f t="shared" si="209"/>
        <v>0</v>
      </c>
      <c r="CJ199" s="614" t="str">
        <f t="shared" si="210"/>
        <v/>
      </c>
      <c r="CK199" s="615" t="str">
        <f t="shared" si="211"/>
        <v/>
      </c>
      <c r="CL199" s="610" t="str">
        <f>IF(ISBLANK(H199),"",IF(AND(ISNUMBER(F199),ISNUMBER(G199),ISNUMBER(H199)),ROUND(F199/(H199*G199),2),ROUND(F199/(VALUE(LEFT(H199,SUM(LEN(H199)-LEN(SUBSTITUTE(H199,{"0","1","2","3","4","5","6","7","8","9","."},"")))))*G199),2)))</f>
        <v/>
      </c>
      <c r="CM199" s="616" t="str">
        <f t="shared" si="240"/>
        <v/>
      </c>
      <c r="CN199" s="616" t="str">
        <f>IF(ISNUMBER(P199),MAX('Adjustment factors'!$S$16,(0.2+0.8*P199)),IF(ISTEXT(N199),VLOOKUP(N199,Afactors,2,FALSE),""))</f>
        <v/>
      </c>
      <c r="CO199" s="616" t="str">
        <f>IF(ISNUMBER(S199),MAX('Adjustment factors'!$S$16,0.2+0.8*S199),IF(ISTEXT(Q199),VLOOKUP(Q199,Afactors,2,FALSE),""))</f>
        <v/>
      </c>
      <c r="CP199" s="611" t="str">
        <f t="shared" si="229"/>
        <v/>
      </c>
      <c r="CQ199" s="612" t="str">
        <f t="shared" si="230"/>
        <v/>
      </c>
      <c r="CR199" s="340"/>
      <c r="CS199" s="340"/>
      <c r="CT199" s="340"/>
      <c r="CU199" s="340"/>
      <c r="CV199" s="333"/>
      <c r="CW199" s="333"/>
      <c r="CX199" s="333"/>
      <c r="CY199" s="333"/>
      <c r="DA199" s="313" t="str">
        <f t="shared" si="212"/>
        <v>OK</v>
      </c>
      <c r="DB199" s="313" t="str">
        <f t="shared" si="213"/>
        <v>OK</v>
      </c>
      <c r="DC199" s="313" t="str">
        <f t="shared" si="214"/>
        <v>OK</v>
      </c>
      <c r="DD199" s="313" t="str">
        <f t="shared" si="215"/>
        <v>OK</v>
      </c>
      <c r="DE199" s="153" t="str">
        <f t="shared" si="216"/>
        <v>OK</v>
      </c>
      <c r="DF199" s="314" t="str">
        <f t="shared" si="217"/>
        <v>OK</v>
      </c>
      <c r="DG199" s="482" t="str">
        <f t="shared" si="231"/>
        <v>OK</v>
      </c>
      <c r="DH199" s="482" t="str">
        <f>IF(OR(AND(T199='Adjustment factors'!$R$28,'Class 3, 5-9'!U199='Adjustment factors'!$R$29),AND('Class 3, 5-9'!T199='Adjustment factors'!$R$29,'Class 3, 5-9'!U199='Adjustment factors'!$R$28)),"Invalid combination of adjustment factors",IF(AND(T199=U199,NOT(ISBLANK(T199)),NOT(ISBLANK(U199))),"Same colour factor selected twice","OK"))</f>
        <v>OK</v>
      </c>
      <c r="DI199" s="313" t="str">
        <f t="shared" si="218"/>
        <v>OK</v>
      </c>
      <c r="DJ199" s="153" t="str">
        <f t="shared" si="241"/>
        <v>OK</v>
      </c>
      <c r="DK199" s="153" t="str">
        <f t="shared" si="219"/>
        <v>OK</v>
      </c>
      <c r="DL199" s="313" t="str">
        <f t="shared" si="220"/>
        <v>OK</v>
      </c>
      <c r="DM199" s="153" t="str">
        <f t="shared" si="221"/>
        <v>OK</v>
      </c>
      <c r="DN199" s="153" t="str">
        <f t="shared" si="242"/>
        <v>OK</v>
      </c>
      <c r="DO199" s="154" t="str">
        <f t="shared" si="243"/>
        <v>OK</v>
      </c>
      <c r="DP199" s="153" t="str">
        <f t="shared" si="222"/>
        <v>OK</v>
      </c>
      <c r="DQ199" s="313" t="str">
        <f t="shared" si="223"/>
        <v>OK</v>
      </c>
      <c r="DR199" s="153" t="str">
        <f t="shared" si="244"/>
        <v>OK</v>
      </c>
      <c r="DS199" s="153" t="str">
        <f t="shared" si="224"/>
        <v>OK</v>
      </c>
      <c r="DT199" s="313" t="str">
        <f t="shared" si="232"/>
        <v>OK</v>
      </c>
      <c r="DU199" s="153" t="str">
        <f t="shared" si="225"/>
        <v>OK</v>
      </c>
      <c r="DV199" s="153" t="str">
        <f t="shared" si="245"/>
        <v>OK</v>
      </c>
      <c r="DW199" s="154" t="str">
        <f t="shared" si="246"/>
        <v>OK</v>
      </c>
      <c r="DX199" s="157">
        <f t="shared" si="247"/>
        <v>0</v>
      </c>
      <c r="DY199" s="156" t="str">
        <f t="shared" si="248"/>
        <v>OK</v>
      </c>
    </row>
    <row r="200" spans="1:129" ht="13" hidden="1" x14ac:dyDescent="0.3">
      <c r="A200" s="333"/>
      <c r="B200" s="333"/>
      <c r="C200" s="332" t="str">
        <f t="shared" ref="C200:C223" si="257">BU200</f>
        <v>-</v>
      </c>
      <c r="D200" s="584">
        <f t="shared" si="253"/>
        <v>177</v>
      </c>
      <c r="E200" s="585"/>
      <c r="F200" s="586"/>
      <c r="G200" s="600"/>
      <c r="H200" s="587"/>
      <c r="I200" s="601"/>
      <c r="J200" s="585"/>
      <c r="K200" s="617"/>
      <c r="L200" s="602"/>
      <c r="M200" s="603"/>
      <c r="N200" s="588"/>
      <c r="O200" s="604"/>
      <c r="P200" s="605"/>
      <c r="Q200" s="588"/>
      <c r="R200" s="604"/>
      <c r="S200" s="605"/>
      <c r="T200" s="606"/>
      <c r="U200" s="606"/>
      <c r="V200" s="429" t="str">
        <f t="shared" si="255"/>
        <v/>
      </c>
      <c r="W200" s="430" t="str">
        <f t="shared" si="252"/>
        <v/>
      </c>
      <c r="X200" s="66" t="str">
        <f>IF(AND(ISNUMBER(P200),N200=FixedDim),MAX('Adjustment factors'!$S$16,0.2+0.8*P200),IF(ISTEXT(N200),VLOOKUP(N200,Afactors,2,TRUE),""))</f>
        <v/>
      </c>
      <c r="Y200" s="17" t="str">
        <f>IF(AND(ISNUMBER(S200),Q200=FixedDim),MAX('Adjustment factors'!$S$16,0.2+0.8*S200),IF(ISTEXT(Q200),VLOOKUP(Q200,Afactors,2,TRUE),""))</f>
        <v/>
      </c>
      <c r="Z200" s="297" t="str">
        <f>IF(ISBLANK(T200),"",VLOOKUP(T200,'Adjustment factors'!$R$27:$S$30,2,TRUE))</f>
        <v/>
      </c>
      <c r="AA200" s="297" t="str">
        <f>IF(ISBLANK(U200),"",VLOOKUP(U200,'Adjustment factors'!$R$27:$S$30,2,TRUE))</f>
        <v/>
      </c>
      <c r="AB200" s="480">
        <f t="shared" si="226"/>
        <v>1</v>
      </c>
      <c r="AC200" s="18" t="b">
        <f t="shared" si="183"/>
        <v>0</v>
      </c>
      <c r="AD200" s="18" t="b">
        <f t="shared" si="184"/>
        <v>0</v>
      </c>
      <c r="AE200" s="18" t="b">
        <f t="shared" si="249"/>
        <v>0</v>
      </c>
      <c r="AF200" s="17" t="str">
        <f t="shared" si="185"/>
        <v/>
      </c>
      <c r="AG200" s="18" t="str">
        <f t="shared" si="186"/>
        <v/>
      </c>
      <c r="AH200" s="17" t="str">
        <f t="shared" si="250"/>
        <v/>
      </c>
      <c r="AI200" s="297" t="e">
        <f t="shared" si="227"/>
        <v>#VALUE!</v>
      </c>
      <c r="AJ200" s="79" t="e">
        <f t="shared" si="187"/>
        <v>#VALUE!</v>
      </c>
      <c r="AK200" s="17" t="str">
        <f t="shared" si="251"/>
        <v/>
      </c>
      <c r="AL200" s="80" t="e">
        <f t="shared" si="188"/>
        <v>#VALUE!</v>
      </c>
      <c r="AM200" s="139" t="b">
        <f t="shared" si="189"/>
        <v>1</v>
      </c>
      <c r="AN200" s="139" t="b">
        <f>AND(COUNTA(E200)&gt;0,ISNUMBER(F200),OR(COUNT(G200:H200)=0,COUNT(G200:H200)=2,AND(ISNUMBER(G200),ISNUMBER(VALUE(LEFT(H200,SUM(LEN(H200)-LEN(SUBSTITUTE(H200,{"0","1","2","3","4","5","6","7","8","9","."},"")))))))),ISNUMBER(I200),ISTEXT(J200))</f>
        <v>0</v>
      </c>
      <c r="AO200" s="19" t="b">
        <f t="shared" si="190"/>
        <v>0</v>
      </c>
      <c r="AP200" s="19" t="b">
        <f t="shared" si="191"/>
        <v>1</v>
      </c>
      <c r="AQ200" s="19" t="b">
        <f>IF(AND(COUNTBLANK(E200:J200)=6,OR(AN201:AN$523)),NOT(AN200))</f>
        <v>0</v>
      </c>
      <c r="AR200" s="19" t="str">
        <f t="shared" si="192"/>
        <v/>
      </c>
      <c r="AS200" s="19" t="b">
        <f t="shared" si="193"/>
        <v>1</v>
      </c>
      <c r="AT200" s="19" t="str">
        <f t="shared" si="194"/>
        <v/>
      </c>
      <c r="AU200" s="19" t="b">
        <f t="shared" si="195"/>
        <v>1</v>
      </c>
      <c r="AV200" s="140" t="str">
        <f t="shared" si="233"/>
        <v/>
      </c>
      <c r="AW200" s="19" t="str">
        <f t="shared" si="196"/>
        <v/>
      </c>
      <c r="AX200" s="81">
        <f t="shared" si="197"/>
        <v>0</v>
      </c>
      <c r="AY200" s="81" t="str">
        <f t="shared" si="198"/>
        <v/>
      </c>
      <c r="AZ200" s="307" t="str">
        <f t="shared" si="228"/>
        <v/>
      </c>
      <c r="BA200" s="281" t="str">
        <f t="shared" si="234"/>
        <v/>
      </c>
      <c r="BB200" s="281" t="str">
        <f t="shared" si="235"/>
        <v/>
      </c>
      <c r="BC200" s="953"/>
      <c r="BD200" s="955"/>
      <c r="BE200" s="219" t="str">
        <f t="shared" si="199"/>
        <v>n/a</v>
      </c>
      <c r="BF200" s="215" t="b">
        <f t="shared" si="200"/>
        <v>0</v>
      </c>
      <c r="BG200" s="145" t="b">
        <f t="shared" si="201"/>
        <v>0</v>
      </c>
      <c r="BH200" s="145" t="b">
        <f t="shared" si="202"/>
        <v>0</v>
      </c>
      <c r="BI200" s="216" t="b">
        <f t="shared" si="203"/>
        <v>0</v>
      </c>
      <c r="BJ200" s="215" t="b">
        <f t="shared" si="204"/>
        <v>0</v>
      </c>
      <c r="BK200" s="145" t="b">
        <f t="shared" si="205"/>
        <v>0</v>
      </c>
      <c r="BL200" s="216" t="b">
        <f t="shared" si="206"/>
        <v>0</v>
      </c>
      <c r="BM200" s="217" t="str">
        <f t="shared" si="236"/>
        <v/>
      </c>
      <c r="BN200" s="146" t="str">
        <f t="shared" si="237"/>
        <v/>
      </c>
      <c r="BO200" s="147" t="str">
        <f t="shared" si="238"/>
        <v/>
      </c>
      <c r="BP200" s="148" t="str">
        <f t="shared" si="239"/>
        <v/>
      </c>
      <c r="BT200" s="50">
        <f t="shared" si="254"/>
        <v>177</v>
      </c>
      <c r="BU200" s="50" t="str">
        <f t="shared" si="256"/>
        <v>-</v>
      </c>
      <c r="BW200" s="340"/>
      <c r="BX200" s="333"/>
      <c r="BY200" s="333"/>
      <c r="BZ200" s="333"/>
      <c r="CA200" s="333"/>
      <c r="CB200" s="333"/>
      <c r="CC200" s="333"/>
      <c r="CD200" s="333"/>
      <c r="CE200" s="333"/>
      <c r="CF200" s="333"/>
      <c r="CG200" s="354">
        <f t="shared" si="207"/>
        <v>177</v>
      </c>
      <c r="CH200" s="613">
        <f t="shared" si="208"/>
        <v>0</v>
      </c>
      <c r="CI200" s="613">
        <f t="shared" si="209"/>
        <v>0</v>
      </c>
      <c r="CJ200" s="614" t="str">
        <f t="shared" si="210"/>
        <v/>
      </c>
      <c r="CK200" s="615" t="str">
        <f t="shared" si="211"/>
        <v/>
      </c>
      <c r="CL200" s="610" t="str">
        <f>IF(ISBLANK(H200),"",IF(AND(ISNUMBER(F200),ISNUMBER(G200),ISNUMBER(H200)),ROUND(F200/(H200*G200),2),ROUND(F200/(VALUE(LEFT(H200,SUM(LEN(H200)-LEN(SUBSTITUTE(H200,{"0","1","2","3","4","5","6","7","8","9","."},"")))))*G200),2)))</f>
        <v/>
      </c>
      <c r="CM200" s="616" t="str">
        <f t="shared" si="240"/>
        <v/>
      </c>
      <c r="CN200" s="616" t="str">
        <f>IF(ISNUMBER(P200),MAX('Adjustment factors'!$S$16,(0.2+0.8*P200)),IF(ISTEXT(N200),VLOOKUP(N200,Afactors,2,FALSE),""))</f>
        <v/>
      </c>
      <c r="CO200" s="616" t="str">
        <f>IF(ISNUMBER(S200),MAX('Adjustment factors'!$S$16,0.2+0.8*S200),IF(ISTEXT(Q200),VLOOKUP(Q200,Afactors,2,FALSE),""))</f>
        <v/>
      </c>
      <c r="CP200" s="611" t="str">
        <f t="shared" si="229"/>
        <v/>
      </c>
      <c r="CQ200" s="612" t="str">
        <f t="shared" si="230"/>
        <v/>
      </c>
      <c r="CR200" s="340"/>
      <c r="CS200" s="340"/>
      <c r="CT200" s="340"/>
      <c r="CU200" s="340"/>
      <c r="CV200" s="333"/>
      <c r="CW200" s="333"/>
      <c r="CX200" s="333"/>
      <c r="CY200" s="333"/>
      <c r="DA200" s="313" t="str">
        <f t="shared" si="212"/>
        <v>OK</v>
      </c>
      <c r="DB200" s="313" t="str">
        <f t="shared" si="213"/>
        <v>OK</v>
      </c>
      <c r="DC200" s="313" t="str">
        <f t="shared" si="214"/>
        <v>OK</v>
      </c>
      <c r="DD200" s="313" t="str">
        <f t="shared" si="215"/>
        <v>OK</v>
      </c>
      <c r="DE200" s="153" t="str">
        <f t="shared" si="216"/>
        <v>OK</v>
      </c>
      <c r="DF200" s="314" t="str">
        <f t="shared" si="217"/>
        <v>OK</v>
      </c>
      <c r="DG200" s="482" t="str">
        <f t="shared" si="231"/>
        <v>OK</v>
      </c>
      <c r="DH200" s="482" t="str">
        <f>IF(OR(AND(T200='Adjustment factors'!$R$28,'Class 3, 5-9'!U200='Adjustment factors'!$R$29),AND('Class 3, 5-9'!T200='Adjustment factors'!$R$29,'Class 3, 5-9'!U200='Adjustment factors'!$R$28)),"Invalid combination of adjustment factors",IF(AND(T200=U200,NOT(ISBLANK(T200)),NOT(ISBLANK(U200))),"Same colour factor selected twice","OK"))</f>
        <v>OK</v>
      </c>
      <c r="DI200" s="313" t="str">
        <f t="shared" si="218"/>
        <v>OK</v>
      </c>
      <c r="DJ200" s="153" t="str">
        <f t="shared" si="241"/>
        <v>OK</v>
      </c>
      <c r="DK200" s="153" t="str">
        <f t="shared" si="219"/>
        <v>OK</v>
      </c>
      <c r="DL200" s="313" t="str">
        <f t="shared" si="220"/>
        <v>OK</v>
      </c>
      <c r="DM200" s="153" t="str">
        <f t="shared" si="221"/>
        <v>OK</v>
      </c>
      <c r="DN200" s="153" t="str">
        <f t="shared" si="242"/>
        <v>OK</v>
      </c>
      <c r="DO200" s="154" t="str">
        <f t="shared" si="243"/>
        <v>OK</v>
      </c>
      <c r="DP200" s="153" t="str">
        <f t="shared" si="222"/>
        <v>OK</v>
      </c>
      <c r="DQ200" s="313" t="str">
        <f t="shared" si="223"/>
        <v>OK</v>
      </c>
      <c r="DR200" s="153" t="str">
        <f t="shared" si="244"/>
        <v>OK</v>
      </c>
      <c r="DS200" s="153" t="str">
        <f t="shared" si="224"/>
        <v>OK</v>
      </c>
      <c r="DT200" s="313" t="str">
        <f t="shared" si="232"/>
        <v>OK</v>
      </c>
      <c r="DU200" s="153" t="str">
        <f t="shared" si="225"/>
        <v>OK</v>
      </c>
      <c r="DV200" s="153" t="str">
        <f t="shared" si="245"/>
        <v>OK</v>
      </c>
      <c r="DW200" s="154" t="str">
        <f t="shared" si="246"/>
        <v>OK</v>
      </c>
      <c r="DX200" s="157">
        <f t="shared" si="247"/>
        <v>0</v>
      </c>
      <c r="DY200" s="156" t="str">
        <f t="shared" si="248"/>
        <v>OK</v>
      </c>
    </row>
    <row r="201" spans="1:129" ht="13" hidden="1" x14ac:dyDescent="0.3">
      <c r="A201" s="333"/>
      <c r="B201" s="333"/>
      <c r="C201" s="332" t="str">
        <f t="shared" si="257"/>
        <v>-</v>
      </c>
      <c r="D201" s="584">
        <f t="shared" si="253"/>
        <v>178</v>
      </c>
      <c r="E201" s="585"/>
      <c r="F201" s="586"/>
      <c r="G201" s="600"/>
      <c r="H201" s="587"/>
      <c r="I201" s="601"/>
      <c r="J201" s="585"/>
      <c r="K201" s="617"/>
      <c r="L201" s="602"/>
      <c r="M201" s="603"/>
      <c r="N201" s="588"/>
      <c r="O201" s="604"/>
      <c r="P201" s="605"/>
      <c r="Q201" s="588"/>
      <c r="R201" s="604"/>
      <c r="S201" s="605"/>
      <c r="T201" s="606"/>
      <c r="U201" s="606"/>
      <c r="V201" s="429" t="str">
        <f t="shared" si="255"/>
        <v/>
      </c>
      <c r="W201" s="430" t="str">
        <f t="shared" si="252"/>
        <v/>
      </c>
      <c r="X201" s="66" t="str">
        <f>IF(AND(ISNUMBER(P201),N201=FixedDim),MAX('Adjustment factors'!$S$16,0.2+0.8*P201),IF(ISTEXT(N201),VLOOKUP(N201,Afactors,2,TRUE),""))</f>
        <v/>
      </c>
      <c r="Y201" s="17" t="str">
        <f>IF(AND(ISNUMBER(S201),Q201=FixedDim),MAX('Adjustment factors'!$S$16,0.2+0.8*S201),IF(ISTEXT(Q201),VLOOKUP(Q201,Afactors,2,TRUE),""))</f>
        <v/>
      </c>
      <c r="Z201" s="297" t="str">
        <f>IF(ISBLANK(T201),"",VLOOKUP(T201,'Adjustment factors'!$R$27:$S$30,2,TRUE))</f>
        <v/>
      </c>
      <c r="AA201" s="297" t="str">
        <f>IF(ISBLANK(U201),"",VLOOKUP(U201,'Adjustment factors'!$R$27:$S$30,2,TRUE))</f>
        <v/>
      </c>
      <c r="AB201" s="480">
        <f t="shared" si="226"/>
        <v>1</v>
      </c>
      <c r="AC201" s="18" t="b">
        <f t="shared" si="183"/>
        <v>0</v>
      </c>
      <c r="AD201" s="18" t="b">
        <f t="shared" si="184"/>
        <v>0</v>
      </c>
      <c r="AE201" s="18" t="b">
        <f t="shared" si="249"/>
        <v>0</v>
      </c>
      <c r="AF201" s="17" t="str">
        <f t="shared" si="185"/>
        <v/>
      </c>
      <c r="AG201" s="18" t="str">
        <f t="shared" si="186"/>
        <v/>
      </c>
      <c r="AH201" s="17" t="str">
        <f t="shared" si="250"/>
        <v/>
      </c>
      <c r="AI201" s="297" t="e">
        <f t="shared" si="227"/>
        <v>#VALUE!</v>
      </c>
      <c r="AJ201" s="79" t="e">
        <f t="shared" si="187"/>
        <v>#VALUE!</v>
      </c>
      <c r="AK201" s="17" t="str">
        <f t="shared" si="251"/>
        <v/>
      </c>
      <c r="AL201" s="80" t="e">
        <f t="shared" si="188"/>
        <v>#VALUE!</v>
      </c>
      <c r="AM201" s="139" t="b">
        <f t="shared" si="189"/>
        <v>1</v>
      </c>
      <c r="AN201" s="139" t="b">
        <f>AND(COUNTA(E201)&gt;0,ISNUMBER(F201),OR(COUNT(G201:H201)=0,COUNT(G201:H201)=2,AND(ISNUMBER(G201),ISNUMBER(VALUE(LEFT(H201,SUM(LEN(H201)-LEN(SUBSTITUTE(H201,{"0","1","2","3","4","5","6","7","8","9","."},"")))))))),ISNUMBER(I201),ISTEXT(J201))</f>
        <v>0</v>
      </c>
      <c r="AO201" s="19" t="b">
        <f t="shared" si="190"/>
        <v>0</v>
      </c>
      <c r="AP201" s="19" t="b">
        <f t="shared" si="191"/>
        <v>1</v>
      </c>
      <c r="AQ201" s="19" t="b">
        <f>IF(AND(COUNTBLANK(E201:J201)=6,OR(AN202:AN$523)),NOT(AN201))</f>
        <v>0</v>
      </c>
      <c r="AR201" s="19" t="str">
        <f t="shared" si="192"/>
        <v/>
      </c>
      <c r="AS201" s="19" t="b">
        <f t="shared" si="193"/>
        <v>1</v>
      </c>
      <c r="AT201" s="19" t="str">
        <f t="shared" si="194"/>
        <v/>
      </c>
      <c r="AU201" s="19" t="b">
        <f t="shared" si="195"/>
        <v>1</v>
      </c>
      <c r="AV201" s="140" t="str">
        <f t="shared" si="233"/>
        <v/>
      </c>
      <c r="AW201" s="19" t="str">
        <f t="shared" si="196"/>
        <v/>
      </c>
      <c r="AX201" s="81">
        <f t="shared" si="197"/>
        <v>0</v>
      </c>
      <c r="AY201" s="81" t="str">
        <f t="shared" si="198"/>
        <v/>
      </c>
      <c r="AZ201" s="307" t="str">
        <f t="shared" si="228"/>
        <v/>
      </c>
      <c r="BA201" s="281" t="str">
        <f t="shared" si="234"/>
        <v/>
      </c>
      <c r="BB201" s="281" t="str">
        <f t="shared" si="235"/>
        <v/>
      </c>
      <c r="BC201" s="953"/>
      <c r="BD201" s="955"/>
      <c r="BE201" s="219" t="str">
        <f t="shared" si="199"/>
        <v>n/a</v>
      </c>
      <c r="BF201" s="215" t="b">
        <f t="shared" si="200"/>
        <v>0</v>
      </c>
      <c r="BG201" s="145" t="b">
        <f t="shared" si="201"/>
        <v>0</v>
      </c>
      <c r="BH201" s="145" t="b">
        <f t="shared" si="202"/>
        <v>0</v>
      </c>
      <c r="BI201" s="216" t="b">
        <f t="shared" si="203"/>
        <v>0</v>
      </c>
      <c r="BJ201" s="215" t="b">
        <f t="shared" si="204"/>
        <v>0</v>
      </c>
      <c r="BK201" s="145" t="b">
        <f t="shared" si="205"/>
        <v>0</v>
      </c>
      <c r="BL201" s="216" t="b">
        <f t="shared" si="206"/>
        <v>0</v>
      </c>
      <c r="BM201" s="217" t="str">
        <f t="shared" si="236"/>
        <v/>
      </c>
      <c r="BN201" s="146" t="str">
        <f t="shared" si="237"/>
        <v/>
      </c>
      <c r="BO201" s="147" t="str">
        <f t="shared" si="238"/>
        <v/>
      </c>
      <c r="BP201" s="148" t="str">
        <f t="shared" si="239"/>
        <v/>
      </c>
      <c r="BT201" s="50">
        <f t="shared" si="254"/>
        <v>178</v>
      </c>
      <c r="BU201" s="50" t="str">
        <f t="shared" si="256"/>
        <v>-</v>
      </c>
      <c r="BW201" s="340"/>
      <c r="BX201" s="333"/>
      <c r="BY201" s="333"/>
      <c r="BZ201" s="333"/>
      <c r="CA201" s="333"/>
      <c r="CB201" s="333"/>
      <c r="CC201" s="333"/>
      <c r="CD201" s="333"/>
      <c r="CE201" s="333"/>
      <c r="CF201" s="333"/>
      <c r="CG201" s="354">
        <f t="shared" si="207"/>
        <v>178</v>
      </c>
      <c r="CH201" s="613">
        <f t="shared" si="208"/>
        <v>0</v>
      </c>
      <c r="CI201" s="613">
        <f t="shared" si="209"/>
        <v>0</v>
      </c>
      <c r="CJ201" s="614" t="str">
        <f t="shared" si="210"/>
        <v/>
      </c>
      <c r="CK201" s="615" t="str">
        <f t="shared" si="211"/>
        <v/>
      </c>
      <c r="CL201" s="610" t="str">
        <f>IF(ISBLANK(H201),"",IF(AND(ISNUMBER(F201),ISNUMBER(G201),ISNUMBER(H201)),ROUND(F201/(H201*G201),2),ROUND(F201/(VALUE(LEFT(H201,SUM(LEN(H201)-LEN(SUBSTITUTE(H201,{"0","1","2","3","4","5","6","7","8","9","."},"")))))*G201),2)))</f>
        <v/>
      </c>
      <c r="CM201" s="616" t="str">
        <f t="shared" si="240"/>
        <v/>
      </c>
      <c r="CN201" s="616" t="str">
        <f>IF(ISNUMBER(P201),MAX('Adjustment factors'!$S$16,(0.2+0.8*P201)),IF(ISTEXT(N201),VLOOKUP(N201,Afactors,2,FALSE),""))</f>
        <v/>
      </c>
      <c r="CO201" s="616" t="str">
        <f>IF(ISNUMBER(S201),MAX('Adjustment factors'!$S$16,0.2+0.8*S201),IF(ISTEXT(Q201),VLOOKUP(Q201,Afactors,2,FALSE),""))</f>
        <v/>
      </c>
      <c r="CP201" s="611" t="str">
        <f t="shared" si="229"/>
        <v/>
      </c>
      <c r="CQ201" s="612" t="str">
        <f t="shared" si="230"/>
        <v/>
      </c>
      <c r="CR201" s="340"/>
      <c r="CS201" s="340"/>
      <c r="CT201" s="340"/>
      <c r="CU201" s="340"/>
      <c r="CV201" s="333"/>
      <c r="CW201" s="333"/>
      <c r="CX201" s="333"/>
      <c r="CY201" s="333"/>
      <c r="DA201" s="313" t="str">
        <f t="shared" si="212"/>
        <v>OK</v>
      </c>
      <c r="DB201" s="313" t="str">
        <f t="shared" si="213"/>
        <v>OK</v>
      </c>
      <c r="DC201" s="313" t="str">
        <f t="shared" si="214"/>
        <v>OK</v>
      </c>
      <c r="DD201" s="313" t="str">
        <f t="shared" si="215"/>
        <v>OK</v>
      </c>
      <c r="DE201" s="153" t="str">
        <f t="shared" si="216"/>
        <v>OK</v>
      </c>
      <c r="DF201" s="314" t="str">
        <f t="shared" si="217"/>
        <v>OK</v>
      </c>
      <c r="DG201" s="482" t="str">
        <f t="shared" si="231"/>
        <v>OK</v>
      </c>
      <c r="DH201" s="482" t="str">
        <f>IF(OR(AND(T201='Adjustment factors'!$R$28,'Class 3, 5-9'!U201='Adjustment factors'!$R$29),AND('Class 3, 5-9'!T201='Adjustment factors'!$R$29,'Class 3, 5-9'!U201='Adjustment factors'!$R$28)),"Invalid combination of adjustment factors",IF(AND(T201=U201,NOT(ISBLANK(T201)),NOT(ISBLANK(U201))),"Same colour factor selected twice","OK"))</f>
        <v>OK</v>
      </c>
      <c r="DI201" s="313" t="str">
        <f t="shared" si="218"/>
        <v>OK</v>
      </c>
      <c r="DJ201" s="153" t="str">
        <f t="shared" si="241"/>
        <v>OK</v>
      </c>
      <c r="DK201" s="153" t="str">
        <f t="shared" si="219"/>
        <v>OK</v>
      </c>
      <c r="DL201" s="313" t="str">
        <f t="shared" si="220"/>
        <v>OK</v>
      </c>
      <c r="DM201" s="153" t="str">
        <f t="shared" si="221"/>
        <v>OK</v>
      </c>
      <c r="DN201" s="153" t="str">
        <f t="shared" si="242"/>
        <v>OK</v>
      </c>
      <c r="DO201" s="154" t="str">
        <f t="shared" si="243"/>
        <v>OK</v>
      </c>
      <c r="DP201" s="153" t="str">
        <f t="shared" si="222"/>
        <v>OK</v>
      </c>
      <c r="DQ201" s="313" t="str">
        <f t="shared" si="223"/>
        <v>OK</v>
      </c>
      <c r="DR201" s="153" t="str">
        <f t="shared" si="244"/>
        <v>OK</v>
      </c>
      <c r="DS201" s="153" t="str">
        <f t="shared" si="224"/>
        <v>OK</v>
      </c>
      <c r="DT201" s="313" t="str">
        <f t="shared" si="232"/>
        <v>OK</v>
      </c>
      <c r="DU201" s="153" t="str">
        <f t="shared" si="225"/>
        <v>OK</v>
      </c>
      <c r="DV201" s="153" t="str">
        <f t="shared" si="245"/>
        <v>OK</v>
      </c>
      <c r="DW201" s="154" t="str">
        <f t="shared" si="246"/>
        <v>OK</v>
      </c>
      <c r="DX201" s="157">
        <f t="shared" si="247"/>
        <v>0</v>
      </c>
      <c r="DY201" s="156" t="str">
        <f t="shared" si="248"/>
        <v>OK</v>
      </c>
    </row>
    <row r="202" spans="1:129" ht="13" hidden="1" x14ac:dyDescent="0.3">
      <c r="A202" s="333"/>
      <c r="B202" s="333"/>
      <c r="C202" s="332" t="str">
        <f t="shared" si="257"/>
        <v>-</v>
      </c>
      <c r="D202" s="584">
        <f t="shared" si="253"/>
        <v>179</v>
      </c>
      <c r="E202" s="585"/>
      <c r="F202" s="586"/>
      <c r="G202" s="600"/>
      <c r="H202" s="587"/>
      <c r="I202" s="601"/>
      <c r="J202" s="585"/>
      <c r="K202" s="617"/>
      <c r="L202" s="602"/>
      <c r="M202" s="603"/>
      <c r="N202" s="588"/>
      <c r="O202" s="604"/>
      <c r="P202" s="605"/>
      <c r="Q202" s="588"/>
      <c r="R202" s="604"/>
      <c r="S202" s="605"/>
      <c r="T202" s="606"/>
      <c r="U202" s="606"/>
      <c r="V202" s="429" t="str">
        <f t="shared" si="255"/>
        <v/>
      </c>
      <c r="W202" s="430" t="str">
        <f t="shared" si="252"/>
        <v/>
      </c>
      <c r="X202" s="66" t="str">
        <f>IF(AND(ISNUMBER(P202),N202=FixedDim),MAX('Adjustment factors'!$S$16,0.2+0.8*P202),IF(ISTEXT(N202),VLOOKUP(N202,Afactors,2,TRUE),""))</f>
        <v/>
      </c>
      <c r="Y202" s="17" t="str">
        <f>IF(AND(ISNUMBER(S202),Q202=FixedDim),MAX('Adjustment factors'!$S$16,0.2+0.8*S202),IF(ISTEXT(Q202),VLOOKUP(Q202,Afactors,2,TRUE),""))</f>
        <v/>
      </c>
      <c r="Z202" s="297" t="str">
        <f>IF(ISBLANK(T202),"",VLOOKUP(T202,'Adjustment factors'!$R$27:$S$30,2,TRUE))</f>
        <v/>
      </c>
      <c r="AA202" s="297" t="str">
        <f>IF(ISBLANK(U202),"",VLOOKUP(U202,'Adjustment factors'!$R$27:$S$30,2,TRUE))</f>
        <v/>
      </c>
      <c r="AB202" s="480">
        <f t="shared" si="226"/>
        <v>1</v>
      </c>
      <c r="AC202" s="18" t="b">
        <f t="shared" si="183"/>
        <v>0</v>
      </c>
      <c r="AD202" s="18" t="b">
        <f t="shared" si="184"/>
        <v>0</v>
      </c>
      <c r="AE202" s="18" t="b">
        <f t="shared" si="249"/>
        <v>0</v>
      </c>
      <c r="AF202" s="17" t="str">
        <f t="shared" si="185"/>
        <v/>
      </c>
      <c r="AG202" s="18" t="str">
        <f t="shared" si="186"/>
        <v/>
      </c>
      <c r="AH202" s="17" t="str">
        <f t="shared" si="250"/>
        <v/>
      </c>
      <c r="AI202" s="297" t="e">
        <f t="shared" si="227"/>
        <v>#VALUE!</v>
      </c>
      <c r="AJ202" s="79" t="e">
        <f t="shared" si="187"/>
        <v>#VALUE!</v>
      </c>
      <c r="AK202" s="17" t="str">
        <f t="shared" si="251"/>
        <v/>
      </c>
      <c r="AL202" s="80" t="e">
        <f t="shared" si="188"/>
        <v>#VALUE!</v>
      </c>
      <c r="AM202" s="139" t="b">
        <f t="shared" si="189"/>
        <v>1</v>
      </c>
      <c r="AN202" s="139" t="b">
        <f>AND(COUNTA(E202)&gt;0,ISNUMBER(F202),OR(COUNT(G202:H202)=0,COUNT(G202:H202)=2,AND(ISNUMBER(G202),ISNUMBER(VALUE(LEFT(H202,SUM(LEN(H202)-LEN(SUBSTITUTE(H202,{"0","1","2","3","4","5","6","7","8","9","."},"")))))))),ISNUMBER(I202),ISTEXT(J202))</f>
        <v>0</v>
      </c>
      <c r="AO202" s="19" t="b">
        <f t="shared" si="190"/>
        <v>0</v>
      </c>
      <c r="AP202" s="19" t="b">
        <f t="shared" si="191"/>
        <v>1</v>
      </c>
      <c r="AQ202" s="19" t="b">
        <f>IF(AND(COUNTBLANK(E202:J202)=6,OR(AN203:AN$523)),NOT(AN202))</f>
        <v>0</v>
      </c>
      <c r="AR202" s="19" t="str">
        <f t="shared" si="192"/>
        <v/>
      </c>
      <c r="AS202" s="19" t="b">
        <f t="shared" si="193"/>
        <v>1</v>
      </c>
      <c r="AT202" s="19" t="str">
        <f t="shared" si="194"/>
        <v/>
      </c>
      <c r="AU202" s="19" t="b">
        <f t="shared" si="195"/>
        <v>1</v>
      </c>
      <c r="AV202" s="140" t="str">
        <f t="shared" si="233"/>
        <v/>
      </c>
      <c r="AW202" s="19" t="str">
        <f t="shared" si="196"/>
        <v/>
      </c>
      <c r="AX202" s="81">
        <f t="shared" si="197"/>
        <v>0</v>
      </c>
      <c r="AY202" s="81" t="str">
        <f t="shared" si="198"/>
        <v/>
      </c>
      <c r="AZ202" s="307" t="str">
        <f t="shared" si="228"/>
        <v/>
      </c>
      <c r="BA202" s="281" t="str">
        <f t="shared" si="234"/>
        <v/>
      </c>
      <c r="BB202" s="281" t="str">
        <f t="shared" si="235"/>
        <v/>
      </c>
      <c r="BC202" s="953"/>
      <c r="BD202" s="955"/>
      <c r="BE202" s="219" t="str">
        <f t="shared" si="199"/>
        <v>n/a</v>
      </c>
      <c r="BF202" s="215" t="b">
        <f t="shared" si="200"/>
        <v>0</v>
      </c>
      <c r="BG202" s="145" t="b">
        <f t="shared" si="201"/>
        <v>0</v>
      </c>
      <c r="BH202" s="145" t="b">
        <f t="shared" si="202"/>
        <v>0</v>
      </c>
      <c r="BI202" s="216" t="b">
        <f t="shared" si="203"/>
        <v>0</v>
      </c>
      <c r="BJ202" s="215" t="b">
        <f t="shared" si="204"/>
        <v>0</v>
      </c>
      <c r="BK202" s="145" t="b">
        <f t="shared" si="205"/>
        <v>0</v>
      </c>
      <c r="BL202" s="216" t="b">
        <f t="shared" si="206"/>
        <v>0</v>
      </c>
      <c r="BM202" s="217" t="str">
        <f t="shared" si="236"/>
        <v/>
      </c>
      <c r="BN202" s="146" t="str">
        <f t="shared" si="237"/>
        <v/>
      </c>
      <c r="BO202" s="147" t="str">
        <f t="shared" si="238"/>
        <v/>
      </c>
      <c r="BP202" s="148" t="str">
        <f t="shared" si="239"/>
        <v/>
      </c>
      <c r="BT202" s="50">
        <f t="shared" si="254"/>
        <v>179</v>
      </c>
      <c r="BU202" s="50" t="str">
        <f t="shared" si="256"/>
        <v>-</v>
      </c>
      <c r="BW202" s="340"/>
      <c r="BX202" s="333"/>
      <c r="BY202" s="333"/>
      <c r="BZ202" s="333"/>
      <c r="CA202" s="333"/>
      <c r="CB202" s="333"/>
      <c r="CC202" s="333"/>
      <c r="CD202" s="333"/>
      <c r="CE202" s="333"/>
      <c r="CF202" s="333"/>
      <c r="CG202" s="354">
        <f t="shared" si="207"/>
        <v>179</v>
      </c>
      <c r="CH202" s="613">
        <f t="shared" si="208"/>
        <v>0</v>
      </c>
      <c r="CI202" s="613">
        <f t="shared" si="209"/>
        <v>0</v>
      </c>
      <c r="CJ202" s="614" t="str">
        <f t="shared" si="210"/>
        <v/>
      </c>
      <c r="CK202" s="615" t="str">
        <f t="shared" si="211"/>
        <v/>
      </c>
      <c r="CL202" s="610" t="str">
        <f>IF(ISBLANK(H202),"",IF(AND(ISNUMBER(F202),ISNUMBER(G202),ISNUMBER(H202)),ROUND(F202/(H202*G202),2),ROUND(F202/(VALUE(LEFT(H202,SUM(LEN(H202)-LEN(SUBSTITUTE(H202,{"0","1","2","3","4","5","6","7","8","9","."},"")))))*G202),2)))</f>
        <v/>
      </c>
      <c r="CM202" s="616" t="str">
        <f t="shared" si="240"/>
        <v/>
      </c>
      <c r="CN202" s="616" t="str">
        <f>IF(ISNUMBER(P202),MAX('Adjustment factors'!$S$16,(0.2+0.8*P202)),IF(ISTEXT(N202),VLOOKUP(N202,Afactors,2,FALSE),""))</f>
        <v/>
      </c>
      <c r="CO202" s="616" t="str">
        <f>IF(ISNUMBER(S202),MAX('Adjustment factors'!$S$16,0.2+0.8*S202),IF(ISTEXT(Q202),VLOOKUP(Q202,Afactors,2,FALSE),""))</f>
        <v/>
      </c>
      <c r="CP202" s="611" t="str">
        <f t="shared" si="229"/>
        <v/>
      </c>
      <c r="CQ202" s="612" t="str">
        <f t="shared" si="230"/>
        <v/>
      </c>
      <c r="CR202" s="340"/>
      <c r="CS202" s="340"/>
      <c r="CT202" s="340"/>
      <c r="CU202" s="340"/>
      <c r="CV202" s="333"/>
      <c r="CW202" s="333"/>
      <c r="CX202" s="333"/>
      <c r="CY202" s="333"/>
      <c r="DA202" s="313" t="str">
        <f t="shared" si="212"/>
        <v>OK</v>
      </c>
      <c r="DB202" s="313" t="str">
        <f t="shared" si="213"/>
        <v>OK</v>
      </c>
      <c r="DC202" s="313" t="str">
        <f t="shared" si="214"/>
        <v>OK</v>
      </c>
      <c r="DD202" s="313" t="str">
        <f t="shared" si="215"/>
        <v>OK</v>
      </c>
      <c r="DE202" s="153" t="str">
        <f t="shared" si="216"/>
        <v>OK</v>
      </c>
      <c r="DF202" s="314" t="str">
        <f t="shared" si="217"/>
        <v>OK</v>
      </c>
      <c r="DG202" s="482" t="str">
        <f t="shared" si="231"/>
        <v>OK</v>
      </c>
      <c r="DH202" s="482" t="str">
        <f>IF(OR(AND(T202='Adjustment factors'!$R$28,'Class 3, 5-9'!U202='Adjustment factors'!$R$29),AND('Class 3, 5-9'!T202='Adjustment factors'!$R$29,'Class 3, 5-9'!U202='Adjustment factors'!$R$28)),"Invalid combination of adjustment factors",IF(AND(T202=U202,NOT(ISBLANK(T202)),NOT(ISBLANK(U202))),"Same colour factor selected twice","OK"))</f>
        <v>OK</v>
      </c>
      <c r="DI202" s="313" t="str">
        <f t="shared" si="218"/>
        <v>OK</v>
      </c>
      <c r="DJ202" s="153" t="str">
        <f t="shared" si="241"/>
        <v>OK</v>
      </c>
      <c r="DK202" s="153" t="str">
        <f t="shared" si="219"/>
        <v>OK</v>
      </c>
      <c r="DL202" s="313" t="str">
        <f t="shared" si="220"/>
        <v>OK</v>
      </c>
      <c r="DM202" s="153" t="str">
        <f t="shared" si="221"/>
        <v>OK</v>
      </c>
      <c r="DN202" s="153" t="str">
        <f t="shared" si="242"/>
        <v>OK</v>
      </c>
      <c r="DO202" s="154" t="str">
        <f t="shared" si="243"/>
        <v>OK</v>
      </c>
      <c r="DP202" s="153" t="str">
        <f t="shared" si="222"/>
        <v>OK</v>
      </c>
      <c r="DQ202" s="313" t="str">
        <f t="shared" si="223"/>
        <v>OK</v>
      </c>
      <c r="DR202" s="153" t="str">
        <f t="shared" si="244"/>
        <v>OK</v>
      </c>
      <c r="DS202" s="153" t="str">
        <f t="shared" si="224"/>
        <v>OK</v>
      </c>
      <c r="DT202" s="313" t="str">
        <f t="shared" si="232"/>
        <v>OK</v>
      </c>
      <c r="DU202" s="153" t="str">
        <f t="shared" si="225"/>
        <v>OK</v>
      </c>
      <c r="DV202" s="153" t="str">
        <f t="shared" si="245"/>
        <v>OK</v>
      </c>
      <c r="DW202" s="154" t="str">
        <f t="shared" si="246"/>
        <v>OK</v>
      </c>
      <c r="DX202" s="157">
        <f t="shared" si="247"/>
        <v>0</v>
      </c>
      <c r="DY202" s="156" t="str">
        <f t="shared" si="248"/>
        <v>OK</v>
      </c>
    </row>
    <row r="203" spans="1:129" ht="13" hidden="1" x14ac:dyDescent="0.3">
      <c r="A203" s="333"/>
      <c r="B203" s="333"/>
      <c r="C203" s="332" t="str">
        <f t="shared" si="257"/>
        <v>-</v>
      </c>
      <c r="D203" s="584">
        <f t="shared" si="253"/>
        <v>180</v>
      </c>
      <c r="E203" s="585"/>
      <c r="F203" s="586"/>
      <c r="G203" s="600"/>
      <c r="H203" s="587"/>
      <c r="I203" s="601"/>
      <c r="J203" s="585"/>
      <c r="K203" s="617"/>
      <c r="L203" s="602"/>
      <c r="M203" s="603"/>
      <c r="N203" s="588"/>
      <c r="O203" s="604"/>
      <c r="P203" s="605"/>
      <c r="Q203" s="588"/>
      <c r="R203" s="604"/>
      <c r="S203" s="605"/>
      <c r="T203" s="606"/>
      <c r="U203" s="606"/>
      <c r="V203" s="429" t="str">
        <f t="shared" si="255"/>
        <v/>
      </c>
      <c r="W203" s="430" t="str">
        <f t="shared" si="252"/>
        <v/>
      </c>
      <c r="X203" s="66" t="str">
        <f>IF(AND(ISNUMBER(P203),N203=FixedDim),MAX('Adjustment factors'!$S$16,0.2+0.8*P203),IF(ISTEXT(N203),VLOOKUP(N203,Afactors,2,TRUE),""))</f>
        <v/>
      </c>
      <c r="Y203" s="17" t="str">
        <f>IF(AND(ISNUMBER(S203),Q203=FixedDim),MAX('Adjustment factors'!$S$16,0.2+0.8*S203),IF(ISTEXT(Q203),VLOOKUP(Q203,Afactors,2,TRUE),""))</f>
        <v/>
      </c>
      <c r="Z203" s="297" t="str">
        <f>IF(ISBLANK(T203),"",VLOOKUP(T203,'Adjustment factors'!$R$27:$S$30,2,TRUE))</f>
        <v/>
      </c>
      <c r="AA203" s="297" t="str">
        <f>IF(ISBLANK(U203),"",VLOOKUP(U203,'Adjustment factors'!$R$27:$S$30,2,TRUE))</f>
        <v/>
      </c>
      <c r="AB203" s="480">
        <f t="shared" si="226"/>
        <v>1</v>
      </c>
      <c r="AC203" s="18" t="b">
        <f t="shared" si="183"/>
        <v>0</v>
      </c>
      <c r="AD203" s="18" t="b">
        <f t="shared" si="184"/>
        <v>0</v>
      </c>
      <c r="AE203" s="18" t="b">
        <f t="shared" si="249"/>
        <v>0</v>
      </c>
      <c r="AF203" s="17" t="str">
        <f t="shared" si="185"/>
        <v/>
      </c>
      <c r="AG203" s="18" t="str">
        <f t="shared" si="186"/>
        <v/>
      </c>
      <c r="AH203" s="17" t="str">
        <f t="shared" si="250"/>
        <v/>
      </c>
      <c r="AI203" s="297" t="e">
        <f t="shared" si="227"/>
        <v>#VALUE!</v>
      </c>
      <c r="AJ203" s="79" t="e">
        <f t="shared" si="187"/>
        <v>#VALUE!</v>
      </c>
      <c r="AK203" s="17" t="str">
        <f t="shared" si="251"/>
        <v/>
      </c>
      <c r="AL203" s="80" t="e">
        <f t="shared" si="188"/>
        <v>#VALUE!</v>
      </c>
      <c r="AM203" s="139" t="b">
        <f t="shared" si="189"/>
        <v>1</v>
      </c>
      <c r="AN203" s="139" t="b">
        <f>AND(COUNTA(E203)&gt;0,ISNUMBER(F203),OR(COUNT(G203:H203)=0,COUNT(G203:H203)=2,AND(ISNUMBER(G203),ISNUMBER(VALUE(LEFT(H203,SUM(LEN(H203)-LEN(SUBSTITUTE(H203,{"0","1","2","3","4","5","6","7","8","9","."},"")))))))),ISNUMBER(I203),ISTEXT(J203))</f>
        <v>0</v>
      </c>
      <c r="AO203" s="19" t="b">
        <f t="shared" si="190"/>
        <v>0</v>
      </c>
      <c r="AP203" s="19" t="b">
        <f t="shared" si="191"/>
        <v>1</v>
      </c>
      <c r="AQ203" s="19" t="b">
        <f>IF(AND(COUNTBLANK(E203:J203)=6,OR(AN204:AN$523)),NOT(AN203))</f>
        <v>0</v>
      </c>
      <c r="AR203" s="19" t="str">
        <f t="shared" si="192"/>
        <v/>
      </c>
      <c r="AS203" s="19" t="b">
        <f t="shared" si="193"/>
        <v>1</v>
      </c>
      <c r="AT203" s="19" t="str">
        <f t="shared" si="194"/>
        <v/>
      </c>
      <c r="AU203" s="19" t="b">
        <f t="shared" si="195"/>
        <v>1</v>
      </c>
      <c r="AV203" s="140" t="str">
        <f t="shared" si="233"/>
        <v/>
      </c>
      <c r="AW203" s="19" t="str">
        <f t="shared" si="196"/>
        <v/>
      </c>
      <c r="AX203" s="81">
        <f t="shared" si="197"/>
        <v>0</v>
      </c>
      <c r="AY203" s="81" t="str">
        <f t="shared" si="198"/>
        <v/>
      </c>
      <c r="AZ203" s="307" t="str">
        <f t="shared" si="228"/>
        <v/>
      </c>
      <c r="BA203" s="281" t="str">
        <f t="shared" si="234"/>
        <v/>
      </c>
      <c r="BB203" s="281" t="str">
        <f t="shared" si="235"/>
        <v/>
      </c>
      <c r="BC203" s="953"/>
      <c r="BD203" s="955"/>
      <c r="BE203" s="219" t="str">
        <f t="shared" si="199"/>
        <v>n/a</v>
      </c>
      <c r="BF203" s="215" t="b">
        <f t="shared" si="200"/>
        <v>0</v>
      </c>
      <c r="BG203" s="145" t="b">
        <f t="shared" si="201"/>
        <v>0</v>
      </c>
      <c r="BH203" s="145" t="b">
        <f t="shared" si="202"/>
        <v>0</v>
      </c>
      <c r="BI203" s="216" t="b">
        <f t="shared" si="203"/>
        <v>0</v>
      </c>
      <c r="BJ203" s="215" t="b">
        <f t="shared" si="204"/>
        <v>0</v>
      </c>
      <c r="BK203" s="145" t="b">
        <f t="shared" si="205"/>
        <v>0</v>
      </c>
      <c r="BL203" s="216" t="b">
        <f t="shared" si="206"/>
        <v>0</v>
      </c>
      <c r="BM203" s="217" t="str">
        <f t="shared" si="236"/>
        <v/>
      </c>
      <c r="BN203" s="146" t="str">
        <f t="shared" si="237"/>
        <v/>
      </c>
      <c r="BO203" s="147" t="str">
        <f t="shared" si="238"/>
        <v/>
      </c>
      <c r="BP203" s="148" t="str">
        <f t="shared" si="239"/>
        <v/>
      </c>
      <c r="BT203" s="50">
        <f t="shared" si="254"/>
        <v>180</v>
      </c>
      <c r="BU203" s="50" t="str">
        <f t="shared" si="256"/>
        <v>-</v>
      </c>
      <c r="BW203" s="340"/>
      <c r="BX203" s="333"/>
      <c r="BY203" s="333"/>
      <c r="BZ203" s="333"/>
      <c r="CA203" s="333"/>
      <c r="CB203" s="333"/>
      <c r="CC203" s="333"/>
      <c r="CD203" s="333"/>
      <c r="CE203" s="333"/>
      <c r="CF203" s="333"/>
      <c r="CG203" s="354">
        <f t="shared" si="207"/>
        <v>180</v>
      </c>
      <c r="CH203" s="613">
        <f t="shared" si="208"/>
        <v>0</v>
      </c>
      <c r="CI203" s="613">
        <f t="shared" si="209"/>
        <v>0</v>
      </c>
      <c r="CJ203" s="614" t="str">
        <f t="shared" si="210"/>
        <v/>
      </c>
      <c r="CK203" s="615" t="str">
        <f t="shared" si="211"/>
        <v/>
      </c>
      <c r="CL203" s="610" t="str">
        <f>IF(ISBLANK(H203),"",IF(AND(ISNUMBER(F203),ISNUMBER(G203),ISNUMBER(H203)),ROUND(F203/(H203*G203),2),ROUND(F203/(VALUE(LEFT(H203,SUM(LEN(H203)-LEN(SUBSTITUTE(H203,{"0","1","2","3","4","5","6","7","8","9","."},"")))))*G203),2)))</f>
        <v/>
      </c>
      <c r="CM203" s="616" t="str">
        <f t="shared" si="240"/>
        <v/>
      </c>
      <c r="CN203" s="616" t="str">
        <f>IF(ISNUMBER(P203),MAX('Adjustment factors'!$S$16,(0.2+0.8*P203)),IF(ISTEXT(N203),VLOOKUP(N203,Afactors,2,FALSE),""))</f>
        <v/>
      </c>
      <c r="CO203" s="616" t="str">
        <f>IF(ISNUMBER(S203),MAX('Adjustment factors'!$S$16,0.2+0.8*S203),IF(ISTEXT(Q203),VLOOKUP(Q203,Afactors,2,FALSE),""))</f>
        <v/>
      </c>
      <c r="CP203" s="611" t="str">
        <f t="shared" si="229"/>
        <v/>
      </c>
      <c r="CQ203" s="612" t="str">
        <f t="shared" si="230"/>
        <v/>
      </c>
      <c r="CR203" s="340"/>
      <c r="CS203" s="340"/>
      <c r="CT203" s="340"/>
      <c r="CU203" s="340"/>
      <c r="CV203" s="333"/>
      <c r="CW203" s="333"/>
      <c r="CX203" s="333"/>
      <c r="CY203" s="333"/>
      <c r="DA203" s="313" t="str">
        <f t="shared" si="212"/>
        <v>OK</v>
      </c>
      <c r="DB203" s="313" t="str">
        <f t="shared" si="213"/>
        <v>OK</v>
      </c>
      <c r="DC203" s="313" t="str">
        <f t="shared" si="214"/>
        <v>OK</v>
      </c>
      <c r="DD203" s="313" t="str">
        <f t="shared" si="215"/>
        <v>OK</v>
      </c>
      <c r="DE203" s="153" t="str">
        <f t="shared" si="216"/>
        <v>OK</v>
      </c>
      <c r="DF203" s="314" t="str">
        <f t="shared" si="217"/>
        <v>OK</v>
      </c>
      <c r="DG203" s="482" t="str">
        <f t="shared" si="231"/>
        <v>OK</v>
      </c>
      <c r="DH203" s="482" t="str">
        <f>IF(OR(AND(T203='Adjustment factors'!$R$28,'Class 3, 5-9'!U203='Adjustment factors'!$R$29),AND('Class 3, 5-9'!T203='Adjustment factors'!$R$29,'Class 3, 5-9'!U203='Adjustment factors'!$R$28)),"Invalid combination of adjustment factors",IF(AND(T203=U203,NOT(ISBLANK(T203)),NOT(ISBLANK(U203))),"Same colour factor selected twice","OK"))</f>
        <v>OK</v>
      </c>
      <c r="DI203" s="313" t="str">
        <f t="shared" si="218"/>
        <v>OK</v>
      </c>
      <c r="DJ203" s="153" t="str">
        <f t="shared" si="241"/>
        <v>OK</v>
      </c>
      <c r="DK203" s="153" t="str">
        <f t="shared" si="219"/>
        <v>OK</v>
      </c>
      <c r="DL203" s="313" t="str">
        <f t="shared" si="220"/>
        <v>OK</v>
      </c>
      <c r="DM203" s="153" t="str">
        <f t="shared" si="221"/>
        <v>OK</v>
      </c>
      <c r="DN203" s="153" t="str">
        <f t="shared" si="242"/>
        <v>OK</v>
      </c>
      <c r="DO203" s="154" t="str">
        <f t="shared" si="243"/>
        <v>OK</v>
      </c>
      <c r="DP203" s="153" t="str">
        <f t="shared" si="222"/>
        <v>OK</v>
      </c>
      <c r="DQ203" s="313" t="str">
        <f t="shared" si="223"/>
        <v>OK</v>
      </c>
      <c r="DR203" s="153" t="str">
        <f t="shared" si="244"/>
        <v>OK</v>
      </c>
      <c r="DS203" s="153" t="str">
        <f t="shared" si="224"/>
        <v>OK</v>
      </c>
      <c r="DT203" s="313" t="str">
        <f t="shared" ref="DT203:DT223" si="258">IF(AND(ISNUMBER(S203),Q203&lt;&gt;FixedDim),"Select fixed dimming with an illuminance factor","OK")</f>
        <v>OK</v>
      </c>
      <c r="DU203" s="153" t="str">
        <f t="shared" si="225"/>
        <v>OK</v>
      </c>
      <c r="DV203" s="153" t="str">
        <f t="shared" si="245"/>
        <v>OK</v>
      </c>
      <c r="DW203" s="154" t="str">
        <f t="shared" si="246"/>
        <v>OK</v>
      </c>
      <c r="DX203" s="157">
        <f t="shared" si="247"/>
        <v>0</v>
      </c>
      <c r="DY203" s="156" t="str">
        <f t="shared" si="248"/>
        <v>OK</v>
      </c>
    </row>
    <row r="204" spans="1:129" ht="13" hidden="1" x14ac:dyDescent="0.3">
      <c r="A204" s="333"/>
      <c r="B204" s="333"/>
      <c r="C204" s="332" t="str">
        <f t="shared" si="257"/>
        <v>-</v>
      </c>
      <c r="D204" s="584">
        <f t="shared" si="253"/>
        <v>181</v>
      </c>
      <c r="E204" s="585"/>
      <c r="F204" s="586"/>
      <c r="G204" s="600"/>
      <c r="H204" s="587"/>
      <c r="I204" s="601"/>
      <c r="J204" s="585"/>
      <c r="K204" s="617"/>
      <c r="L204" s="602"/>
      <c r="M204" s="603"/>
      <c r="N204" s="588"/>
      <c r="O204" s="604"/>
      <c r="P204" s="605"/>
      <c r="Q204" s="588"/>
      <c r="R204" s="604"/>
      <c r="S204" s="605"/>
      <c r="T204" s="606"/>
      <c r="U204" s="606"/>
      <c r="V204" s="429" t="str">
        <f t="shared" si="255"/>
        <v/>
      </c>
      <c r="W204" s="430" t="str">
        <f t="shared" si="252"/>
        <v/>
      </c>
      <c r="X204" s="66" t="str">
        <f>IF(AND(ISNUMBER(P204),N204=FixedDim),MAX('Adjustment factors'!$S$16,0.2+0.8*P204),IF(ISTEXT(N204),VLOOKUP(N204,Afactors,2,TRUE),""))</f>
        <v/>
      </c>
      <c r="Y204" s="17" t="str">
        <f>IF(AND(ISNUMBER(S204),Q204=FixedDim),MAX('Adjustment factors'!$S$16,0.2+0.8*S204),IF(ISTEXT(Q204),VLOOKUP(Q204,Afactors,2,TRUE),""))</f>
        <v/>
      </c>
      <c r="Z204" s="297" t="str">
        <f>IF(ISBLANK(T204),"",VLOOKUP(T204,'Adjustment factors'!$R$27:$S$30,2,TRUE))</f>
        <v/>
      </c>
      <c r="AA204" s="297" t="str">
        <f>IF(ISBLANK(U204),"",VLOOKUP(U204,'Adjustment factors'!$R$27:$S$30,2,TRUE))</f>
        <v/>
      </c>
      <c r="AB204" s="480">
        <f t="shared" si="226"/>
        <v>1</v>
      </c>
      <c r="AC204" s="18" t="b">
        <f t="shared" si="183"/>
        <v>0</v>
      </c>
      <c r="AD204" s="18" t="b">
        <f t="shared" si="184"/>
        <v>0</v>
      </c>
      <c r="AE204" s="18" t="b">
        <f t="shared" si="249"/>
        <v>0</v>
      </c>
      <c r="AF204" s="17" t="str">
        <f t="shared" si="185"/>
        <v/>
      </c>
      <c r="AG204" s="18" t="str">
        <f t="shared" si="186"/>
        <v/>
      </c>
      <c r="AH204" s="17" t="str">
        <f t="shared" si="250"/>
        <v/>
      </c>
      <c r="AI204" s="297" t="e">
        <f t="shared" si="227"/>
        <v>#VALUE!</v>
      </c>
      <c r="AJ204" s="79" t="e">
        <f t="shared" si="187"/>
        <v>#VALUE!</v>
      </c>
      <c r="AK204" s="17" t="str">
        <f t="shared" si="251"/>
        <v/>
      </c>
      <c r="AL204" s="80" t="e">
        <f t="shared" si="188"/>
        <v>#VALUE!</v>
      </c>
      <c r="AM204" s="139" t="b">
        <f t="shared" si="189"/>
        <v>1</v>
      </c>
      <c r="AN204" s="139" t="b">
        <f>AND(COUNTA(E204)&gt;0,ISNUMBER(F204),OR(COUNT(G204:H204)=0,COUNT(G204:H204)=2,AND(ISNUMBER(G204),ISNUMBER(VALUE(LEFT(H204,SUM(LEN(H204)-LEN(SUBSTITUTE(H204,{"0","1","2","3","4","5","6","7","8","9","."},"")))))))),ISNUMBER(I204),ISTEXT(J204))</f>
        <v>0</v>
      </c>
      <c r="AO204" s="19" t="b">
        <f t="shared" si="190"/>
        <v>0</v>
      </c>
      <c r="AP204" s="19" t="b">
        <f t="shared" si="191"/>
        <v>1</v>
      </c>
      <c r="AQ204" s="19" t="b">
        <f>IF(AND(COUNTBLANK(E204:J204)=6,OR(AN205:AN$523)),NOT(AN204))</f>
        <v>0</v>
      </c>
      <c r="AR204" s="19" t="str">
        <f t="shared" si="192"/>
        <v/>
      </c>
      <c r="AS204" s="19" t="b">
        <f t="shared" si="193"/>
        <v>1</v>
      </c>
      <c r="AT204" s="19" t="str">
        <f t="shared" si="194"/>
        <v/>
      </c>
      <c r="AU204" s="19" t="b">
        <f t="shared" si="195"/>
        <v>1</v>
      </c>
      <c r="AV204" s="140" t="str">
        <f t="shared" si="233"/>
        <v/>
      </c>
      <c r="AW204" s="19" t="str">
        <f t="shared" si="196"/>
        <v/>
      </c>
      <c r="AX204" s="81">
        <f t="shared" si="197"/>
        <v>0</v>
      </c>
      <c r="AY204" s="81" t="str">
        <f t="shared" si="198"/>
        <v/>
      </c>
      <c r="AZ204" s="307" t="str">
        <f t="shared" si="228"/>
        <v/>
      </c>
      <c r="BA204" s="281" t="str">
        <f t="shared" si="234"/>
        <v/>
      </c>
      <c r="BB204" s="281" t="str">
        <f t="shared" si="235"/>
        <v/>
      </c>
      <c r="BC204" s="953"/>
      <c r="BD204" s="955"/>
      <c r="BE204" s="219" t="str">
        <f t="shared" si="199"/>
        <v>n/a</v>
      </c>
      <c r="BF204" s="215" t="b">
        <f t="shared" si="200"/>
        <v>0</v>
      </c>
      <c r="BG204" s="145" t="b">
        <f t="shared" si="201"/>
        <v>0</v>
      </c>
      <c r="BH204" s="145" t="b">
        <f t="shared" si="202"/>
        <v>0</v>
      </c>
      <c r="BI204" s="216" t="b">
        <f t="shared" si="203"/>
        <v>0</v>
      </c>
      <c r="BJ204" s="215" t="b">
        <f t="shared" si="204"/>
        <v>0</v>
      </c>
      <c r="BK204" s="145" t="b">
        <f t="shared" si="205"/>
        <v>0</v>
      </c>
      <c r="BL204" s="216" t="b">
        <f t="shared" si="206"/>
        <v>0</v>
      </c>
      <c r="BM204" s="217" t="str">
        <f t="shared" si="236"/>
        <v/>
      </c>
      <c r="BN204" s="146" t="str">
        <f t="shared" si="237"/>
        <v/>
      </c>
      <c r="BO204" s="147" t="str">
        <f t="shared" si="238"/>
        <v/>
      </c>
      <c r="BP204" s="148" t="str">
        <f t="shared" si="239"/>
        <v/>
      </c>
      <c r="BT204" s="50">
        <f t="shared" si="254"/>
        <v>181</v>
      </c>
      <c r="BU204" s="50" t="str">
        <f t="shared" si="256"/>
        <v>-</v>
      </c>
      <c r="BW204" s="340"/>
      <c r="BX204" s="333"/>
      <c r="BY204" s="333"/>
      <c r="BZ204" s="333"/>
      <c r="CA204" s="333"/>
      <c r="CB204" s="333"/>
      <c r="CC204" s="333"/>
      <c r="CD204" s="333"/>
      <c r="CE204" s="333"/>
      <c r="CF204" s="333"/>
      <c r="CG204" s="354">
        <f t="shared" si="207"/>
        <v>181</v>
      </c>
      <c r="CH204" s="613">
        <f t="shared" si="208"/>
        <v>0</v>
      </c>
      <c r="CI204" s="613">
        <f t="shared" si="209"/>
        <v>0</v>
      </c>
      <c r="CJ204" s="614" t="str">
        <f t="shared" si="210"/>
        <v/>
      </c>
      <c r="CK204" s="615" t="str">
        <f t="shared" si="211"/>
        <v/>
      </c>
      <c r="CL204" s="610" t="str">
        <f>IF(ISBLANK(H204),"",IF(AND(ISNUMBER(F204),ISNUMBER(G204),ISNUMBER(H204)),ROUND(F204/(H204*G204),2),ROUND(F204/(VALUE(LEFT(H204,SUM(LEN(H204)-LEN(SUBSTITUTE(H204,{"0","1","2","3","4","5","6","7","8","9","."},"")))))*G204),2)))</f>
        <v/>
      </c>
      <c r="CM204" s="616" t="str">
        <f t="shared" si="240"/>
        <v/>
      </c>
      <c r="CN204" s="616" t="str">
        <f>IF(ISNUMBER(P204),MAX('Adjustment factors'!$S$16,(0.2+0.8*P204)),IF(ISTEXT(N204),VLOOKUP(N204,Afactors,2,FALSE),""))</f>
        <v/>
      </c>
      <c r="CO204" s="616" t="str">
        <f>IF(ISNUMBER(S204),MAX('Adjustment factors'!$S$16,0.2+0.8*S204),IF(ISTEXT(Q204),VLOOKUP(Q204,Afactors,2,FALSE),""))</f>
        <v/>
      </c>
      <c r="CP204" s="611" t="str">
        <f t="shared" si="229"/>
        <v/>
      </c>
      <c r="CQ204" s="612" t="str">
        <f t="shared" si="230"/>
        <v/>
      </c>
      <c r="CR204" s="340"/>
      <c r="CS204" s="340"/>
      <c r="CT204" s="340"/>
      <c r="CU204" s="340"/>
      <c r="CV204" s="333"/>
      <c r="CW204" s="333"/>
      <c r="CX204" s="333"/>
      <c r="CY204" s="333"/>
      <c r="DA204" s="313" t="str">
        <f t="shared" si="212"/>
        <v>OK</v>
      </c>
      <c r="DB204" s="313" t="str">
        <f t="shared" si="213"/>
        <v>OK</v>
      </c>
      <c r="DC204" s="313" t="str">
        <f t="shared" si="214"/>
        <v>OK</v>
      </c>
      <c r="DD204" s="313" t="str">
        <f t="shared" si="215"/>
        <v>OK</v>
      </c>
      <c r="DE204" s="153" t="str">
        <f t="shared" si="216"/>
        <v>OK</v>
      </c>
      <c r="DF204" s="314" t="str">
        <f t="shared" si="217"/>
        <v>OK</v>
      </c>
      <c r="DG204" s="482" t="str">
        <f t="shared" si="231"/>
        <v>OK</v>
      </c>
      <c r="DH204" s="482" t="str">
        <f>IF(OR(AND(T204='Adjustment factors'!$R$28,'Class 3, 5-9'!U204='Adjustment factors'!$R$29),AND('Class 3, 5-9'!T204='Adjustment factors'!$R$29,'Class 3, 5-9'!U204='Adjustment factors'!$R$28)),"Invalid combination of adjustment factors",IF(AND(T204=U204,NOT(ISBLANK(T204)),NOT(ISBLANK(U204))),"Same colour factor selected twice","OK"))</f>
        <v>OK</v>
      </c>
      <c r="DI204" s="313" t="str">
        <f t="shared" si="218"/>
        <v>OK</v>
      </c>
      <c r="DJ204" s="153" t="str">
        <f t="shared" si="241"/>
        <v>OK</v>
      </c>
      <c r="DK204" s="153" t="str">
        <f t="shared" si="219"/>
        <v>OK</v>
      </c>
      <c r="DL204" s="313" t="str">
        <f t="shared" si="220"/>
        <v>OK</v>
      </c>
      <c r="DM204" s="153" t="str">
        <f t="shared" si="221"/>
        <v>OK</v>
      </c>
      <c r="DN204" s="153" t="str">
        <f t="shared" si="242"/>
        <v>OK</v>
      </c>
      <c r="DO204" s="154" t="str">
        <f t="shared" si="243"/>
        <v>OK</v>
      </c>
      <c r="DP204" s="153" t="str">
        <f t="shared" si="222"/>
        <v>OK</v>
      </c>
      <c r="DQ204" s="313" t="str">
        <f t="shared" si="223"/>
        <v>OK</v>
      </c>
      <c r="DR204" s="153" t="str">
        <f t="shared" si="244"/>
        <v>OK</v>
      </c>
      <c r="DS204" s="153" t="str">
        <f t="shared" si="224"/>
        <v>OK</v>
      </c>
      <c r="DT204" s="313" t="str">
        <f t="shared" si="258"/>
        <v>OK</v>
      </c>
      <c r="DU204" s="153" t="str">
        <f t="shared" si="225"/>
        <v>OK</v>
      </c>
      <c r="DV204" s="153" t="str">
        <f t="shared" si="245"/>
        <v>OK</v>
      </c>
      <c r="DW204" s="154" t="str">
        <f t="shared" si="246"/>
        <v>OK</v>
      </c>
      <c r="DX204" s="157">
        <f t="shared" si="247"/>
        <v>0</v>
      </c>
      <c r="DY204" s="156" t="str">
        <f t="shared" si="248"/>
        <v>OK</v>
      </c>
    </row>
    <row r="205" spans="1:129" ht="13" hidden="1" x14ac:dyDescent="0.3">
      <c r="A205" s="333"/>
      <c r="B205" s="333"/>
      <c r="C205" s="332" t="str">
        <f t="shared" si="257"/>
        <v>-</v>
      </c>
      <c r="D205" s="584">
        <f t="shared" si="253"/>
        <v>182</v>
      </c>
      <c r="E205" s="585"/>
      <c r="F205" s="586"/>
      <c r="G205" s="600"/>
      <c r="H205" s="587"/>
      <c r="I205" s="601"/>
      <c r="J205" s="585"/>
      <c r="K205" s="617"/>
      <c r="L205" s="602"/>
      <c r="M205" s="603"/>
      <c r="N205" s="588"/>
      <c r="O205" s="604"/>
      <c r="P205" s="605"/>
      <c r="Q205" s="588"/>
      <c r="R205" s="604"/>
      <c r="S205" s="605"/>
      <c r="T205" s="606"/>
      <c r="U205" s="606"/>
      <c r="V205" s="429" t="str">
        <f t="shared" si="255"/>
        <v/>
      </c>
      <c r="W205" s="430" t="str">
        <f t="shared" si="252"/>
        <v/>
      </c>
      <c r="X205" s="66" t="str">
        <f>IF(AND(ISNUMBER(P205),N205=FixedDim),MAX('Adjustment factors'!$S$16,0.2+0.8*P205),IF(ISTEXT(N205),VLOOKUP(N205,Afactors,2,TRUE),""))</f>
        <v/>
      </c>
      <c r="Y205" s="17" t="str">
        <f>IF(AND(ISNUMBER(S205),Q205=FixedDim),MAX('Adjustment factors'!$S$16,0.2+0.8*S205),IF(ISTEXT(Q205),VLOOKUP(Q205,Afactors,2,TRUE),""))</f>
        <v/>
      </c>
      <c r="Z205" s="297" t="str">
        <f>IF(ISBLANK(T205),"",VLOOKUP(T205,'Adjustment factors'!$R$27:$S$30,2,TRUE))</f>
        <v/>
      </c>
      <c r="AA205" s="297" t="str">
        <f>IF(ISBLANK(U205),"",VLOOKUP(U205,'Adjustment factors'!$R$27:$S$30,2,TRUE))</f>
        <v/>
      </c>
      <c r="AB205" s="480">
        <f t="shared" si="226"/>
        <v>1</v>
      </c>
      <c r="AC205" s="18" t="b">
        <f t="shared" si="183"/>
        <v>0</v>
      </c>
      <c r="AD205" s="18" t="b">
        <f t="shared" si="184"/>
        <v>0</v>
      </c>
      <c r="AE205" s="18" t="b">
        <f t="shared" si="249"/>
        <v>0</v>
      </c>
      <c r="AF205" s="17" t="str">
        <f t="shared" si="185"/>
        <v/>
      </c>
      <c r="AG205" s="18" t="str">
        <f t="shared" si="186"/>
        <v/>
      </c>
      <c r="AH205" s="17" t="str">
        <f t="shared" si="250"/>
        <v/>
      </c>
      <c r="AI205" s="297" t="e">
        <f t="shared" si="227"/>
        <v>#VALUE!</v>
      </c>
      <c r="AJ205" s="79" t="e">
        <f t="shared" si="187"/>
        <v>#VALUE!</v>
      </c>
      <c r="AK205" s="17" t="str">
        <f t="shared" si="251"/>
        <v/>
      </c>
      <c r="AL205" s="80" t="e">
        <f t="shared" si="188"/>
        <v>#VALUE!</v>
      </c>
      <c r="AM205" s="139" t="b">
        <f t="shared" si="189"/>
        <v>1</v>
      </c>
      <c r="AN205" s="139" t="b">
        <f>AND(COUNTA(E205)&gt;0,ISNUMBER(F205),OR(COUNT(G205:H205)=0,COUNT(G205:H205)=2,AND(ISNUMBER(G205),ISNUMBER(VALUE(LEFT(H205,SUM(LEN(H205)-LEN(SUBSTITUTE(H205,{"0","1","2","3","4","5","6","7","8","9","."},"")))))))),ISNUMBER(I205),ISTEXT(J205))</f>
        <v>0</v>
      </c>
      <c r="AO205" s="19" t="b">
        <f t="shared" si="190"/>
        <v>0</v>
      </c>
      <c r="AP205" s="19" t="b">
        <f t="shared" si="191"/>
        <v>1</v>
      </c>
      <c r="AQ205" s="19" t="b">
        <f>IF(AND(COUNTBLANK(E205:J205)=6,OR(AN206:AN$523)),NOT(AN205))</f>
        <v>0</v>
      </c>
      <c r="AR205" s="19" t="str">
        <f t="shared" si="192"/>
        <v/>
      </c>
      <c r="AS205" s="19" t="b">
        <f t="shared" si="193"/>
        <v>1</v>
      </c>
      <c r="AT205" s="19" t="str">
        <f t="shared" si="194"/>
        <v/>
      </c>
      <c r="AU205" s="19" t="b">
        <f t="shared" si="195"/>
        <v>1</v>
      </c>
      <c r="AV205" s="140" t="str">
        <f t="shared" si="233"/>
        <v/>
      </c>
      <c r="AW205" s="19" t="str">
        <f t="shared" si="196"/>
        <v/>
      </c>
      <c r="AX205" s="81">
        <f t="shared" si="197"/>
        <v>0</v>
      </c>
      <c r="AY205" s="81" t="str">
        <f t="shared" si="198"/>
        <v/>
      </c>
      <c r="AZ205" s="307" t="str">
        <f t="shared" si="228"/>
        <v/>
      </c>
      <c r="BA205" s="281" t="str">
        <f t="shared" si="234"/>
        <v/>
      </c>
      <c r="BB205" s="281" t="str">
        <f t="shared" si="235"/>
        <v/>
      </c>
      <c r="BC205" s="953"/>
      <c r="BD205" s="955"/>
      <c r="BE205" s="219" t="str">
        <f t="shared" si="199"/>
        <v>n/a</v>
      </c>
      <c r="BF205" s="215" t="b">
        <f t="shared" si="200"/>
        <v>0</v>
      </c>
      <c r="BG205" s="145" t="b">
        <f t="shared" si="201"/>
        <v>0</v>
      </c>
      <c r="BH205" s="145" t="b">
        <f t="shared" si="202"/>
        <v>0</v>
      </c>
      <c r="BI205" s="216" t="b">
        <f t="shared" si="203"/>
        <v>0</v>
      </c>
      <c r="BJ205" s="215" t="b">
        <f t="shared" si="204"/>
        <v>0</v>
      </c>
      <c r="BK205" s="145" t="b">
        <f t="shared" si="205"/>
        <v>0</v>
      </c>
      <c r="BL205" s="216" t="b">
        <f t="shared" si="206"/>
        <v>0</v>
      </c>
      <c r="BM205" s="217" t="str">
        <f t="shared" si="236"/>
        <v/>
      </c>
      <c r="BN205" s="146" t="str">
        <f t="shared" si="237"/>
        <v/>
      </c>
      <c r="BO205" s="147" t="str">
        <f t="shared" si="238"/>
        <v/>
      </c>
      <c r="BP205" s="148" t="str">
        <f t="shared" si="239"/>
        <v/>
      </c>
      <c r="BT205" s="50">
        <f t="shared" si="254"/>
        <v>182</v>
      </c>
      <c r="BU205" s="50" t="str">
        <f t="shared" si="256"/>
        <v>-</v>
      </c>
      <c r="BW205" s="340"/>
      <c r="BX205" s="333"/>
      <c r="BY205" s="333"/>
      <c r="BZ205" s="333"/>
      <c r="CA205" s="333"/>
      <c r="CB205" s="333"/>
      <c r="CC205" s="333"/>
      <c r="CD205" s="333"/>
      <c r="CE205" s="333"/>
      <c r="CF205" s="333"/>
      <c r="CG205" s="354">
        <f t="shared" si="207"/>
        <v>182</v>
      </c>
      <c r="CH205" s="613">
        <f t="shared" si="208"/>
        <v>0</v>
      </c>
      <c r="CI205" s="613">
        <f t="shared" si="209"/>
        <v>0</v>
      </c>
      <c r="CJ205" s="614" t="str">
        <f t="shared" si="210"/>
        <v/>
      </c>
      <c r="CK205" s="615" t="str">
        <f t="shared" si="211"/>
        <v/>
      </c>
      <c r="CL205" s="610" t="str">
        <f>IF(ISBLANK(H205),"",IF(AND(ISNUMBER(F205),ISNUMBER(G205),ISNUMBER(H205)),ROUND(F205/(H205*G205),2),ROUND(F205/(VALUE(LEFT(H205,SUM(LEN(H205)-LEN(SUBSTITUTE(H205,{"0","1","2","3","4","5","6","7","8","9","."},"")))))*G205),2)))</f>
        <v/>
      </c>
      <c r="CM205" s="616" t="str">
        <f t="shared" si="240"/>
        <v/>
      </c>
      <c r="CN205" s="616" t="str">
        <f>IF(ISNUMBER(P205),MAX('Adjustment factors'!$S$16,(0.2+0.8*P205)),IF(ISTEXT(N205),VLOOKUP(N205,Afactors,2,FALSE),""))</f>
        <v/>
      </c>
      <c r="CO205" s="616" t="str">
        <f>IF(ISNUMBER(S205),MAX('Adjustment factors'!$S$16,0.2+0.8*S205),IF(ISTEXT(Q205),VLOOKUP(Q205,Afactors,2,FALSE),""))</f>
        <v/>
      </c>
      <c r="CP205" s="611" t="str">
        <f t="shared" si="229"/>
        <v/>
      </c>
      <c r="CQ205" s="612" t="str">
        <f t="shared" si="230"/>
        <v/>
      </c>
      <c r="CR205" s="340"/>
      <c r="CS205" s="340"/>
      <c r="CT205" s="340"/>
      <c r="CU205" s="340"/>
      <c r="CV205" s="333"/>
      <c r="CW205" s="333"/>
      <c r="CX205" s="333"/>
      <c r="CY205" s="333"/>
      <c r="DA205" s="313" t="str">
        <f t="shared" si="212"/>
        <v>OK</v>
      </c>
      <c r="DB205" s="313" t="str">
        <f t="shared" si="213"/>
        <v>OK</v>
      </c>
      <c r="DC205" s="313" t="str">
        <f t="shared" si="214"/>
        <v>OK</v>
      </c>
      <c r="DD205" s="313" t="str">
        <f t="shared" si="215"/>
        <v>OK</v>
      </c>
      <c r="DE205" s="153" t="str">
        <f t="shared" si="216"/>
        <v>OK</v>
      </c>
      <c r="DF205" s="314" t="str">
        <f t="shared" si="217"/>
        <v>OK</v>
      </c>
      <c r="DG205" s="482" t="str">
        <f t="shared" si="231"/>
        <v>OK</v>
      </c>
      <c r="DH205" s="482" t="str">
        <f>IF(OR(AND(T205='Adjustment factors'!$R$28,'Class 3, 5-9'!U205='Adjustment factors'!$R$29),AND('Class 3, 5-9'!T205='Adjustment factors'!$R$29,'Class 3, 5-9'!U205='Adjustment factors'!$R$28)),"Invalid combination of adjustment factors",IF(AND(T205=U205,NOT(ISBLANK(T205)),NOT(ISBLANK(U205))),"Same colour factor selected twice","OK"))</f>
        <v>OK</v>
      </c>
      <c r="DI205" s="313" t="str">
        <f t="shared" si="218"/>
        <v>OK</v>
      </c>
      <c r="DJ205" s="153" t="str">
        <f t="shared" si="241"/>
        <v>OK</v>
      </c>
      <c r="DK205" s="153" t="str">
        <f t="shared" si="219"/>
        <v>OK</v>
      </c>
      <c r="DL205" s="313" t="str">
        <f t="shared" si="220"/>
        <v>OK</v>
      </c>
      <c r="DM205" s="153" t="str">
        <f t="shared" si="221"/>
        <v>OK</v>
      </c>
      <c r="DN205" s="153" t="str">
        <f t="shared" si="242"/>
        <v>OK</v>
      </c>
      <c r="DO205" s="154" t="str">
        <f t="shared" si="243"/>
        <v>OK</v>
      </c>
      <c r="DP205" s="153" t="str">
        <f t="shared" si="222"/>
        <v>OK</v>
      </c>
      <c r="DQ205" s="313" t="str">
        <f t="shared" si="223"/>
        <v>OK</v>
      </c>
      <c r="DR205" s="153" t="str">
        <f t="shared" si="244"/>
        <v>OK</v>
      </c>
      <c r="DS205" s="153" t="str">
        <f t="shared" si="224"/>
        <v>OK</v>
      </c>
      <c r="DT205" s="313" t="str">
        <f t="shared" si="258"/>
        <v>OK</v>
      </c>
      <c r="DU205" s="153" t="str">
        <f t="shared" si="225"/>
        <v>OK</v>
      </c>
      <c r="DV205" s="153" t="str">
        <f t="shared" si="245"/>
        <v>OK</v>
      </c>
      <c r="DW205" s="154" t="str">
        <f t="shared" si="246"/>
        <v>OK</v>
      </c>
      <c r="DX205" s="157">
        <f t="shared" si="247"/>
        <v>0</v>
      </c>
      <c r="DY205" s="156" t="str">
        <f t="shared" si="248"/>
        <v>OK</v>
      </c>
    </row>
    <row r="206" spans="1:129" ht="13" hidden="1" x14ac:dyDescent="0.3">
      <c r="A206" s="333"/>
      <c r="B206" s="333"/>
      <c r="C206" s="332" t="str">
        <f t="shared" si="257"/>
        <v>-</v>
      </c>
      <c r="D206" s="584">
        <f t="shared" si="253"/>
        <v>183</v>
      </c>
      <c r="E206" s="585"/>
      <c r="F206" s="586"/>
      <c r="G206" s="600"/>
      <c r="H206" s="587"/>
      <c r="I206" s="601"/>
      <c r="J206" s="585"/>
      <c r="K206" s="617"/>
      <c r="L206" s="602"/>
      <c r="M206" s="603"/>
      <c r="N206" s="588"/>
      <c r="O206" s="604"/>
      <c r="P206" s="605"/>
      <c r="Q206" s="588"/>
      <c r="R206" s="604"/>
      <c r="S206" s="605"/>
      <c r="T206" s="606"/>
      <c r="U206" s="606"/>
      <c r="V206" s="429" t="str">
        <f t="shared" si="255"/>
        <v/>
      </c>
      <c r="W206" s="430" t="str">
        <f t="shared" si="252"/>
        <v/>
      </c>
      <c r="X206" s="66" t="str">
        <f>IF(AND(ISNUMBER(P206),N206=FixedDim),MAX('Adjustment factors'!$S$16,0.2+0.8*P206),IF(ISTEXT(N206),VLOOKUP(N206,Afactors,2,TRUE),""))</f>
        <v/>
      </c>
      <c r="Y206" s="17" t="str">
        <f>IF(AND(ISNUMBER(S206),Q206=FixedDim),MAX('Adjustment factors'!$S$16,0.2+0.8*S206),IF(ISTEXT(Q206),VLOOKUP(Q206,Afactors,2,TRUE),""))</f>
        <v/>
      </c>
      <c r="Z206" s="297" t="str">
        <f>IF(ISBLANK(T206),"",VLOOKUP(T206,'Adjustment factors'!$R$27:$S$30,2,TRUE))</f>
        <v/>
      </c>
      <c r="AA206" s="297" t="str">
        <f>IF(ISBLANK(U206),"",VLOOKUP(U206,'Adjustment factors'!$R$27:$S$30,2,TRUE))</f>
        <v/>
      </c>
      <c r="AB206" s="480">
        <f t="shared" si="226"/>
        <v>1</v>
      </c>
      <c r="AC206" s="18" t="b">
        <f t="shared" si="183"/>
        <v>0</v>
      </c>
      <c r="AD206" s="18" t="b">
        <f t="shared" si="184"/>
        <v>0</v>
      </c>
      <c r="AE206" s="18" t="b">
        <f t="shared" si="249"/>
        <v>0</v>
      </c>
      <c r="AF206" s="17" t="str">
        <f t="shared" si="185"/>
        <v/>
      </c>
      <c r="AG206" s="18" t="str">
        <f t="shared" si="186"/>
        <v/>
      </c>
      <c r="AH206" s="17" t="str">
        <f t="shared" si="250"/>
        <v/>
      </c>
      <c r="AI206" s="297" t="e">
        <f t="shared" si="227"/>
        <v>#VALUE!</v>
      </c>
      <c r="AJ206" s="79" t="e">
        <f t="shared" si="187"/>
        <v>#VALUE!</v>
      </c>
      <c r="AK206" s="17" t="str">
        <f t="shared" si="251"/>
        <v/>
      </c>
      <c r="AL206" s="80" t="e">
        <f t="shared" si="188"/>
        <v>#VALUE!</v>
      </c>
      <c r="AM206" s="139" t="b">
        <f t="shared" si="189"/>
        <v>1</v>
      </c>
      <c r="AN206" s="139" t="b">
        <f>AND(COUNTA(E206)&gt;0,ISNUMBER(F206),OR(COUNT(G206:H206)=0,COUNT(G206:H206)=2,AND(ISNUMBER(G206),ISNUMBER(VALUE(LEFT(H206,SUM(LEN(H206)-LEN(SUBSTITUTE(H206,{"0","1","2","3","4","5","6","7","8","9","."},"")))))))),ISNUMBER(I206),ISTEXT(J206))</f>
        <v>0</v>
      </c>
      <c r="AO206" s="19" t="b">
        <f t="shared" si="190"/>
        <v>0</v>
      </c>
      <c r="AP206" s="19" t="b">
        <f t="shared" si="191"/>
        <v>1</v>
      </c>
      <c r="AQ206" s="19" t="b">
        <f>IF(AND(COUNTBLANK(E206:J206)=6,OR(AN207:AN$523)),NOT(AN206))</f>
        <v>0</v>
      </c>
      <c r="AR206" s="19" t="str">
        <f t="shared" si="192"/>
        <v/>
      </c>
      <c r="AS206" s="19" t="b">
        <f t="shared" si="193"/>
        <v>1</v>
      </c>
      <c r="AT206" s="19" t="str">
        <f t="shared" si="194"/>
        <v/>
      </c>
      <c r="AU206" s="19" t="b">
        <f t="shared" si="195"/>
        <v>1</v>
      </c>
      <c r="AV206" s="140" t="str">
        <f t="shared" si="233"/>
        <v/>
      </c>
      <c r="AW206" s="19" t="str">
        <f t="shared" si="196"/>
        <v/>
      </c>
      <c r="AX206" s="81">
        <f t="shared" si="197"/>
        <v>0</v>
      </c>
      <c r="AY206" s="81" t="str">
        <f t="shared" si="198"/>
        <v/>
      </c>
      <c r="AZ206" s="307" t="str">
        <f t="shared" si="228"/>
        <v/>
      </c>
      <c r="BA206" s="281" t="str">
        <f t="shared" si="234"/>
        <v/>
      </c>
      <c r="BB206" s="281" t="str">
        <f t="shared" si="235"/>
        <v/>
      </c>
      <c r="BC206" s="953"/>
      <c r="BD206" s="955"/>
      <c r="BE206" s="219" t="str">
        <f t="shared" si="199"/>
        <v>n/a</v>
      </c>
      <c r="BF206" s="215" t="b">
        <f t="shared" si="200"/>
        <v>0</v>
      </c>
      <c r="BG206" s="145" t="b">
        <f t="shared" si="201"/>
        <v>0</v>
      </c>
      <c r="BH206" s="145" t="b">
        <f t="shared" si="202"/>
        <v>0</v>
      </c>
      <c r="BI206" s="216" t="b">
        <f t="shared" si="203"/>
        <v>0</v>
      </c>
      <c r="BJ206" s="215" t="b">
        <f t="shared" si="204"/>
        <v>0</v>
      </c>
      <c r="BK206" s="145" t="b">
        <f t="shared" si="205"/>
        <v>0</v>
      </c>
      <c r="BL206" s="216" t="b">
        <f t="shared" si="206"/>
        <v>0</v>
      </c>
      <c r="BM206" s="217" t="str">
        <f t="shared" si="236"/>
        <v/>
      </c>
      <c r="BN206" s="146" t="str">
        <f t="shared" si="237"/>
        <v/>
      </c>
      <c r="BO206" s="147" t="str">
        <f t="shared" si="238"/>
        <v/>
      </c>
      <c r="BP206" s="148" t="str">
        <f t="shared" si="239"/>
        <v/>
      </c>
      <c r="BT206" s="50">
        <f t="shared" si="254"/>
        <v>183</v>
      </c>
      <c r="BU206" s="50" t="str">
        <f t="shared" si="256"/>
        <v>-</v>
      </c>
      <c r="BW206" s="340"/>
      <c r="BX206" s="333"/>
      <c r="BY206" s="333"/>
      <c r="BZ206" s="333"/>
      <c r="CA206" s="333"/>
      <c r="CB206" s="333"/>
      <c r="CC206" s="333"/>
      <c r="CD206" s="333"/>
      <c r="CE206" s="333"/>
      <c r="CF206" s="333"/>
      <c r="CG206" s="354">
        <f t="shared" si="207"/>
        <v>183</v>
      </c>
      <c r="CH206" s="613">
        <f t="shared" si="208"/>
        <v>0</v>
      </c>
      <c r="CI206" s="613">
        <f t="shared" si="209"/>
        <v>0</v>
      </c>
      <c r="CJ206" s="614" t="str">
        <f t="shared" si="210"/>
        <v/>
      </c>
      <c r="CK206" s="615" t="str">
        <f t="shared" si="211"/>
        <v/>
      </c>
      <c r="CL206" s="610" t="str">
        <f>IF(ISBLANK(H206),"",IF(AND(ISNUMBER(F206),ISNUMBER(G206),ISNUMBER(H206)),ROUND(F206/(H206*G206),2),ROUND(F206/(VALUE(LEFT(H206,SUM(LEN(H206)-LEN(SUBSTITUTE(H206,{"0","1","2","3","4","5","6","7","8","9","."},"")))))*G206),2)))</f>
        <v/>
      </c>
      <c r="CM206" s="616" t="str">
        <f t="shared" si="240"/>
        <v/>
      </c>
      <c r="CN206" s="616" t="str">
        <f>IF(ISNUMBER(P206),MAX('Adjustment factors'!$S$16,(0.2+0.8*P206)),IF(ISTEXT(N206),VLOOKUP(N206,Afactors,2,FALSE),""))</f>
        <v/>
      </c>
      <c r="CO206" s="616" t="str">
        <f>IF(ISNUMBER(S206),MAX('Adjustment factors'!$S$16,0.2+0.8*S206),IF(ISTEXT(Q206),VLOOKUP(Q206,Afactors,2,FALSE),""))</f>
        <v/>
      </c>
      <c r="CP206" s="611" t="str">
        <f t="shared" si="229"/>
        <v/>
      </c>
      <c r="CQ206" s="612" t="str">
        <f t="shared" si="230"/>
        <v/>
      </c>
      <c r="CR206" s="340"/>
      <c r="CS206" s="340"/>
      <c r="CT206" s="340"/>
      <c r="CU206" s="340"/>
      <c r="CV206" s="333"/>
      <c r="CW206" s="333"/>
      <c r="CX206" s="333"/>
      <c r="CY206" s="333"/>
      <c r="DA206" s="313" t="str">
        <f t="shared" si="212"/>
        <v>OK</v>
      </c>
      <c r="DB206" s="313" t="str">
        <f t="shared" si="213"/>
        <v>OK</v>
      </c>
      <c r="DC206" s="313" t="str">
        <f t="shared" si="214"/>
        <v>OK</v>
      </c>
      <c r="DD206" s="313" t="str">
        <f t="shared" si="215"/>
        <v>OK</v>
      </c>
      <c r="DE206" s="153" t="str">
        <f t="shared" si="216"/>
        <v>OK</v>
      </c>
      <c r="DF206" s="314" t="str">
        <f t="shared" si="217"/>
        <v>OK</v>
      </c>
      <c r="DG206" s="482" t="str">
        <f t="shared" si="231"/>
        <v>OK</v>
      </c>
      <c r="DH206" s="482" t="str">
        <f>IF(OR(AND(T206='Adjustment factors'!$R$28,'Class 3, 5-9'!U206='Adjustment factors'!$R$29),AND('Class 3, 5-9'!T206='Adjustment factors'!$R$29,'Class 3, 5-9'!U206='Adjustment factors'!$R$28)),"Invalid combination of adjustment factors",IF(AND(T206=U206,NOT(ISBLANK(T206)),NOT(ISBLANK(U206))),"Same colour factor selected twice","OK"))</f>
        <v>OK</v>
      </c>
      <c r="DI206" s="313" t="str">
        <f t="shared" si="218"/>
        <v>OK</v>
      </c>
      <c r="DJ206" s="153" t="str">
        <f t="shared" si="241"/>
        <v>OK</v>
      </c>
      <c r="DK206" s="153" t="str">
        <f t="shared" si="219"/>
        <v>OK</v>
      </c>
      <c r="DL206" s="313" t="str">
        <f t="shared" si="220"/>
        <v>OK</v>
      </c>
      <c r="DM206" s="153" t="str">
        <f t="shared" si="221"/>
        <v>OK</v>
      </c>
      <c r="DN206" s="153" t="str">
        <f t="shared" si="242"/>
        <v>OK</v>
      </c>
      <c r="DO206" s="154" t="str">
        <f t="shared" si="243"/>
        <v>OK</v>
      </c>
      <c r="DP206" s="153" t="str">
        <f t="shared" si="222"/>
        <v>OK</v>
      </c>
      <c r="DQ206" s="313" t="str">
        <f t="shared" si="223"/>
        <v>OK</v>
      </c>
      <c r="DR206" s="153" t="str">
        <f t="shared" si="244"/>
        <v>OK</v>
      </c>
      <c r="DS206" s="153" t="str">
        <f t="shared" si="224"/>
        <v>OK</v>
      </c>
      <c r="DT206" s="313" t="str">
        <f t="shared" si="258"/>
        <v>OK</v>
      </c>
      <c r="DU206" s="153" t="str">
        <f t="shared" si="225"/>
        <v>OK</v>
      </c>
      <c r="DV206" s="153" t="str">
        <f t="shared" si="245"/>
        <v>OK</v>
      </c>
      <c r="DW206" s="154" t="str">
        <f t="shared" si="246"/>
        <v>OK</v>
      </c>
      <c r="DX206" s="157">
        <f t="shared" si="247"/>
        <v>0</v>
      </c>
      <c r="DY206" s="156" t="str">
        <f t="shared" si="248"/>
        <v>OK</v>
      </c>
    </row>
    <row r="207" spans="1:129" ht="13" hidden="1" x14ac:dyDescent="0.3">
      <c r="A207" s="333"/>
      <c r="B207" s="333"/>
      <c r="C207" s="332" t="str">
        <f t="shared" si="257"/>
        <v>-</v>
      </c>
      <c r="D207" s="584">
        <f t="shared" si="253"/>
        <v>184</v>
      </c>
      <c r="E207" s="585"/>
      <c r="F207" s="586"/>
      <c r="G207" s="600"/>
      <c r="H207" s="587"/>
      <c r="I207" s="601"/>
      <c r="J207" s="585"/>
      <c r="K207" s="617"/>
      <c r="L207" s="602"/>
      <c r="M207" s="603"/>
      <c r="N207" s="588"/>
      <c r="O207" s="604"/>
      <c r="P207" s="605"/>
      <c r="Q207" s="588"/>
      <c r="R207" s="604"/>
      <c r="S207" s="605"/>
      <c r="T207" s="606"/>
      <c r="U207" s="606"/>
      <c r="V207" s="429" t="str">
        <f t="shared" si="255"/>
        <v/>
      </c>
      <c r="W207" s="430" t="str">
        <f t="shared" si="252"/>
        <v/>
      </c>
      <c r="X207" s="66" t="str">
        <f>IF(AND(ISNUMBER(P207),N207=FixedDim),MAX('Adjustment factors'!$S$16,0.2+0.8*P207),IF(ISTEXT(N207),VLOOKUP(N207,Afactors,2,TRUE),""))</f>
        <v/>
      </c>
      <c r="Y207" s="17" t="str">
        <f>IF(AND(ISNUMBER(S207),Q207=FixedDim),MAX('Adjustment factors'!$S$16,0.2+0.8*S207),IF(ISTEXT(Q207),VLOOKUP(Q207,Afactors,2,TRUE),""))</f>
        <v/>
      </c>
      <c r="Z207" s="297" t="str">
        <f>IF(ISBLANK(T207),"",VLOOKUP(T207,'Adjustment factors'!$R$27:$S$30,2,TRUE))</f>
        <v/>
      </c>
      <c r="AA207" s="297" t="str">
        <f>IF(ISBLANK(U207),"",VLOOKUP(U207,'Adjustment factors'!$R$27:$S$30,2,TRUE))</f>
        <v/>
      </c>
      <c r="AB207" s="480">
        <f t="shared" si="226"/>
        <v>1</v>
      </c>
      <c r="AC207" s="18" t="b">
        <f t="shared" si="183"/>
        <v>0</v>
      </c>
      <c r="AD207" s="18" t="b">
        <f t="shared" si="184"/>
        <v>0</v>
      </c>
      <c r="AE207" s="18" t="b">
        <f t="shared" si="249"/>
        <v>0</v>
      </c>
      <c r="AF207" s="17" t="str">
        <f t="shared" si="185"/>
        <v/>
      </c>
      <c r="AG207" s="18" t="str">
        <f t="shared" si="186"/>
        <v/>
      </c>
      <c r="AH207" s="17" t="str">
        <f t="shared" si="250"/>
        <v/>
      </c>
      <c r="AI207" s="297" t="e">
        <f t="shared" si="227"/>
        <v>#VALUE!</v>
      </c>
      <c r="AJ207" s="79" t="e">
        <f t="shared" si="187"/>
        <v>#VALUE!</v>
      </c>
      <c r="AK207" s="17" t="str">
        <f t="shared" si="251"/>
        <v/>
      </c>
      <c r="AL207" s="80" t="e">
        <f t="shared" si="188"/>
        <v>#VALUE!</v>
      </c>
      <c r="AM207" s="139" t="b">
        <f t="shared" si="189"/>
        <v>1</v>
      </c>
      <c r="AN207" s="139" t="b">
        <f>AND(COUNTA(E207)&gt;0,ISNUMBER(F207),OR(COUNT(G207:H207)=0,COUNT(G207:H207)=2,AND(ISNUMBER(G207),ISNUMBER(VALUE(LEFT(H207,SUM(LEN(H207)-LEN(SUBSTITUTE(H207,{"0","1","2","3","4","5","6","7","8","9","."},"")))))))),ISNUMBER(I207),ISTEXT(J207))</f>
        <v>0</v>
      </c>
      <c r="AO207" s="19" t="b">
        <f t="shared" si="190"/>
        <v>0</v>
      </c>
      <c r="AP207" s="19" t="b">
        <f t="shared" si="191"/>
        <v>1</v>
      </c>
      <c r="AQ207" s="19" t="b">
        <f>IF(AND(COUNTBLANK(E207:J207)=6,OR(AN208:AN$523)),NOT(AN207))</f>
        <v>0</v>
      </c>
      <c r="AR207" s="19" t="str">
        <f t="shared" si="192"/>
        <v/>
      </c>
      <c r="AS207" s="19" t="b">
        <f t="shared" si="193"/>
        <v>1</v>
      </c>
      <c r="AT207" s="19" t="str">
        <f t="shared" si="194"/>
        <v/>
      </c>
      <c r="AU207" s="19" t="b">
        <f t="shared" si="195"/>
        <v>1</v>
      </c>
      <c r="AV207" s="140" t="str">
        <f t="shared" si="233"/>
        <v/>
      </c>
      <c r="AW207" s="19" t="str">
        <f t="shared" si="196"/>
        <v/>
      </c>
      <c r="AX207" s="81">
        <f t="shared" si="197"/>
        <v>0</v>
      </c>
      <c r="AY207" s="81" t="str">
        <f t="shared" si="198"/>
        <v/>
      </c>
      <c r="AZ207" s="307" t="str">
        <f t="shared" si="228"/>
        <v/>
      </c>
      <c r="BA207" s="281" t="str">
        <f t="shared" si="234"/>
        <v/>
      </c>
      <c r="BB207" s="281" t="str">
        <f t="shared" si="235"/>
        <v/>
      </c>
      <c r="BC207" s="953"/>
      <c r="BD207" s="955"/>
      <c r="BE207" s="219" t="str">
        <f t="shared" si="199"/>
        <v>n/a</v>
      </c>
      <c r="BF207" s="215" t="b">
        <f t="shared" si="200"/>
        <v>0</v>
      </c>
      <c r="BG207" s="145" t="b">
        <f t="shared" si="201"/>
        <v>0</v>
      </c>
      <c r="BH207" s="145" t="b">
        <f t="shared" si="202"/>
        <v>0</v>
      </c>
      <c r="BI207" s="216" t="b">
        <f t="shared" si="203"/>
        <v>0</v>
      </c>
      <c r="BJ207" s="215" t="b">
        <f t="shared" si="204"/>
        <v>0</v>
      </c>
      <c r="BK207" s="145" t="b">
        <f t="shared" si="205"/>
        <v>0</v>
      </c>
      <c r="BL207" s="216" t="b">
        <f t="shared" si="206"/>
        <v>0</v>
      </c>
      <c r="BM207" s="217" t="str">
        <f t="shared" si="236"/>
        <v/>
      </c>
      <c r="BN207" s="146" t="str">
        <f t="shared" si="237"/>
        <v/>
      </c>
      <c r="BO207" s="147" t="str">
        <f t="shared" si="238"/>
        <v/>
      </c>
      <c r="BP207" s="148" t="str">
        <f t="shared" si="239"/>
        <v/>
      </c>
      <c r="BT207" s="50">
        <f t="shared" si="254"/>
        <v>184</v>
      </c>
      <c r="BU207" s="50" t="str">
        <f t="shared" si="256"/>
        <v>-</v>
      </c>
      <c r="BW207" s="340"/>
      <c r="BX207" s="333"/>
      <c r="BY207" s="333"/>
      <c r="BZ207" s="333"/>
      <c r="CA207" s="333"/>
      <c r="CB207" s="333"/>
      <c r="CC207" s="333"/>
      <c r="CD207" s="333"/>
      <c r="CE207" s="333"/>
      <c r="CF207" s="333"/>
      <c r="CG207" s="354">
        <f t="shared" si="207"/>
        <v>184</v>
      </c>
      <c r="CH207" s="613">
        <f t="shared" si="208"/>
        <v>0</v>
      </c>
      <c r="CI207" s="613">
        <f t="shared" si="209"/>
        <v>0</v>
      </c>
      <c r="CJ207" s="614" t="str">
        <f t="shared" si="210"/>
        <v/>
      </c>
      <c r="CK207" s="615" t="str">
        <f t="shared" si="211"/>
        <v/>
      </c>
      <c r="CL207" s="610" t="str">
        <f>IF(ISBLANK(H207),"",IF(AND(ISNUMBER(F207),ISNUMBER(G207),ISNUMBER(H207)),ROUND(F207/(H207*G207),2),ROUND(F207/(VALUE(LEFT(H207,SUM(LEN(H207)-LEN(SUBSTITUTE(H207,{"0","1","2","3","4","5","6","7","8","9","."},"")))))*G207),2)))</f>
        <v/>
      </c>
      <c r="CM207" s="616" t="str">
        <f t="shared" si="240"/>
        <v/>
      </c>
      <c r="CN207" s="616" t="str">
        <f>IF(ISNUMBER(P207),MAX('Adjustment factors'!$S$16,(0.2+0.8*P207)),IF(ISTEXT(N207),VLOOKUP(N207,Afactors,2,FALSE),""))</f>
        <v/>
      </c>
      <c r="CO207" s="616" t="str">
        <f>IF(ISNUMBER(S207),MAX('Adjustment factors'!$S$16,0.2+0.8*S207),IF(ISTEXT(Q207),VLOOKUP(Q207,Afactors,2,FALSE),""))</f>
        <v/>
      </c>
      <c r="CP207" s="611" t="str">
        <f t="shared" si="229"/>
        <v/>
      </c>
      <c r="CQ207" s="612" t="str">
        <f t="shared" si="230"/>
        <v/>
      </c>
      <c r="CR207" s="340"/>
      <c r="CS207" s="340"/>
      <c r="CT207" s="340"/>
      <c r="CU207" s="340"/>
      <c r="CV207" s="333"/>
      <c r="CW207" s="333"/>
      <c r="CX207" s="333"/>
      <c r="CY207" s="333"/>
      <c r="DA207" s="313" t="str">
        <f t="shared" si="212"/>
        <v>OK</v>
      </c>
      <c r="DB207" s="313" t="str">
        <f t="shared" si="213"/>
        <v>OK</v>
      </c>
      <c r="DC207" s="313" t="str">
        <f t="shared" si="214"/>
        <v>OK</v>
      </c>
      <c r="DD207" s="313" t="str">
        <f t="shared" si="215"/>
        <v>OK</v>
      </c>
      <c r="DE207" s="153" t="str">
        <f t="shared" si="216"/>
        <v>OK</v>
      </c>
      <c r="DF207" s="314" t="str">
        <f t="shared" si="217"/>
        <v>OK</v>
      </c>
      <c r="DG207" s="482" t="str">
        <f t="shared" si="231"/>
        <v>OK</v>
      </c>
      <c r="DH207" s="482" t="str">
        <f>IF(OR(AND(T207='Adjustment factors'!$R$28,'Class 3, 5-9'!U207='Adjustment factors'!$R$29),AND('Class 3, 5-9'!T207='Adjustment factors'!$R$29,'Class 3, 5-9'!U207='Adjustment factors'!$R$28)),"Invalid combination of adjustment factors",IF(AND(T207=U207,NOT(ISBLANK(T207)),NOT(ISBLANK(U207))),"Same colour factor selected twice","OK"))</f>
        <v>OK</v>
      </c>
      <c r="DI207" s="313" t="str">
        <f t="shared" si="218"/>
        <v>OK</v>
      </c>
      <c r="DJ207" s="153" t="str">
        <f t="shared" si="241"/>
        <v>OK</v>
      </c>
      <c r="DK207" s="153" t="str">
        <f t="shared" si="219"/>
        <v>OK</v>
      </c>
      <c r="DL207" s="313" t="str">
        <f t="shared" si="220"/>
        <v>OK</v>
      </c>
      <c r="DM207" s="153" t="str">
        <f t="shared" si="221"/>
        <v>OK</v>
      </c>
      <c r="DN207" s="153" t="str">
        <f t="shared" si="242"/>
        <v>OK</v>
      </c>
      <c r="DO207" s="154" t="str">
        <f t="shared" si="243"/>
        <v>OK</v>
      </c>
      <c r="DP207" s="153" t="str">
        <f t="shared" si="222"/>
        <v>OK</v>
      </c>
      <c r="DQ207" s="313" t="str">
        <f t="shared" si="223"/>
        <v>OK</v>
      </c>
      <c r="DR207" s="153" t="str">
        <f t="shared" si="244"/>
        <v>OK</v>
      </c>
      <c r="DS207" s="153" t="str">
        <f t="shared" si="224"/>
        <v>OK</v>
      </c>
      <c r="DT207" s="313" t="str">
        <f t="shared" si="258"/>
        <v>OK</v>
      </c>
      <c r="DU207" s="153" t="str">
        <f t="shared" si="225"/>
        <v>OK</v>
      </c>
      <c r="DV207" s="153" t="str">
        <f t="shared" si="245"/>
        <v>OK</v>
      </c>
      <c r="DW207" s="154" t="str">
        <f t="shared" si="246"/>
        <v>OK</v>
      </c>
      <c r="DX207" s="157">
        <f t="shared" si="247"/>
        <v>0</v>
      </c>
      <c r="DY207" s="156" t="str">
        <f t="shared" si="248"/>
        <v>OK</v>
      </c>
    </row>
    <row r="208" spans="1:129" ht="13" hidden="1" x14ac:dyDescent="0.3">
      <c r="A208" s="333"/>
      <c r="B208" s="333"/>
      <c r="C208" s="332" t="str">
        <f t="shared" si="257"/>
        <v>-</v>
      </c>
      <c r="D208" s="584">
        <f t="shared" si="253"/>
        <v>185</v>
      </c>
      <c r="E208" s="585"/>
      <c r="F208" s="586"/>
      <c r="G208" s="600"/>
      <c r="H208" s="587"/>
      <c r="I208" s="601"/>
      <c r="J208" s="585"/>
      <c r="K208" s="617"/>
      <c r="L208" s="602"/>
      <c r="M208" s="603"/>
      <c r="N208" s="588"/>
      <c r="O208" s="604"/>
      <c r="P208" s="605"/>
      <c r="Q208" s="588"/>
      <c r="R208" s="604"/>
      <c r="S208" s="605"/>
      <c r="T208" s="606"/>
      <c r="U208" s="606"/>
      <c r="V208" s="429" t="str">
        <f t="shared" si="255"/>
        <v/>
      </c>
      <c r="W208" s="430" t="str">
        <f t="shared" si="252"/>
        <v/>
      </c>
      <c r="X208" s="66" t="str">
        <f>IF(AND(ISNUMBER(P208),N208=FixedDim),MAX('Adjustment factors'!$S$16,0.2+0.8*P208),IF(ISTEXT(N208),VLOOKUP(N208,Afactors,2,TRUE),""))</f>
        <v/>
      </c>
      <c r="Y208" s="17" t="str">
        <f>IF(AND(ISNUMBER(S208),Q208=FixedDim),MAX('Adjustment factors'!$S$16,0.2+0.8*S208),IF(ISTEXT(Q208),VLOOKUP(Q208,Afactors,2,TRUE),""))</f>
        <v/>
      </c>
      <c r="Z208" s="297" t="str">
        <f>IF(ISBLANK(T208),"",VLOOKUP(T208,'Adjustment factors'!$R$27:$S$30,2,TRUE))</f>
        <v/>
      </c>
      <c r="AA208" s="297" t="str">
        <f>IF(ISBLANK(U208),"",VLOOKUP(U208,'Adjustment factors'!$R$27:$S$30,2,TRUE))</f>
        <v/>
      </c>
      <c r="AB208" s="480">
        <f t="shared" si="226"/>
        <v>1</v>
      </c>
      <c r="AC208" s="18" t="b">
        <f t="shared" si="183"/>
        <v>0</v>
      </c>
      <c r="AD208" s="18" t="b">
        <f t="shared" si="184"/>
        <v>0</v>
      </c>
      <c r="AE208" s="18" t="b">
        <f t="shared" si="249"/>
        <v>0</v>
      </c>
      <c r="AF208" s="17" t="str">
        <f t="shared" si="185"/>
        <v/>
      </c>
      <c r="AG208" s="18" t="str">
        <f t="shared" si="186"/>
        <v/>
      </c>
      <c r="AH208" s="17" t="str">
        <f t="shared" si="250"/>
        <v/>
      </c>
      <c r="AI208" s="297" t="e">
        <f t="shared" si="227"/>
        <v>#VALUE!</v>
      </c>
      <c r="AJ208" s="79" t="e">
        <f t="shared" si="187"/>
        <v>#VALUE!</v>
      </c>
      <c r="AK208" s="17" t="str">
        <f t="shared" si="251"/>
        <v/>
      </c>
      <c r="AL208" s="80" t="e">
        <f t="shared" si="188"/>
        <v>#VALUE!</v>
      </c>
      <c r="AM208" s="139" t="b">
        <f t="shared" si="189"/>
        <v>1</v>
      </c>
      <c r="AN208" s="139" t="b">
        <f>AND(COUNTA(E208)&gt;0,ISNUMBER(F208),OR(COUNT(G208:H208)=0,COUNT(G208:H208)=2,AND(ISNUMBER(G208),ISNUMBER(VALUE(LEFT(H208,SUM(LEN(H208)-LEN(SUBSTITUTE(H208,{"0","1","2","3","4","5","6","7","8","9","."},"")))))))),ISNUMBER(I208),ISTEXT(J208))</f>
        <v>0</v>
      </c>
      <c r="AO208" s="19" t="b">
        <f t="shared" si="190"/>
        <v>0</v>
      </c>
      <c r="AP208" s="19" t="b">
        <f t="shared" si="191"/>
        <v>1</v>
      </c>
      <c r="AQ208" s="19" t="b">
        <f>IF(AND(COUNTBLANK(E208:J208)=6,OR(AN209:AN$523)),NOT(AN208))</f>
        <v>0</v>
      </c>
      <c r="AR208" s="19" t="str">
        <f t="shared" si="192"/>
        <v/>
      </c>
      <c r="AS208" s="19" t="b">
        <f t="shared" si="193"/>
        <v>1</v>
      </c>
      <c r="AT208" s="19" t="str">
        <f t="shared" si="194"/>
        <v/>
      </c>
      <c r="AU208" s="19" t="b">
        <f t="shared" si="195"/>
        <v>1</v>
      </c>
      <c r="AV208" s="140" t="str">
        <f t="shared" si="233"/>
        <v/>
      </c>
      <c r="AW208" s="19" t="str">
        <f t="shared" si="196"/>
        <v/>
      </c>
      <c r="AX208" s="81">
        <f t="shared" si="197"/>
        <v>0</v>
      </c>
      <c r="AY208" s="81" t="str">
        <f t="shared" si="198"/>
        <v/>
      </c>
      <c r="AZ208" s="307" t="str">
        <f t="shared" si="228"/>
        <v/>
      </c>
      <c r="BA208" s="281" t="str">
        <f t="shared" si="234"/>
        <v/>
      </c>
      <c r="BB208" s="281" t="str">
        <f t="shared" si="235"/>
        <v/>
      </c>
      <c r="BC208" s="953"/>
      <c r="BD208" s="955"/>
      <c r="BE208" s="219" t="str">
        <f t="shared" si="199"/>
        <v>n/a</v>
      </c>
      <c r="BF208" s="215" t="b">
        <f t="shared" si="200"/>
        <v>0</v>
      </c>
      <c r="BG208" s="145" t="b">
        <f t="shared" si="201"/>
        <v>0</v>
      </c>
      <c r="BH208" s="145" t="b">
        <f t="shared" si="202"/>
        <v>0</v>
      </c>
      <c r="BI208" s="216" t="b">
        <f t="shared" si="203"/>
        <v>0</v>
      </c>
      <c r="BJ208" s="215" t="b">
        <f t="shared" si="204"/>
        <v>0</v>
      </c>
      <c r="BK208" s="145" t="b">
        <f t="shared" si="205"/>
        <v>0</v>
      </c>
      <c r="BL208" s="216" t="b">
        <f t="shared" si="206"/>
        <v>0</v>
      </c>
      <c r="BM208" s="217" t="str">
        <f t="shared" si="236"/>
        <v/>
      </c>
      <c r="BN208" s="146" t="str">
        <f t="shared" si="237"/>
        <v/>
      </c>
      <c r="BO208" s="147" t="str">
        <f t="shared" si="238"/>
        <v/>
      </c>
      <c r="BP208" s="148" t="str">
        <f t="shared" si="239"/>
        <v/>
      </c>
      <c r="BT208" s="50">
        <f t="shared" si="254"/>
        <v>185</v>
      </c>
      <c r="BU208" s="50" t="str">
        <f t="shared" si="256"/>
        <v>-</v>
      </c>
      <c r="BW208" s="340"/>
      <c r="BX208" s="333"/>
      <c r="BY208" s="333"/>
      <c r="BZ208" s="333"/>
      <c r="CA208" s="333"/>
      <c r="CB208" s="333"/>
      <c r="CC208" s="333"/>
      <c r="CD208" s="333"/>
      <c r="CE208" s="333"/>
      <c r="CF208" s="333"/>
      <c r="CG208" s="354">
        <f t="shared" si="207"/>
        <v>185</v>
      </c>
      <c r="CH208" s="613">
        <f t="shared" si="208"/>
        <v>0</v>
      </c>
      <c r="CI208" s="613">
        <f t="shared" si="209"/>
        <v>0</v>
      </c>
      <c r="CJ208" s="614" t="str">
        <f t="shared" si="210"/>
        <v/>
      </c>
      <c r="CK208" s="615" t="str">
        <f t="shared" si="211"/>
        <v/>
      </c>
      <c r="CL208" s="610" t="str">
        <f>IF(ISBLANK(H208),"",IF(AND(ISNUMBER(F208),ISNUMBER(G208),ISNUMBER(H208)),ROUND(F208/(H208*G208),2),ROUND(F208/(VALUE(LEFT(H208,SUM(LEN(H208)-LEN(SUBSTITUTE(H208,{"0","1","2","3","4","5","6","7","8","9","."},"")))))*G208),2)))</f>
        <v/>
      </c>
      <c r="CM208" s="616" t="str">
        <f t="shared" si="240"/>
        <v/>
      </c>
      <c r="CN208" s="616" t="str">
        <f>IF(ISNUMBER(P208),MAX('Adjustment factors'!$S$16,(0.2+0.8*P208)),IF(ISTEXT(N208),VLOOKUP(N208,Afactors,2,FALSE),""))</f>
        <v/>
      </c>
      <c r="CO208" s="616" t="str">
        <f>IF(ISNUMBER(S208),MAX('Adjustment factors'!$S$16,0.2+0.8*S208),IF(ISTEXT(Q208),VLOOKUP(Q208,Afactors,2,FALSE),""))</f>
        <v/>
      </c>
      <c r="CP208" s="611" t="str">
        <f t="shared" si="229"/>
        <v/>
      </c>
      <c r="CQ208" s="612" t="str">
        <f t="shared" si="230"/>
        <v/>
      </c>
      <c r="CR208" s="340"/>
      <c r="CS208" s="340"/>
      <c r="CT208" s="340"/>
      <c r="CU208" s="340"/>
      <c r="CV208" s="333"/>
      <c r="CW208" s="333"/>
      <c r="CX208" s="333"/>
      <c r="CY208" s="333"/>
      <c r="DA208" s="313" t="str">
        <f t="shared" si="212"/>
        <v>OK</v>
      </c>
      <c r="DB208" s="313" t="str">
        <f t="shared" si="213"/>
        <v>OK</v>
      </c>
      <c r="DC208" s="313" t="str">
        <f t="shared" si="214"/>
        <v>OK</v>
      </c>
      <c r="DD208" s="313" t="str">
        <f t="shared" si="215"/>
        <v>OK</v>
      </c>
      <c r="DE208" s="153" t="str">
        <f t="shared" si="216"/>
        <v>OK</v>
      </c>
      <c r="DF208" s="314" t="str">
        <f t="shared" si="217"/>
        <v>OK</v>
      </c>
      <c r="DG208" s="482" t="str">
        <f t="shared" si="231"/>
        <v>OK</v>
      </c>
      <c r="DH208" s="482" t="str">
        <f>IF(OR(AND(T208='Adjustment factors'!$R$28,'Class 3, 5-9'!U208='Adjustment factors'!$R$29),AND('Class 3, 5-9'!T208='Adjustment factors'!$R$29,'Class 3, 5-9'!U208='Adjustment factors'!$R$28)),"Invalid combination of adjustment factors",IF(AND(T208=U208,NOT(ISBLANK(T208)),NOT(ISBLANK(U208))),"Same colour factor selected twice","OK"))</f>
        <v>OK</v>
      </c>
      <c r="DI208" s="313" t="str">
        <f t="shared" si="218"/>
        <v>OK</v>
      </c>
      <c r="DJ208" s="153" t="str">
        <f t="shared" si="241"/>
        <v>OK</v>
      </c>
      <c r="DK208" s="153" t="str">
        <f t="shared" si="219"/>
        <v>OK</v>
      </c>
      <c r="DL208" s="313" t="str">
        <f t="shared" si="220"/>
        <v>OK</v>
      </c>
      <c r="DM208" s="153" t="str">
        <f t="shared" si="221"/>
        <v>OK</v>
      </c>
      <c r="DN208" s="153" t="str">
        <f t="shared" si="242"/>
        <v>OK</v>
      </c>
      <c r="DO208" s="154" t="str">
        <f t="shared" si="243"/>
        <v>OK</v>
      </c>
      <c r="DP208" s="153" t="str">
        <f t="shared" si="222"/>
        <v>OK</v>
      </c>
      <c r="DQ208" s="313" t="str">
        <f t="shared" si="223"/>
        <v>OK</v>
      </c>
      <c r="DR208" s="153" t="str">
        <f t="shared" si="244"/>
        <v>OK</v>
      </c>
      <c r="DS208" s="153" t="str">
        <f t="shared" si="224"/>
        <v>OK</v>
      </c>
      <c r="DT208" s="313" t="str">
        <f t="shared" si="258"/>
        <v>OK</v>
      </c>
      <c r="DU208" s="153" t="str">
        <f t="shared" si="225"/>
        <v>OK</v>
      </c>
      <c r="DV208" s="153" t="str">
        <f t="shared" si="245"/>
        <v>OK</v>
      </c>
      <c r="DW208" s="154" t="str">
        <f t="shared" si="246"/>
        <v>OK</v>
      </c>
      <c r="DX208" s="157">
        <f t="shared" si="247"/>
        <v>0</v>
      </c>
      <c r="DY208" s="156" t="str">
        <f t="shared" si="248"/>
        <v>OK</v>
      </c>
    </row>
    <row r="209" spans="1:129" ht="13" hidden="1" x14ac:dyDescent="0.3">
      <c r="A209" s="333"/>
      <c r="B209" s="333"/>
      <c r="C209" s="332" t="str">
        <f t="shared" si="257"/>
        <v>-</v>
      </c>
      <c r="D209" s="584">
        <f t="shared" si="253"/>
        <v>186</v>
      </c>
      <c r="E209" s="585"/>
      <c r="F209" s="586"/>
      <c r="G209" s="600"/>
      <c r="H209" s="587"/>
      <c r="I209" s="601"/>
      <c r="J209" s="585"/>
      <c r="K209" s="617"/>
      <c r="L209" s="602"/>
      <c r="M209" s="603"/>
      <c r="N209" s="588"/>
      <c r="O209" s="604"/>
      <c r="P209" s="605"/>
      <c r="Q209" s="588"/>
      <c r="R209" s="604"/>
      <c r="S209" s="605"/>
      <c r="T209" s="606"/>
      <c r="U209" s="606"/>
      <c r="V209" s="429" t="str">
        <f t="shared" si="255"/>
        <v/>
      </c>
      <c r="W209" s="430" t="str">
        <f t="shared" si="252"/>
        <v/>
      </c>
      <c r="X209" s="66" t="str">
        <f>IF(AND(ISNUMBER(P209),N209=FixedDim),MAX('Adjustment factors'!$S$16,0.2+0.8*P209),IF(ISTEXT(N209),VLOOKUP(N209,Afactors,2,TRUE),""))</f>
        <v/>
      </c>
      <c r="Y209" s="17" t="str">
        <f>IF(AND(ISNUMBER(S209),Q209=FixedDim),MAX('Adjustment factors'!$S$16,0.2+0.8*S209),IF(ISTEXT(Q209),VLOOKUP(Q209,Afactors,2,TRUE),""))</f>
        <v/>
      </c>
      <c r="Z209" s="297" t="str">
        <f>IF(ISBLANK(T209),"",VLOOKUP(T209,'Adjustment factors'!$R$27:$S$30,2,TRUE))</f>
        <v/>
      </c>
      <c r="AA209" s="297" t="str">
        <f>IF(ISBLANK(U209),"",VLOOKUP(U209,'Adjustment factors'!$R$27:$S$30,2,TRUE))</f>
        <v/>
      </c>
      <c r="AB209" s="480">
        <f t="shared" si="226"/>
        <v>1</v>
      </c>
      <c r="AC209" s="18" t="b">
        <f t="shared" si="183"/>
        <v>0</v>
      </c>
      <c r="AD209" s="18" t="b">
        <f t="shared" si="184"/>
        <v>0</v>
      </c>
      <c r="AE209" s="18" t="b">
        <f t="shared" si="249"/>
        <v>0</v>
      </c>
      <c r="AF209" s="17" t="str">
        <f t="shared" si="185"/>
        <v/>
      </c>
      <c r="AG209" s="18" t="str">
        <f t="shared" si="186"/>
        <v/>
      </c>
      <c r="AH209" s="17" t="str">
        <f t="shared" si="250"/>
        <v/>
      </c>
      <c r="AI209" s="297" t="e">
        <f t="shared" si="227"/>
        <v>#VALUE!</v>
      </c>
      <c r="AJ209" s="79" t="e">
        <f t="shared" si="187"/>
        <v>#VALUE!</v>
      </c>
      <c r="AK209" s="17" t="str">
        <f t="shared" si="251"/>
        <v/>
      </c>
      <c r="AL209" s="80" t="e">
        <f t="shared" si="188"/>
        <v>#VALUE!</v>
      </c>
      <c r="AM209" s="139" t="b">
        <f t="shared" si="189"/>
        <v>1</v>
      </c>
      <c r="AN209" s="139" t="b">
        <f>AND(COUNTA(E209)&gt;0,ISNUMBER(F209),OR(COUNT(G209:H209)=0,COUNT(G209:H209)=2,AND(ISNUMBER(G209),ISNUMBER(VALUE(LEFT(H209,SUM(LEN(H209)-LEN(SUBSTITUTE(H209,{"0","1","2","3","4","5","6","7","8","9","."},"")))))))),ISNUMBER(I209),ISTEXT(J209))</f>
        <v>0</v>
      </c>
      <c r="AO209" s="19" t="b">
        <f t="shared" si="190"/>
        <v>0</v>
      </c>
      <c r="AP209" s="19" t="b">
        <f t="shared" si="191"/>
        <v>1</v>
      </c>
      <c r="AQ209" s="19" t="b">
        <f>IF(AND(COUNTBLANK(E209:J209)=6,OR(AN210:AN$523)),NOT(AN209))</f>
        <v>0</v>
      </c>
      <c r="AR209" s="19" t="str">
        <f t="shared" si="192"/>
        <v/>
      </c>
      <c r="AS209" s="19" t="b">
        <f t="shared" si="193"/>
        <v>1</v>
      </c>
      <c r="AT209" s="19" t="str">
        <f t="shared" si="194"/>
        <v/>
      </c>
      <c r="AU209" s="19" t="b">
        <f t="shared" si="195"/>
        <v>1</v>
      </c>
      <c r="AV209" s="140" t="str">
        <f t="shared" si="233"/>
        <v/>
      </c>
      <c r="AW209" s="19" t="str">
        <f t="shared" si="196"/>
        <v/>
      </c>
      <c r="AX209" s="81">
        <f t="shared" si="197"/>
        <v>0</v>
      </c>
      <c r="AY209" s="81" t="str">
        <f t="shared" si="198"/>
        <v/>
      </c>
      <c r="AZ209" s="307" t="str">
        <f t="shared" si="228"/>
        <v/>
      </c>
      <c r="BA209" s="281" t="str">
        <f t="shared" si="234"/>
        <v/>
      </c>
      <c r="BB209" s="281" t="str">
        <f t="shared" si="235"/>
        <v/>
      </c>
      <c r="BC209" s="953"/>
      <c r="BD209" s="955"/>
      <c r="BE209" s="219" t="str">
        <f t="shared" si="199"/>
        <v>n/a</v>
      </c>
      <c r="BF209" s="215" t="b">
        <f t="shared" si="200"/>
        <v>0</v>
      </c>
      <c r="BG209" s="145" t="b">
        <f t="shared" si="201"/>
        <v>0</v>
      </c>
      <c r="BH209" s="145" t="b">
        <f t="shared" si="202"/>
        <v>0</v>
      </c>
      <c r="BI209" s="216" t="b">
        <f t="shared" si="203"/>
        <v>0</v>
      </c>
      <c r="BJ209" s="215" t="b">
        <f t="shared" si="204"/>
        <v>0</v>
      </c>
      <c r="BK209" s="145" t="b">
        <f t="shared" si="205"/>
        <v>0</v>
      </c>
      <c r="BL209" s="216" t="b">
        <f t="shared" si="206"/>
        <v>0</v>
      </c>
      <c r="BM209" s="217" t="str">
        <f t="shared" si="236"/>
        <v/>
      </c>
      <c r="BN209" s="146" t="str">
        <f t="shared" si="237"/>
        <v/>
      </c>
      <c r="BO209" s="147" t="str">
        <f t="shared" si="238"/>
        <v/>
      </c>
      <c r="BP209" s="148" t="str">
        <f t="shared" si="239"/>
        <v/>
      </c>
      <c r="BT209" s="50">
        <f t="shared" si="254"/>
        <v>186</v>
      </c>
      <c r="BU209" s="50" t="str">
        <f t="shared" si="256"/>
        <v>-</v>
      </c>
      <c r="BW209" s="340"/>
      <c r="BX209" s="333"/>
      <c r="BY209" s="333"/>
      <c r="BZ209" s="333"/>
      <c r="CA209" s="333"/>
      <c r="CB209" s="333"/>
      <c r="CC209" s="333"/>
      <c r="CD209" s="333"/>
      <c r="CE209" s="333"/>
      <c r="CF209" s="333"/>
      <c r="CG209" s="354">
        <f t="shared" si="207"/>
        <v>186</v>
      </c>
      <c r="CH209" s="613">
        <f t="shared" si="208"/>
        <v>0</v>
      </c>
      <c r="CI209" s="613">
        <f t="shared" si="209"/>
        <v>0</v>
      </c>
      <c r="CJ209" s="614" t="str">
        <f t="shared" si="210"/>
        <v/>
      </c>
      <c r="CK209" s="615" t="str">
        <f t="shared" si="211"/>
        <v/>
      </c>
      <c r="CL209" s="610" t="str">
        <f>IF(ISBLANK(H209),"",IF(AND(ISNUMBER(F209),ISNUMBER(G209),ISNUMBER(H209)),ROUND(F209/(H209*G209),2),ROUND(F209/(VALUE(LEFT(H209,SUM(LEN(H209)-LEN(SUBSTITUTE(H209,{"0","1","2","3","4","5","6","7","8","9","."},"")))))*G209),2)))</f>
        <v/>
      </c>
      <c r="CM209" s="616" t="str">
        <f t="shared" si="240"/>
        <v/>
      </c>
      <c r="CN209" s="616" t="str">
        <f>IF(ISNUMBER(P209),MAX('Adjustment factors'!$S$16,(0.2+0.8*P209)),IF(ISTEXT(N209),VLOOKUP(N209,Afactors,2,FALSE),""))</f>
        <v/>
      </c>
      <c r="CO209" s="616" t="str">
        <f>IF(ISNUMBER(S209),MAX('Adjustment factors'!$S$16,0.2+0.8*S209),IF(ISTEXT(Q209),VLOOKUP(Q209,Afactors,2,FALSE),""))</f>
        <v/>
      </c>
      <c r="CP209" s="611" t="str">
        <f t="shared" si="229"/>
        <v/>
      </c>
      <c r="CQ209" s="612" t="str">
        <f t="shared" si="230"/>
        <v/>
      </c>
      <c r="CR209" s="340"/>
      <c r="CS209" s="340"/>
      <c r="CT209" s="340"/>
      <c r="CU209" s="340"/>
      <c r="CV209" s="333"/>
      <c r="CW209" s="333"/>
      <c r="CX209" s="333"/>
      <c r="CY209" s="333"/>
      <c r="DA209" s="313" t="str">
        <f t="shared" si="212"/>
        <v>OK</v>
      </c>
      <c r="DB209" s="313" t="str">
        <f t="shared" si="213"/>
        <v>OK</v>
      </c>
      <c r="DC209" s="313" t="str">
        <f t="shared" si="214"/>
        <v>OK</v>
      </c>
      <c r="DD209" s="313" t="str">
        <f t="shared" si="215"/>
        <v>OK</v>
      </c>
      <c r="DE209" s="153" t="str">
        <f t="shared" si="216"/>
        <v>OK</v>
      </c>
      <c r="DF209" s="314" t="str">
        <f t="shared" si="217"/>
        <v>OK</v>
      </c>
      <c r="DG209" s="482" t="str">
        <f t="shared" si="231"/>
        <v>OK</v>
      </c>
      <c r="DH209" s="482" t="str">
        <f>IF(OR(AND(T209='Adjustment factors'!$R$28,'Class 3, 5-9'!U209='Adjustment factors'!$R$29),AND('Class 3, 5-9'!T209='Adjustment factors'!$R$29,'Class 3, 5-9'!U209='Adjustment factors'!$R$28)),"Invalid combination of adjustment factors",IF(AND(T209=U209,NOT(ISBLANK(T209)),NOT(ISBLANK(U209))),"Same colour factor selected twice","OK"))</f>
        <v>OK</v>
      </c>
      <c r="DI209" s="313" t="str">
        <f t="shared" si="218"/>
        <v>OK</v>
      </c>
      <c r="DJ209" s="153" t="str">
        <f t="shared" si="241"/>
        <v>OK</v>
      </c>
      <c r="DK209" s="153" t="str">
        <f t="shared" si="219"/>
        <v>OK</v>
      </c>
      <c r="DL209" s="313" t="str">
        <f t="shared" si="220"/>
        <v>OK</v>
      </c>
      <c r="DM209" s="153" t="str">
        <f t="shared" si="221"/>
        <v>OK</v>
      </c>
      <c r="DN209" s="153" t="str">
        <f t="shared" si="242"/>
        <v>OK</v>
      </c>
      <c r="DO209" s="154" t="str">
        <f t="shared" si="243"/>
        <v>OK</v>
      </c>
      <c r="DP209" s="153" t="str">
        <f t="shared" si="222"/>
        <v>OK</v>
      </c>
      <c r="DQ209" s="313" t="str">
        <f t="shared" si="223"/>
        <v>OK</v>
      </c>
      <c r="DR209" s="153" t="str">
        <f t="shared" si="244"/>
        <v>OK</v>
      </c>
      <c r="DS209" s="153" t="str">
        <f t="shared" si="224"/>
        <v>OK</v>
      </c>
      <c r="DT209" s="313" t="str">
        <f t="shared" si="258"/>
        <v>OK</v>
      </c>
      <c r="DU209" s="153" t="str">
        <f t="shared" si="225"/>
        <v>OK</v>
      </c>
      <c r="DV209" s="153" t="str">
        <f t="shared" si="245"/>
        <v>OK</v>
      </c>
      <c r="DW209" s="154" t="str">
        <f t="shared" si="246"/>
        <v>OK</v>
      </c>
      <c r="DX209" s="157">
        <f t="shared" si="247"/>
        <v>0</v>
      </c>
      <c r="DY209" s="156" t="str">
        <f t="shared" si="248"/>
        <v>OK</v>
      </c>
    </row>
    <row r="210" spans="1:129" ht="13" hidden="1" x14ac:dyDescent="0.3">
      <c r="A210" s="333"/>
      <c r="B210" s="333"/>
      <c r="C210" s="332" t="str">
        <f t="shared" si="257"/>
        <v>-</v>
      </c>
      <c r="D210" s="584">
        <f t="shared" si="253"/>
        <v>187</v>
      </c>
      <c r="E210" s="585"/>
      <c r="F210" s="586"/>
      <c r="G210" s="600"/>
      <c r="H210" s="587"/>
      <c r="I210" s="601"/>
      <c r="J210" s="585"/>
      <c r="K210" s="617"/>
      <c r="L210" s="602"/>
      <c r="M210" s="603"/>
      <c r="N210" s="588"/>
      <c r="O210" s="604"/>
      <c r="P210" s="605"/>
      <c r="Q210" s="588"/>
      <c r="R210" s="604"/>
      <c r="S210" s="605"/>
      <c r="T210" s="606"/>
      <c r="U210" s="606"/>
      <c r="V210" s="429" t="str">
        <f t="shared" si="255"/>
        <v/>
      </c>
      <c r="W210" s="430" t="str">
        <f t="shared" si="252"/>
        <v/>
      </c>
      <c r="X210" s="66" t="str">
        <f>IF(AND(ISNUMBER(P210),N210=FixedDim),MAX('Adjustment factors'!$S$16,0.2+0.8*P210),IF(ISTEXT(N210),VLOOKUP(N210,Afactors,2,TRUE),""))</f>
        <v/>
      </c>
      <c r="Y210" s="17" t="str">
        <f>IF(AND(ISNUMBER(S210),Q210=FixedDim),MAX('Adjustment factors'!$S$16,0.2+0.8*S210),IF(ISTEXT(Q210),VLOOKUP(Q210,Afactors,2,TRUE),""))</f>
        <v/>
      </c>
      <c r="Z210" s="297" t="str">
        <f>IF(ISBLANK(T210),"",VLOOKUP(T210,'Adjustment factors'!$R$27:$S$30,2,TRUE))</f>
        <v/>
      </c>
      <c r="AA210" s="297" t="str">
        <f>IF(ISBLANK(U210),"",VLOOKUP(U210,'Adjustment factors'!$R$27:$S$30,2,TRUE))</f>
        <v/>
      </c>
      <c r="AB210" s="480">
        <f t="shared" si="226"/>
        <v>1</v>
      </c>
      <c r="AC210" s="18" t="b">
        <f t="shared" si="183"/>
        <v>0</v>
      </c>
      <c r="AD210" s="18" t="b">
        <f t="shared" si="184"/>
        <v>0</v>
      </c>
      <c r="AE210" s="18" t="b">
        <f t="shared" si="249"/>
        <v>0</v>
      </c>
      <c r="AF210" s="17" t="str">
        <f t="shared" si="185"/>
        <v/>
      </c>
      <c r="AG210" s="18" t="str">
        <f t="shared" si="186"/>
        <v/>
      </c>
      <c r="AH210" s="17" t="str">
        <f t="shared" si="250"/>
        <v/>
      </c>
      <c r="AI210" s="297" t="e">
        <f t="shared" si="227"/>
        <v>#VALUE!</v>
      </c>
      <c r="AJ210" s="79" t="e">
        <f t="shared" si="187"/>
        <v>#VALUE!</v>
      </c>
      <c r="AK210" s="17" t="str">
        <f t="shared" si="251"/>
        <v/>
      </c>
      <c r="AL210" s="80" t="e">
        <f t="shared" si="188"/>
        <v>#VALUE!</v>
      </c>
      <c r="AM210" s="139" t="b">
        <f t="shared" si="189"/>
        <v>1</v>
      </c>
      <c r="AN210" s="139" t="b">
        <f>AND(COUNTA(E210)&gt;0,ISNUMBER(F210),OR(COUNT(G210:H210)=0,COUNT(G210:H210)=2,AND(ISNUMBER(G210),ISNUMBER(VALUE(LEFT(H210,SUM(LEN(H210)-LEN(SUBSTITUTE(H210,{"0","1","2","3","4","5","6","7","8","9","."},"")))))))),ISNUMBER(I210),ISTEXT(J210))</f>
        <v>0</v>
      </c>
      <c r="AO210" s="19" t="b">
        <f t="shared" si="190"/>
        <v>0</v>
      </c>
      <c r="AP210" s="19" t="b">
        <f t="shared" si="191"/>
        <v>1</v>
      </c>
      <c r="AQ210" s="19" t="b">
        <f>IF(AND(COUNTBLANK(E210:J210)=6,OR(AN211:AN$523)),NOT(AN210))</f>
        <v>0</v>
      </c>
      <c r="AR210" s="19" t="str">
        <f t="shared" si="192"/>
        <v/>
      </c>
      <c r="AS210" s="19" t="b">
        <f t="shared" si="193"/>
        <v>1</v>
      </c>
      <c r="AT210" s="19" t="str">
        <f t="shared" si="194"/>
        <v/>
      </c>
      <c r="AU210" s="19" t="b">
        <f t="shared" si="195"/>
        <v>1</v>
      </c>
      <c r="AV210" s="140" t="str">
        <f t="shared" si="233"/>
        <v/>
      </c>
      <c r="AW210" s="19" t="str">
        <f t="shared" si="196"/>
        <v/>
      </c>
      <c r="AX210" s="81">
        <f t="shared" si="197"/>
        <v>0</v>
      </c>
      <c r="AY210" s="81" t="str">
        <f t="shared" si="198"/>
        <v/>
      </c>
      <c r="AZ210" s="307" t="str">
        <f t="shared" si="228"/>
        <v/>
      </c>
      <c r="BA210" s="281" t="str">
        <f t="shared" si="234"/>
        <v/>
      </c>
      <c r="BB210" s="281" t="str">
        <f t="shared" si="235"/>
        <v/>
      </c>
      <c r="BC210" s="953"/>
      <c r="BD210" s="955"/>
      <c r="BE210" s="219" t="str">
        <f t="shared" si="199"/>
        <v>n/a</v>
      </c>
      <c r="BF210" s="215" t="b">
        <f t="shared" si="200"/>
        <v>0</v>
      </c>
      <c r="BG210" s="145" t="b">
        <f t="shared" si="201"/>
        <v>0</v>
      </c>
      <c r="BH210" s="145" t="b">
        <f t="shared" si="202"/>
        <v>0</v>
      </c>
      <c r="BI210" s="216" t="b">
        <f t="shared" si="203"/>
        <v>0</v>
      </c>
      <c r="BJ210" s="215" t="b">
        <f t="shared" si="204"/>
        <v>0</v>
      </c>
      <c r="BK210" s="145" t="b">
        <f t="shared" si="205"/>
        <v>0</v>
      </c>
      <c r="BL210" s="216" t="b">
        <f t="shared" si="206"/>
        <v>0</v>
      </c>
      <c r="BM210" s="217" t="str">
        <f t="shared" si="236"/>
        <v/>
      </c>
      <c r="BN210" s="146" t="str">
        <f t="shared" si="237"/>
        <v/>
      </c>
      <c r="BO210" s="147" t="str">
        <f t="shared" si="238"/>
        <v/>
      </c>
      <c r="BP210" s="148" t="str">
        <f t="shared" si="239"/>
        <v/>
      </c>
      <c r="BT210" s="50">
        <f t="shared" si="254"/>
        <v>187</v>
      </c>
      <c r="BU210" s="50" t="str">
        <f t="shared" si="256"/>
        <v>-</v>
      </c>
      <c r="BW210" s="340"/>
      <c r="BX210" s="333"/>
      <c r="BY210" s="333"/>
      <c r="BZ210" s="333"/>
      <c r="CA210" s="333"/>
      <c r="CB210" s="333"/>
      <c r="CC210" s="333"/>
      <c r="CD210" s="333"/>
      <c r="CE210" s="333"/>
      <c r="CF210" s="333"/>
      <c r="CG210" s="354">
        <f t="shared" si="207"/>
        <v>187</v>
      </c>
      <c r="CH210" s="613">
        <f t="shared" si="208"/>
        <v>0</v>
      </c>
      <c r="CI210" s="613">
        <f t="shared" si="209"/>
        <v>0</v>
      </c>
      <c r="CJ210" s="614" t="str">
        <f t="shared" si="210"/>
        <v/>
      </c>
      <c r="CK210" s="615" t="str">
        <f t="shared" si="211"/>
        <v/>
      </c>
      <c r="CL210" s="610" t="str">
        <f>IF(ISBLANK(H210),"",IF(AND(ISNUMBER(F210),ISNUMBER(G210),ISNUMBER(H210)),ROUND(F210/(H210*G210),2),ROUND(F210/(VALUE(LEFT(H210,SUM(LEN(H210)-LEN(SUBSTITUTE(H210,{"0","1","2","3","4","5","6","7","8","9","."},"")))))*G210),2)))</f>
        <v/>
      </c>
      <c r="CM210" s="616" t="str">
        <f t="shared" si="240"/>
        <v/>
      </c>
      <c r="CN210" s="616" t="str">
        <f>IF(ISNUMBER(P210),MAX('Adjustment factors'!$S$16,(0.2+0.8*P210)),IF(ISTEXT(N210),VLOOKUP(N210,Afactors,2,FALSE),""))</f>
        <v/>
      </c>
      <c r="CO210" s="616" t="str">
        <f>IF(ISNUMBER(S210),MAX('Adjustment factors'!$S$16,0.2+0.8*S210),IF(ISTEXT(Q210),VLOOKUP(Q210,Afactors,2,FALSE),""))</f>
        <v/>
      </c>
      <c r="CP210" s="611" t="str">
        <f t="shared" si="229"/>
        <v/>
      </c>
      <c r="CQ210" s="612" t="str">
        <f t="shared" si="230"/>
        <v/>
      </c>
      <c r="CR210" s="340"/>
      <c r="CS210" s="340"/>
      <c r="CT210" s="340"/>
      <c r="CU210" s="340"/>
      <c r="CV210" s="333"/>
      <c r="CW210" s="333"/>
      <c r="CX210" s="333"/>
      <c r="CY210" s="333"/>
      <c r="DA210" s="313" t="str">
        <f t="shared" si="212"/>
        <v>OK</v>
      </c>
      <c r="DB210" s="313" t="str">
        <f t="shared" si="213"/>
        <v>OK</v>
      </c>
      <c r="DC210" s="313" t="str">
        <f t="shared" si="214"/>
        <v>OK</v>
      </c>
      <c r="DD210" s="313" t="str">
        <f t="shared" si="215"/>
        <v>OK</v>
      </c>
      <c r="DE210" s="153" t="str">
        <f t="shared" si="216"/>
        <v>OK</v>
      </c>
      <c r="DF210" s="314" t="str">
        <f t="shared" si="217"/>
        <v>OK</v>
      </c>
      <c r="DG210" s="482" t="str">
        <f t="shared" si="231"/>
        <v>OK</v>
      </c>
      <c r="DH210" s="482" t="str">
        <f>IF(OR(AND(T210='Adjustment factors'!$R$28,'Class 3, 5-9'!U210='Adjustment factors'!$R$29),AND('Class 3, 5-9'!T210='Adjustment factors'!$R$29,'Class 3, 5-9'!U210='Adjustment factors'!$R$28)),"Invalid combination of adjustment factors",IF(AND(T210=U210,NOT(ISBLANK(T210)),NOT(ISBLANK(U210))),"Same colour factor selected twice","OK"))</f>
        <v>OK</v>
      </c>
      <c r="DI210" s="313" t="str">
        <f t="shared" si="218"/>
        <v>OK</v>
      </c>
      <c r="DJ210" s="153" t="str">
        <f t="shared" si="241"/>
        <v>OK</v>
      </c>
      <c r="DK210" s="153" t="str">
        <f t="shared" si="219"/>
        <v>OK</v>
      </c>
      <c r="DL210" s="313" t="str">
        <f t="shared" si="220"/>
        <v>OK</v>
      </c>
      <c r="DM210" s="153" t="str">
        <f t="shared" si="221"/>
        <v>OK</v>
      </c>
      <c r="DN210" s="153" t="str">
        <f t="shared" si="242"/>
        <v>OK</v>
      </c>
      <c r="DO210" s="154" t="str">
        <f t="shared" si="243"/>
        <v>OK</v>
      </c>
      <c r="DP210" s="153" t="str">
        <f t="shared" si="222"/>
        <v>OK</v>
      </c>
      <c r="DQ210" s="313" t="str">
        <f t="shared" si="223"/>
        <v>OK</v>
      </c>
      <c r="DR210" s="153" t="str">
        <f t="shared" si="244"/>
        <v>OK</v>
      </c>
      <c r="DS210" s="153" t="str">
        <f t="shared" si="224"/>
        <v>OK</v>
      </c>
      <c r="DT210" s="313" t="str">
        <f t="shared" si="258"/>
        <v>OK</v>
      </c>
      <c r="DU210" s="153" t="str">
        <f t="shared" si="225"/>
        <v>OK</v>
      </c>
      <c r="DV210" s="153" t="str">
        <f t="shared" si="245"/>
        <v>OK</v>
      </c>
      <c r="DW210" s="154" t="str">
        <f t="shared" si="246"/>
        <v>OK</v>
      </c>
      <c r="DX210" s="157">
        <f t="shared" si="247"/>
        <v>0</v>
      </c>
      <c r="DY210" s="156" t="str">
        <f t="shared" si="248"/>
        <v>OK</v>
      </c>
    </row>
    <row r="211" spans="1:129" ht="13" hidden="1" x14ac:dyDescent="0.3">
      <c r="A211" s="333"/>
      <c r="B211" s="333"/>
      <c r="C211" s="332" t="str">
        <f t="shared" si="257"/>
        <v>-</v>
      </c>
      <c r="D211" s="584">
        <f t="shared" si="253"/>
        <v>188</v>
      </c>
      <c r="E211" s="585"/>
      <c r="F211" s="586"/>
      <c r="G211" s="600"/>
      <c r="H211" s="587"/>
      <c r="I211" s="601"/>
      <c r="J211" s="585"/>
      <c r="K211" s="617"/>
      <c r="L211" s="602"/>
      <c r="M211" s="603"/>
      <c r="N211" s="588"/>
      <c r="O211" s="604"/>
      <c r="P211" s="605"/>
      <c r="Q211" s="588"/>
      <c r="R211" s="604"/>
      <c r="S211" s="605"/>
      <c r="T211" s="606"/>
      <c r="U211" s="606"/>
      <c r="V211" s="429" t="str">
        <f t="shared" si="255"/>
        <v/>
      </c>
      <c r="W211" s="430" t="str">
        <f t="shared" si="252"/>
        <v/>
      </c>
      <c r="X211" s="66" t="str">
        <f>IF(AND(ISNUMBER(P211),N211=FixedDim),MAX('Adjustment factors'!$S$16,0.2+0.8*P211),IF(ISTEXT(N211),VLOOKUP(N211,Afactors,2,TRUE),""))</f>
        <v/>
      </c>
      <c r="Y211" s="17" t="str">
        <f>IF(AND(ISNUMBER(S211),Q211=FixedDim),MAX('Adjustment factors'!$S$16,0.2+0.8*S211),IF(ISTEXT(Q211),VLOOKUP(Q211,Afactors,2,TRUE),""))</f>
        <v/>
      </c>
      <c r="Z211" s="297" t="str">
        <f>IF(ISBLANK(T211),"",VLOOKUP(T211,'Adjustment factors'!$R$27:$S$30,2,TRUE))</f>
        <v/>
      </c>
      <c r="AA211" s="297" t="str">
        <f>IF(ISBLANK(U211),"",VLOOKUP(U211,'Adjustment factors'!$R$27:$S$30,2,TRUE))</f>
        <v/>
      </c>
      <c r="AB211" s="480">
        <f t="shared" si="226"/>
        <v>1</v>
      </c>
      <c r="AC211" s="18" t="b">
        <f t="shared" si="183"/>
        <v>0</v>
      </c>
      <c r="AD211" s="18" t="b">
        <f t="shared" si="184"/>
        <v>0</v>
      </c>
      <c r="AE211" s="18" t="b">
        <f t="shared" si="249"/>
        <v>0</v>
      </c>
      <c r="AF211" s="17" t="str">
        <f t="shared" si="185"/>
        <v/>
      </c>
      <c r="AG211" s="18" t="str">
        <f t="shared" si="186"/>
        <v/>
      </c>
      <c r="AH211" s="17" t="str">
        <f t="shared" si="250"/>
        <v/>
      </c>
      <c r="AI211" s="297" t="e">
        <f t="shared" si="227"/>
        <v>#VALUE!</v>
      </c>
      <c r="AJ211" s="79" t="e">
        <f t="shared" si="187"/>
        <v>#VALUE!</v>
      </c>
      <c r="AK211" s="17" t="str">
        <f t="shared" si="251"/>
        <v/>
      </c>
      <c r="AL211" s="80" t="e">
        <f t="shared" si="188"/>
        <v>#VALUE!</v>
      </c>
      <c r="AM211" s="139" t="b">
        <f t="shared" si="189"/>
        <v>1</v>
      </c>
      <c r="AN211" s="139" t="b">
        <f>AND(COUNTA(E211)&gt;0,ISNUMBER(F211),OR(COUNT(G211:H211)=0,COUNT(G211:H211)=2,AND(ISNUMBER(G211),ISNUMBER(VALUE(LEFT(H211,SUM(LEN(H211)-LEN(SUBSTITUTE(H211,{"0","1","2","3","4","5","6","7","8","9","."},"")))))))),ISNUMBER(I211),ISTEXT(J211))</f>
        <v>0</v>
      </c>
      <c r="AO211" s="19" t="b">
        <f t="shared" si="190"/>
        <v>0</v>
      </c>
      <c r="AP211" s="19" t="b">
        <f t="shared" si="191"/>
        <v>1</v>
      </c>
      <c r="AQ211" s="19" t="b">
        <f>IF(AND(COUNTBLANK(E211:J211)=6,OR(AN212:AN$523)),NOT(AN211))</f>
        <v>0</v>
      </c>
      <c r="AR211" s="19" t="str">
        <f t="shared" si="192"/>
        <v/>
      </c>
      <c r="AS211" s="19" t="b">
        <f t="shared" si="193"/>
        <v>1</v>
      </c>
      <c r="AT211" s="19" t="str">
        <f t="shared" si="194"/>
        <v/>
      </c>
      <c r="AU211" s="19" t="b">
        <f t="shared" si="195"/>
        <v>1</v>
      </c>
      <c r="AV211" s="140" t="str">
        <f t="shared" si="233"/>
        <v/>
      </c>
      <c r="AW211" s="19" t="str">
        <f t="shared" si="196"/>
        <v/>
      </c>
      <c r="AX211" s="81">
        <f t="shared" si="197"/>
        <v>0</v>
      </c>
      <c r="AY211" s="81" t="str">
        <f t="shared" si="198"/>
        <v/>
      </c>
      <c r="AZ211" s="307" t="str">
        <f t="shared" si="228"/>
        <v/>
      </c>
      <c r="BA211" s="281" t="str">
        <f t="shared" si="234"/>
        <v/>
      </c>
      <c r="BB211" s="281" t="str">
        <f t="shared" si="235"/>
        <v/>
      </c>
      <c r="BC211" s="953"/>
      <c r="BD211" s="955"/>
      <c r="BE211" s="219" t="str">
        <f t="shared" si="199"/>
        <v>n/a</v>
      </c>
      <c r="BF211" s="215" t="b">
        <f t="shared" si="200"/>
        <v>0</v>
      </c>
      <c r="BG211" s="145" t="b">
        <f t="shared" si="201"/>
        <v>0</v>
      </c>
      <c r="BH211" s="145" t="b">
        <f t="shared" si="202"/>
        <v>0</v>
      </c>
      <c r="BI211" s="216" t="b">
        <f t="shared" si="203"/>
        <v>0</v>
      </c>
      <c r="BJ211" s="215" t="b">
        <f t="shared" si="204"/>
        <v>0</v>
      </c>
      <c r="BK211" s="145" t="b">
        <f t="shared" si="205"/>
        <v>0</v>
      </c>
      <c r="BL211" s="216" t="b">
        <f t="shared" si="206"/>
        <v>0</v>
      </c>
      <c r="BM211" s="217" t="str">
        <f t="shared" si="236"/>
        <v/>
      </c>
      <c r="BN211" s="146" t="str">
        <f t="shared" si="237"/>
        <v/>
      </c>
      <c r="BO211" s="147" t="str">
        <f t="shared" si="238"/>
        <v/>
      </c>
      <c r="BP211" s="148" t="str">
        <f t="shared" si="239"/>
        <v/>
      </c>
      <c r="BT211" s="50">
        <f t="shared" si="254"/>
        <v>188</v>
      </c>
      <c r="BU211" s="50" t="str">
        <f t="shared" si="256"/>
        <v>-</v>
      </c>
      <c r="BW211" s="340"/>
      <c r="BX211" s="333"/>
      <c r="BY211" s="333"/>
      <c r="BZ211" s="333"/>
      <c r="CA211" s="333"/>
      <c r="CB211" s="333"/>
      <c r="CC211" s="333"/>
      <c r="CD211" s="333"/>
      <c r="CE211" s="333"/>
      <c r="CF211" s="333"/>
      <c r="CG211" s="354">
        <f t="shared" si="207"/>
        <v>188</v>
      </c>
      <c r="CH211" s="613">
        <f t="shared" si="208"/>
        <v>0</v>
      </c>
      <c r="CI211" s="613">
        <f t="shared" si="209"/>
        <v>0</v>
      </c>
      <c r="CJ211" s="614" t="str">
        <f t="shared" si="210"/>
        <v/>
      </c>
      <c r="CK211" s="615" t="str">
        <f t="shared" si="211"/>
        <v/>
      </c>
      <c r="CL211" s="610" t="str">
        <f>IF(ISBLANK(H211),"",IF(AND(ISNUMBER(F211),ISNUMBER(G211),ISNUMBER(H211)),ROUND(F211/(H211*G211),2),ROUND(F211/(VALUE(LEFT(H211,SUM(LEN(H211)-LEN(SUBSTITUTE(H211,{"0","1","2","3","4","5","6","7","8","9","."},"")))))*G211),2)))</f>
        <v/>
      </c>
      <c r="CM211" s="616" t="str">
        <f t="shared" si="240"/>
        <v/>
      </c>
      <c r="CN211" s="616" t="str">
        <f>IF(ISNUMBER(P211),MAX('Adjustment factors'!$S$16,(0.2+0.8*P211)),IF(ISTEXT(N211),VLOOKUP(N211,Afactors,2,FALSE),""))</f>
        <v/>
      </c>
      <c r="CO211" s="616" t="str">
        <f>IF(ISNUMBER(S211),MAX('Adjustment factors'!$S$16,0.2+0.8*S211),IF(ISTEXT(Q211),VLOOKUP(Q211,Afactors,2,FALSE),""))</f>
        <v/>
      </c>
      <c r="CP211" s="611" t="str">
        <f t="shared" si="229"/>
        <v/>
      </c>
      <c r="CQ211" s="612" t="str">
        <f t="shared" si="230"/>
        <v/>
      </c>
      <c r="CR211" s="340"/>
      <c r="CS211" s="340"/>
      <c r="CT211" s="340"/>
      <c r="CU211" s="340"/>
      <c r="CV211" s="333"/>
      <c r="CW211" s="333"/>
      <c r="CX211" s="333"/>
      <c r="CY211" s="333"/>
      <c r="DA211" s="313" t="str">
        <f t="shared" si="212"/>
        <v>OK</v>
      </c>
      <c r="DB211" s="313" t="str">
        <f t="shared" si="213"/>
        <v>OK</v>
      </c>
      <c r="DC211" s="313" t="str">
        <f t="shared" si="214"/>
        <v>OK</v>
      </c>
      <c r="DD211" s="313" t="str">
        <f t="shared" si="215"/>
        <v>OK</v>
      </c>
      <c r="DE211" s="153" t="str">
        <f t="shared" si="216"/>
        <v>OK</v>
      </c>
      <c r="DF211" s="314" t="str">
        <f t="shared" si="217"/>
        <v>OK</v>
      </c>
      <c r="DG211" s="482" t="str">
        <f t="shared" si="231"/>
        <v>OK</v>
      </c>
      <c r="DH211" s="482" t="str">
        <f>IF(OR(AND(T211='Adjustment factors'!$R$28,'Class 3, 5-9'!U211='Adjustment factors'!$R$29),AND('Class 3, 5-9'!T211='Adjustment factors'!$R$29,'Class 3, 5-9'!U211='Adjustment factors'!$R$28)),"Invalid combination of adjustment factors",IF(AND(T211=U211,NOT(ISBLANK(T211)),NOT(ISBLANK(U211))),"Same colour factor selected twice","OK"))</f>
        <v>OK</v>
      </c>
      <c r="DI211" s="313" t="str">
        <f t="shared" si="218"/>
        <v>OK</v>
      </c>
      <c r="DJ211" s="153" t="str">
        <f t="shared" si="241"/>
        <v>OK</v>
      </c>
      <c r="DK211" s="153" t="str">
        <f t="shared" si="219"/>
        <v>OK</v>
      </c>
      <c r="DL211" s="313" t="str">
        <f t="shared" si="220"/>
        <v>OK</v>
      </c>
      <c r="DM211" s="153" t="str">
        <f t="shared" si="221"/>
        <v>OK</v>
      </c>
      <c r="DN211" s="153" t="str">
        <f t="shared" si="242"/>
        <v>OK</v>
      </c>
      <c r="DO211" s="154" t="str">
        <f t="shared" si="243"/>
        <v>OK</v>
      </c>
      <c r="DP211" s="153" t="str">
        <f t="shared" si="222"/>
        <v>OK</v>
      </c>
      <c r="DQ211" s="313" t="str">
        <f t="shared" si="223"/>
        <v>OK</v>
      </c>
      <c r="DR211" s="153" t="str">
        <f t="shared" si="244"/>
        <v>OK</v>
      </c>
      <c r="DS211" s="153" t="str">
        <f t="shared" si="224"/>
        <v>OK</v>
      </c>
      <c r="DT211" s="313" t="str">
        <f t="shared" si="258"/>
        <v>OK</v>
      </c>
      <c r="DU211" s="153" t="str">
        <f t="shared" si="225"/>
        <v>OK</v>
      </c>
      <c r="DV211" s="153" t="str">
        <f t="shared" si="245"/>
        <v>OK</v>
      </c>
      <c r="DW211" s="154" t="str">
        <f t="shared" si="246"/>
        <v>OK</v>
      </c>
      <c r="DX211" s="157">
        <f t="shared" si="247"/>
        <v>0</v>
      </c>
      <c r="DY211" s="156" t="str">
        <f t="shared" si="248"/>
        <v>OK</v>
      </c>
    </row>
    <row r="212" spans="1:129" ht="13" hidden="1" x14ac:dyDescent="0.3">
      <c r="A212" s="333"/>
      <c r="B212" s="333"/>
      <c r="C212" s="332" t="str">
        <f t="shared" si="257"/>
        <v>-</v>
      </c>
      <c r="D212" s="584">
        <f t="shared" si="253"/>
        <v>189</v>
      </c>
      <c r="E212" s="585"/>
      <c r="F212" s="586"/>
      <c r="G212" s="600"/>
      <c r="H212" s="587"/>
      <c r="I212" s="601"/>
      <c r="J212" s="585"/>
      <c r="K212" s="617"/>
      <c r="L212" s="602"/>
      <c r="M212" s="603"/>
      <c r="N212" s="588"/>
      <c r="O212" s="604"/>
      <c r="P212" s="605"/>
      <c r="Q212" s="588"/>
      <c r="R212" s="604"/>
      <c r="S212" s="605"/>
      <c r="T212" s="606"/>
      <c r="U212" s="606"/>
      <c r="V212" s="429" t="str">
        <f t="shared" si="255"/>
        <v/>
      </c>
      <c r="W212" s="430" t="str">
        <f t="shared" si="252"/>
        <v/>
      </c>
      <c r="X212" s="66" t="str">
        <f>IF(AND(ISNUMBER(P212),N212=FixedDim),MAX('Adjustment factors'!$S$16,0.2+0.8*P212),IF(ISTEXT(N212),VLOOKUP(N212,Afactors,2,TRUE),""))</f>
        <v/>
      </c>
      <c r="Y212" s="17" t="str">
        <f>IF(AND(ISNUMBER(S212),Q212=FixedDim),MAX('Adjustment factors'!$S$16,0.2+0.8*S212),IF(ISTEXT(Q212),VLOOKUP(Q212,Afactors,2,TRUE),""))</f>
        <v/>
      </c>
      <c r="Z212" s="297" t="str">
        <f>IF(ISBLANK(T212),"",VLOOKUP(T212,'Adjustment factors'!$R$27:$S$30,2,TRUE))</f>
        <v/>
      </c>
      <c r="AA212" s="297" t="str">
        <f>IF(ISBLANK(U212),"",VLOOKUP(U212,'Adjustment factors'!$R$27:$S$30,2,TRUE))</f>
        <v/>
      </c>
      <c r="AB212" s="480">
        <f t="shared" si="226"/>
        <v>1</v>
      </c>
      <c r="AC212" s="18" t="b">
        <f t="shared" si="183"/>
        <v>0</v>
      </c>
      <c r="AD212" s="18" t="b">
        <f t="shared" si="184"/>
        <v>0</v>
      </c>
      <c r="AE212" s="18" t="b">
        <f t="shared" si="249"/>
        <v>0</v>
      </c>
      <c r="AF212" s="17" t="str">
        <f t="shared" si="185"/>
        <v/>
      </c>
      <c r="AG212" s="18" t="str">
        <f t="shared" si="186"/>
        <v/>
      </c>
      <c r="AH212" s="17" t="str">
        <f t="shared" si="250"/>
        <v/>
      </c>
      <c r="AI212" s="297" t="e">
        <f t="shared" si="227"/>
        <v>#VALUE!</v>
      </c>
      <c r="AJ212" s="79" t="e">
        <f t="shared" si="187"/>
        <v>#VALUE!</v>
      </c>
      <c r="AK212" s="17" t="str">
        <f t="shared" si="251"/>
        <v/>
      </c>
      <c r="AL212" s="80" t="e">
        <f t="shared" si="188"/>
        <v>#VALUE!</v>
      </c>
      <c r="AM212" s="139" t="b">
        <f t="shared" si="189"/>
        <v>1</v>
      </c>
      <c r="AN212" s="139" t="b">
        <f>AND(COUNTA(E212)&gt;0,ISNUMBER(F212),OR(COUNT(G212:H212)=0,COUNT(G212:H212)=2,AND(ISNUMBER(G212),ISNUMBER(VALUE(LEFT(H212,SUM(LEN(H212)-LEN(SUBSTITUTE(H212,{"0","1","2","3","4","5","6","7","8","9","."},"")))))))),ISNUMBER(I212),ISTEXT(J212))</f>
        <v>0</v>
      </c>
      <c r="AO212" s="19" t="b">
        <f t="shared" si="190"/>
        <v>0</v>
      </c>
      <c r="AP212" s="19" t="b">
        <f t="shared" si="191"/>
        <v>1</v>
      </c>
      <c r="AQ212" s="19" t="b">
        <f>IF(AND(COUNTBLANK(E212:J212)=6,OR(AN213:AN$523)),NOT(AN212))</f>
        <v>0</v>
      </c>
      <c r="AR212" s="19" t="str">
        <f t="shared" si="192"/>
        <v/>
      </c>
      <c r="AS212" s="19" t="b">
        <f t="shared" si="193"/>
        <v>1</v>
      </c>
      <c r="AT212" s="19" t="str">
        <f t="shared" si="194"/>
        <v/>
      </c>
      <c r="AU212" s="19" t="b">
        <f t="shared" si="195"/>
        <v>1</v>
      </c>
      <c r="AV212" s="140" t="str">
        <f t="shared" si="233"/>
        <v/>
      </c>
      <c r="AW212" s="19" t="str">
        <f t="shared" si="196"/>
        <v/>
      </c>
      <c r="AX212" s="81">
        <f t="shared" si="197"/>
        <v>0</v>
      </c>
      <c r="AY212" s="81" t="str">
        <f t="shared" si="198"/>
        <v/>
      </c>
      <c r="AZ212" s="307" t="str">
        <f t="shared" si="228"/>
        <v/>
      </c>
      <c r="BA212" s="281" t="str">
        <f t="shared" si="234"/>
        <v/>
      </c>
      <c r="BB212" s="281" t="str">
        <f t="shared" si="235"/>
        <v/>
      </c>
      <c r="BC212" s="953"/>
      <c r="BD212" s="955"/>
      <c r="BE212" s="219" t="str">
        <f t="shared" si="199"/>
        <v>n/a</v>
      </c>
      <c r="BF212" s="215" t="b">
        <f t="shared" si="200"/>
        <v>0</v>
      </c>
      <c r="BG212" s="145" t="b">
        <f t="shared" si="201"/>
        <v>0</v>
      </c>
      <c r="BH212" s="145" t="b">
        <f t="shared" si="202"/>
        <v>0</v>
      </c>
      <c r="BI212" s="216" t="b">
        <f t="shared" si="203"/>
        <v>0</v>
      </c>
      <c r="BJ212" s="215" t="b">
        <f t="shared" si="204"/>
        <v>0</v>
      </c>
      <c r="BK212" s="145" t="b">
        <f t="shared" si="205"/>
        <v>0</v>
      </c>
      <c r="BL212" s="216" t="b">
        <f t="shared" si="206"/>
        <v>0</v>
      </c>
      <c r="BM212" s="217" t="str">
        <f t="shared" si="236"/>
        <v/>
      </c>
      <c r="BN212" s="146" t="str">
        <f t="shared" si="237"/>
        <v/>
      </c>
      <c r="BO212" s="147" t="str">
        <f t="shared" si="238"/>
        <v/>
      </c>
      <c r="BP212" s="148" t="str">
        <f t="shared" si="239"/>
        <v/>
      </c>
      <c r="BT212" s="50">
        <f t="shared" si="254"/>
        <v>189</v>
      </c>
      <c r="BU212" s="50" t="str">
        <f t="shared" si="256"/>
        <v>-</v>
      </c>
      <c r="BW212" s="340"/>
      <c r="BX212" s="333"/>
      <c r="BY212" s="333"/>
      <c r="BZ212" s="333"/>
      <c r="CA212" s="333"/>
      <c r="CB212" s="333"/>
      <c r="CC212" s="333"/>
      <c r="CD212" s="333"/>
      <c r="CE212" s="333"/>
      <c r="CF212" s="333"/>
      <c r="CG212" s="354">
        <f t="shared" si="207"/>
        <v>189</v>
      </c>
      <c r="CH212" s="613">
        <f t="shared" si="208"/>
        <v>0</v>
      </c>
      <c r="CI212" s="613">
        <f t="shared" si="209"/>
        <v>0</v>
      </c>
      <c r="CJ212" s="614" t="str">
        <f t="shared" si="210"/>
        <v/>
      </c>
      <c r="CK212" s="615" t="str">
        <f t="shared" si="211"/>
        <v/>
      </c>
      <c r="CL212" s="610" t="str">
        <f>IF(ISBLANK(H212),"",IF(AND(ISNUMBER(F212),ISNUMBER(G212),ISNUMBER(H212)),ROUND(F212/(H212*G212),2),ROUND(F212/(VALUE(LEFT(H212,SUM(LEN(H212)-LEN(SUBSTITUTE(H212,{"0","1","2","3","4","5","6","7","8","9","."},"")))))*G212),2)))</f>
        <v/>
      </c>
      <c r="CM212" s="616" t="str">
        <f t="shared" si="240"/>
        <v/>
      </c>
      <c r="CN212" s="616" t="str">
        <f>IF(ISNUMBER(P212),MAX('Adjustment factors'!$S$16,(0.2+0.8*P212)),IF(ISTEXT(N212),VLOOKUP(N212,Afactors,2,FALSE),""))</f>
        <v/>
      </c>
      <c r="CO212" s="616" t="str">
        <f>IF(ISNUMBER(S212),MAX('Adjustment factors'!$S$16,0.2+0.8*S212),IF(ISTEXT(Q212),VLOOKUP(Q212,Afactors,2,FALSE),""))</f>
        <v/>
      </c>
      <c r="CP212" s="611" t="str">
        <f t="shared" si="229"/>
        <v/>
      </c>
      <c r="CQ212" s="612" t="str">
        <f t="shared" si="230"/>
        <v/>
      </c>
      <c r="CR212" s="340"/>
      <c r="CS212" s="340"/>
      <c r="CT212" s="340"/>
      <c r="CU212" s="340"/>
      <c r="CV212" s="333"/>
      <c r="CW212" s="333"/>
      <c r="CX212" s="333"/>
      <c r="CY212" s="333"/>
      <c r="DA212" s="313" t="str">
        <f t="shared" si="212"/>
        <v>OK</v>
      </c>
      <c r="DB212" s="313" t="str">
        <f t="shared" si="213"/>
        <v>OK</v>
      </c>
      <c r="DC212" s="313" t="str">
        <f t="shared" si="214"/>
        <v>OK</v>
      </c>
      <c r="DD212" s="313" t="str">
        <f t="shared" si="215"/>
        <v>OK</v>
      </c>
      <c r="DE212" s="153" t="str">
        <f t="shared" si="216"/>
        <v>OK</v>
      </c>
      <c r="DF212" s="314" t="str">
        <f t="shared" si="217"/>
        <v>OK</v>
      </c>
      <c r="DG212" s="482" t="str">
        <f t="shared" si="231"/>
        <v>OK</v>
      </c>
      <c r="DH212" s="482" t="str">
        <f>IF(OR(AND(T212='Adjustment factors'!$R$28,'Class 3, 5-9'!U212='Adjustment factors'!$R$29),AND('Class 3, 5-9'!T212='Adjustment factors'!$R$29,'Class 3, 5-9'!U212='Adjustment factors'!$R$28)),"Invalid combination of adjustment factors",IF(AND(T212=U212,NOT(ISBLANK(T212)),NOT(ISBLANK(U212))),"Same colour factor selected twice","OK"))</f>
        <v>OK</v>
      </c>
      <c r="DI212" s="313" t="str">
        <f t="shared" si="218"/>
        <v>OK</v>
      </c>
      <c r="DJ212" s="153" t="str">
        <f t="shared" si="241"/>
        <v>OK</v>
      </c>
      <c r="DK212" s="153" t="str">
        <f t="shared" si="219"/>
        <v>OK</v>
      </c>
      <c r="DL212" s="313" t="str">
        <f t="shared" si="220"/>
        <v>OK</v>
      </c>
      <c r="DM212" s="153" t="str">
        <f t="shared" si="221"/>
        <v>OK</v>
      </c>
      <c r="DN212" s="153" t="str">
        <f t="shared" si="242"/>
        <v>OK</v>
      </c>
      <c r="DO212" s="154" t="str">
        <f t="shared" si="243"/>
        <v>OK</v>
      </c>
      <c r="DP212" s="153" t="str">
        <f t="shared" si="222"/>
        <v>OK</v>
      </c>
      <c r="DQ212" s="313" t="str">
        <f t="shared" si="223"/>
        <v>OK</v>
      </c>
      <c r="DR212" s="153" t="str">
        <f t="shared" si="244"/>
        <v>OK</v>
      </c>
      <c r="DS212" s="153" t="str">
        <f t="shared" si="224"/>
        <v>OK</v>
      </c>
      <c r="DT212" s="313" t="str">
        <f t="shared" si="258"/>
        <v>OK</v>
      </c>
      <c r="DU212" s="153" t="str">
        <f t="shared" si="225"/>
        <v>OK</v>
      </c>
      <c r="DV212" s="153" t="str">
        <f t="shared" si="245"/>
        <v>OK</v>
      </c>
      <c r="DW212" s="154" t="str">
        <f t="shared" si="246"/>
        <v>OK</v>
      </c>
      <c r="DX212" s="157">
        <f t="shared" si="247"/>
        <v>0</v>
      </c>
      <c r="DY212" s="156" t="str">
        <f t="shared" si="248"/>
        <v>OK</v>
      </c>
    </row>
    <row r="213" spans="1:129" ht="13" hidden="1" x14ac:dyDescent="0.3">
      <c r="A213" s="333"/>
      <c r="B213" s="333"/>
      <c r="C213" s="332" t="str">
        <f t="shared" si="257"/>
        <v>-</v>
      </c>
      <c r="D213" s="584">
        <f t="shared" si="253"/>
        <v>190</v>
      </c>
      <c r="E213" s="585"/>
      <c r="F213" s="586"/>
      <c r="G213" s="600"/>
      <c r="H213" s="587"/>
      <c r="I213" s="601"/>
      <c r="J213" s="585"/>
      <c r="K213" s="617"/>
      <c r="L213" s="602"/>
      <c r="M213" s="603"/>
      <c r="N213" s="588"/>
      <c r="O213" s="604"/>
      <c r="P213" s="605"/>
      <c r="Q213" s="588"/>
      <c r="R213" s="604"/>
      <c r="S213" s="605"/>
      <c r="T213" s="606"/>
      <c r="U213" s="606"/>
      <c r="V213" s="429" t="str">
        <f t="shared" si="255"/>
        <v/>
      </c>
      <c r="W213" s="430" t="str">
        <f t="shared" si="252"/>
        <v/>
      </c>
      <c r="X213" s="66" t="str">
        <f>IF(AND(ISNUMBER(P213),N213=FixedDim),MAX('Adjustment factors'!$S$16,0.2+0.8*P213),IF(ISTEXT(N213),VLOOKUP(N213,Afactors,2,TRUE),""))</f>
        <v/>
      </c>
      <c r="Y213" s="17" t="str">
        <f>IF(AND(ISNUMBER(S213),Q213=FixedDim),MAX('Adjustment factors'!$S$16,0.2+0.8*S213),IF(ISTEXT(Q213),VLOOKUP(Q213,Afactors,2,TRUE),""))</f>
        <v/>
      </c>
      <c r="Z213" s="297" t="str">
        <f>IF(ISBLANK(T213),"",VLOOKUP(T213,'Adjustment factors'!$R$27:$S$30,2,TRUE))</f>
        <v/>
      </c>
      <c r="AA213" s="297" t="str">
        <f>IF(ISBLANK(U213),"",VLOOKUP(U213,'Adjustment factors'!$R$27:$S$30,2,TRUE))</f>
        <v/>
      </c>
      <c r="AB213" s="480">
        <f t="shared" si="226"/>
        <v>1</v>
      </c>
      <c r="AC213" s="18" t="b">
        <f t="shared" si="183"/>
        <v>0</v>
      </c>
      <c r="AD213" s="18" t="b">
        <f t="shared" si="184"/>
        <v>0</v>
      </c>
      <c r="AE213" s="18" t="b">
        <f t="shared" si="249"/>
        <v>0</v>
      </c>
      <c r="AF213" s="17" t="str">
        <f t="shared" si="185"/>
        <v/>
      </c>
      <c r="AG213" s="18" t="str">
        <f t="shared" si="186"/>
        <v/>
      </c>
      <c r="AH213" s="17" t="str">
        <f t="shared" si="250"/>
        <v/>
      </c>
      <c r="AI213" s="297" t="e">
        <f t="shared" si="227"/>
        <v>#VALUE!</v>
      </c>
      <c r="AJ213" s="79" t="e">
        <f t="shared" si="187"/>
        <v>#VALUE!</v>
      </c>
      <c r="AK213" s="17" t="str">
        <f t="shared" si="251"/>
        <v/>
      </c>
      <c r="AL213" s="80" t="e">
        <f t="shared" si="188"/>
        <v>#VALUE!</v>
      </c>
      <c r="AM213" s="139" t="b">
        <f t="shared" si="189"/>
        <v>1</v>
      </c>
      <c r="AN213" s="139" t="b">
        <f>AND(COUNTA(E213)&gt;0,ISNUMBER(F213),OR(COUNT(G213:H213)=0,COUNT(G213:H213)=2,AND(ISNUMBER(G213),ISNUMBER(VALUE(LEFT(H213,SUM(LEN(H213)-LEN(SUBSTITUTE(H213,{"0","1","2","3","4","5","6","7","8","9","."},"")))))))),ISNUMBER(I213),ISTEXT(J213))</f>
        <v>0</v>
      </c>
      <c r="AO213" s="19" t="b">
        <f t="shared" si="190"/>
        <v>0</v>
      </c>
      <c r="AP213" s="19" t="b">
        <f t="shared" si="191"/>
        <v>1</v>
      </c>
      <c r="AQ213" s="19" t="b">
        <f>IF(AND(COUNTBLANK(E213:J213)=6,OR(AN214:AN$523)),NOT(AN213))</f>
        <v>0</v>
      </c>
      <c r="AR213" s="19" t="str">
        <f t="shared" si="192"/>
        <v/>
      </c>
      <c r="AS213" s="19" t="b">
        <f t="shared" si="193"/>
        <v>1</v>
      </c>
      <c r="AT213" s="19" t="str">
        <f t="shared" si="194"/>
        <v/>
      </c>
      <c r="AU213" s="19" t="b">
        <f t="shared" si="195"/>
        <v>1</v>
      </c>
      <c r="AV213" s="140" t="str">
        <f t="shared" si="233"/>
        <v/>
      </c>
      <c r="AW213" s="19" t="str">
        <f t="shared" si="196"/>
        <v/>
      </c>
      <c r="AX213" s="81">
        <f t="shared" si="197"/>
        <v>0</v>
      </c>
      <c r="AY213" s="81" t="str">
        <f t="shared" si="198"/>
        <v/>
      </c>
      <c r="AZ213" s="307" t="str">
        <f t="shared" si="228"/>
        <v/>
      </c>
      <c r="BA213" s="281" t="str">
        <f t="shared" si="234"/>
        <v/>
      </c>
      <c r="BB213" s="281" t="str">
        <f t="shared" si="235"/>
        <v/>
      </c>
      <c r="BC213" s="953"/>
      <c r="BD213" s="955"/>
      <c r="BE213" s="219" t="str">
        <f t="shared" si="199"/>
        <v>n/a</v>
      </c>
      <c r="BF213" s="215" t="b">
        <f t="shared" si="200"/>
        <v>0</v>
      </c>
      <c r="BG213" s="145" t="b">
        <f t="shared" si="201"/>
        <v>0</v>
      </c>
      <c r="BH213" s="145" t="b">
        <f t="shared" si="202"/>
        <v>0</v>
      </c>
      <c r="BI213" s="216" t="b">
        <f t="shared" si="203"/>
        <v>0</v>
      </c>
      <c r="BJ213" s="215" t="b">
        <f t="shared" si="204"/>
        <v>0</v>
      </c>
      <c r="BK213" s="145" t="b">
        <f t="shared" si="205"/>
        <v>0</v>
      </c>
      <c r="BL213" s="216" t="b">
        <f t="shared" si="206"/>
        <v>0</v>
      </c>
      <c r="BM213" s="217" t="str">
        <f t="shared" si="236"/>
        <v/>
      </c>
      <c r="BN213" s="146" t="str">
        <f t="shared" si="237"/>
        <v/>
      </c>
      <c r="BO213" s="147" t="str">
        <f t="shared" si="238"/>
        <v/>
      </c>
      <c r="BP213" s="148" t="str">
        <f t="shared" si="239"/>
        <v/>
      </c>
      <c r="BT213" s="50">
        <f t="shared" si="254"/>
        <v>190</v>
      </c>
      <c r="BU213" s="50" t="str">
        <f t="shared" si="256"/>
        <v>-</v>
      </c>
      <c r="BW213" s="340"/>
      <c r="BX213" s="333"/>
      <c r="BY213" s="333"/>
      <c r="BZ213" s="333"/>
      <c r="CA213" s="333"/>
      <c r="CB213" s="333"/>
      <c r="CC213" s="333"/>
      <c r="CD213" s="333"/>
      <c r="CE213" s="333"/>
      <c r="CF213" s="333"/>
      <c r="CG213" s="354">
        <f t="shared" si="207"/>
        <v>190</v>
      </c>
      <c r="CH213" s="613">
        <f t="shared" si="208"/>
        <v>0</v>
      </c>
      <c r="CI213" s="613">
        <f t="shared" si="209"/>
        <v>0</v>
      </c>
      <c r="CJ213" s="614" t="str">
        <f t="shared" si="210"/>
        <v/>
      </c>
      <c r="CK213" s="615" t="str">
        <f t="shared" si="211"/>
        <v/>
      </c>
      <c r="CL213" s="610" t="str">
        <f>IF(ISBLANK(H213),"",IF(AND(ISNUMBER(F213),ISNUMBER(G213),ISNUMBER(H213)),ROUND(F213/(H213*G213),2),ROUND(F213/(VALUE(LEFT(H213,SUM(LEN(H213)-LEN(SUBSTITUTE(H213,{"0","1","2","3","4","5","6","7","8","9","."},"")))))*G213),2)))</f>
        <v/>
      </c>
      <c r="CM213" s="616" t="str">
        <f t="shared" si="240"/>
        <v/>
      </c>
      <c r="CN213" s="616" t="str">
        <f>IF(ISNUMBER(P213),MAX('Adjustment factors'!$S$16,(0.2+0.8*P213)),IF(ISTEXT(N213),VLOOKUP(N213,Afactors,2,FALSE),""))</f>
        <v/>
      </c>
      <c r="CO213" s="616" t="str">
        <f>IF(ISNUMBER(S213),MAX('Adjustment factors'!$S$16,0.2+0.8*S213),IF(ISTEXT(Q213),VLOOKUP(Q213,Afactors,2,FALSE),""))</f>
        <v/>
      </c>
      <c r="CP213" s="611" t="str">
        <f t="shared" si="229"/>
        <v/>
      </c>
      <c r="CQ213" s="612" t="str">
        <f t="shared" si="230"/>
        <v/>
      </c>
      <c r="CR213" s="340"/>
      <c r="CS213" s="340"/>
      <c r="CT213" s="340"/>
      <c r="CU213" s="340"/>
      <c r="CV213" s="333"/>
      <c r="CW213" s="333"/>
      <c r="CX213" s="333"/>
      <c r="CY213" s="333"/>
      <c r="DA213" s="313" t="str">
        <f t="shared" si="212"/>
        <v>OK</v>
      </c>
      <c r="DB213" s="313" t="str">
        <f t="shared" si="213"/>
        <v>OK</v>
      </c>
      <c r="DC213" s="313" t="str">
        <f t="shared" si="214"/>
        <v>OK</v>
      </c>
      <c r="DD213" s="313" t="str">
        <f t="shared" si="215"/>
        <v>OK</v>
      </c>
      <c r="DE213" s="153" t="str">
        <f t="shared" si="216"/>
        <v>OK</v>
      </c>
      <c r="DF213" s="314" t="str">
        <f t="shared" si="217"/>
        <v>OK</v>
      </c>
      <c r="DG213" s="482" t="str">
        <f t="shared" si="231"/>
        <v>OK</v>
      </c>
      <c r="DH213" s="482" t="str">
        <f>IF(OR(AND(T213='Adjustment factors'!$R$28,'Class 3, 5-9'!U213='Adjustment factors'!$R$29),AND('Class 3, 5-9'!T213='Adjustment factors'!$R$29,'Class 3, 5-9'!U213='Adjustment factors'!$R$28)),"Invalid combination of adjustment factors",IF(AND(T213=U213,NOT(ISBLANK(T213)),NOT(ISBLANK(U213))),"Same colour factor selected twice","OK"))</f>
        <v>OK</v>
      </c>
      <c r="DI213" s="313" t="str">
        <f t="shared" si="218"/>
        <v>OK</v>
      </c>
      <c r="DJ213" s="153" t="str">
        <f t="shared" si="241"/>
        <v>OK</v>
      </c>
      <c r="DK213" s="153" t="str">
        <f t="shared" si="219"/>
        <v>OK</v>
      </c>
      <c r="DL213" s="313" t="str">
        <f t="shared" si="220"/>
        <v>OK</v>
      </c>
      <c r="DM213" s="153" t="str">
        <f t="shared" si="221"/>
        <v>OK</v>
      </c>
      <c r="DN213" s="153" t="str">
        <f t="shared" si="242"/>
        <v>OK</v>
      </c>
      <c r="DO213" s="154" t="str">
        <f t="shared" si="243"/>
        <v>OK</v>
      </c>
      <c r="DP213" s="153" t="str">
        <f t="shared" si="222"/>
        <v>OK</v>
      </c>
      <c r="DQ213" s="313" t="str">
        <f t="shared" si="223"/>
        <v>OK</v>
      </c>
      <c r="DR213" s="153" t="str">
        <f t="shared" si="244"/>
        <v>OK</v>
      </c>
      <c r="DS213" s="153" t="str">
        <f t="shared" si="224"/>
        <v>OK</v>
      </c>
      <c r="DT213" s="313" t="str">
        <f t="shared" si="258"/>
        <v>OK</v>
      </c>
      <c r="DU213" s="153" t="str">
        <f t="shared" si="225"/>
        <v>OK</v>
      </c>
      <c r="DV213" s="153" t="str">
        <f t="shared" si="245"/>
        <v>OK</v>
      </c>
      <c r="DW213" s="154" t="str">
        <f t="shared" si="246"/>
        <v>OK</v>
      </c>
      <c r="DX213" s="157">
        <f t="shared" si="247"/>
        <v>0</v>
      </c>
      <c r="DY213" s="156" t="str">
        <f t="shared" si="248"/>
        <v>OK</v>
      </c>
    </row>
    <row r="214" spans="1:129" ht="13" hidden="1" x14ac:dyDescent="0.3">
      <c r="A214" s="333"/>
      <c r="B214" s="333"/>
      <c r="C214" s="332" t="str">
        <f t="shared" si="257"/>
        <v>-</v>
      </c>
      <c r="D214" s="584">
        <f t="shared" si="253"/>
        <v>191</v>
      </c>
      <c r="E214" s="585"/>
      <c r="F214" s="586"/>
      <c r="G214" s="600"/>
      <c r="H214" s="587"/>
      <c r="I214" s="601"/>
      <c r="J214" s="585"/>
      <c r="K214" s="617"/>
      <c r="L214" s="602"/>
      <c r="M214" s="603"/>
      <c r="N214" s="588"/>
      <c r="O214" s="604"/>
      <c r="P214" s="605"/>
      <c r="Q214" s="588"/>
      <c r="R214" s="604"/>
      <c r="S214" s="605"/>
      <c r="T214" s="606"/>
      <c r="U214" s="606"/>
      <c r="V214" s="429" t="str">
        <f t="shared" si="255"/>
        <v/>
      </c>
      <c r="W214" s="430" t="str">
        <f t="shared" si="252"/>
        <v/>
      </c>
      <c r="X214" s="66" t="str">
        <f>IF(AND(ISNUMBER(P214),N214=FixedDim),MAX('Adjustment factors'!$S$16,0.2+0.8*P214),IF(ISTEXT(N214),VLOOKUP(N214,Afactors,2,TRUE),""))</f>
        <v/>
      </c>
      <c r="Y214" s="17" t="str">
        <f>IF(AND(ISNUMBER(S214),Q214=FixedDim),MAX('Adjustment factors'!$S$16,0.2+0.8*S214),IF(ISTEXT(Q214),VLOOKUP(Q214,Afactors,2,TRUE),""))</f>
        <v/>
      </c>
      <c r="Z214" s="297" t="str">
        <f>IF(ISBLANK(T214),"",VLOOKUP(T214,'Adjustment factors'!$R$27:$S$30,2,TRUE))</f>
        <v/>
      </c>
      <c r="AA214" s="297" t="str">
        <f>IF(ISBLANK(U214),"",VLOOKUP(U214,'Adjustment factors'!$R$27:$S$30,2,TRUE))</f>
        <v/>
      </c>
      <c r="AB214" s="480">
        <f t="shared" si="226"/>
        <v>1</v>
      </c>
      <c r="AC214" s="18" t="b">
        <f t="shared" si="183"/>
        <v>0</v>
      </c>
      <c r="AD214" s="18" t="b">
        <f t="shared" si="184"/>
        <v>0</v>
      </c>
      <c r="AE214" s="18" t="b">
        <f t="shared" si="249"/>
        <v>0</v>
      </c>
      <c r="AF214" s="17" t="str">
        <f t="shared" si="185"/>
        <v/>
      </c>
      <c r="AG214" s="18" t="str">
        <f t="shared" si="186"/>
        <v/>
      </c>
      <c r="AH214" s="17" t="str">
        <f t="shared" si="250"/>
        <v/>
      </c>
      <c r="AI214" s="297" t="e">
        <f t="shared" si="227"/>
        <v>#VALUE!</v>
      </c>
      <c r="AJ214" s="79" t="e">
        <f t="shared" si="187"/>
        <v>#VALUE!</v>
      </c>
      <c r="AK214" s="17" t="str">
        <f t="shared" si="251"/>
        <v/>
      </c>
      <c r="AL214" s="80" t="e">
        <f t="shared" si="188"/>
        <v>#VALUE!</v>
      </c>
      <c r="AM214" s="139" t="b">
        <f t="shared" si="189"/>
        <v>1</v>
      </c>
      <c r="AN214" s="139" t="b">
        <f>AND(COUNTA(E214)&gt;0,ISNUMBER(F214),OR(COUNT(G214:H214)=0,COUNT(G214:H214)=2,AND(ISNUMBER(G214),ISNUMBER(VALUE(LEFT(H214,SUM(LEN(H214)-LEN(SUBSTITUTE(H214,{"0","1","2","3","4","5","6","7","8","9","."},"")))))))),ISNUMBER(I214),ISTEXT(J214))</f>
        <v>0</v>
      </c>
      <c r="AO214" s="19" t="b">
        <f t="shared" si="190"/>
        <v>0</v>
      </c>
      <c r="AP214" s="19" t="b">
        <f t="shared" si="191"/>
        <v>1</v>
      </c>
      <c r="AQ214" s="19" t="b">
        <f>IF(AND(COUNTBLANK(E214:J214)=6,OR(AN215:AN$523)),NOT(AN214))</f>
        <v>0</v>
      </c>
      <c r="AR214" s="19" t="str">
        <f t="shared" si="192"/>
        <v/>
      </c>
      <c r="AS214" s="19" t="b">
        <f t="shared" si="193"/>
        <v>1</v>
      </c>
      <c r="AT214" s="19" t="str">
        <f t="shared" si="194"/>
        <v/>
      </c>
      <c r="AU214" s="19" t="b">
        <f t="shared" si="195"/>
        <v>1</v>
      </c>
      <c r="AV214" s="140" t="str">
        <f t="shared" si="233"/>
        <v/>
      </c>
      <c r="AW214" s="19" t="str">
        <f t="shared" si="196"/>
        <v/>
      </c>
      <c r="AX214" s="81">
        <f t="shared" si="197"/>
        <v>0</v>
      </c>
      <c r="AY214" s="81" t="str">
        <f t="shared" si="198"/>
        <v/>
      </c>
      <c r="AZ214" s="307" t="str">
        <f t="shared" si="228"/>
        <v/>
      </c>
      <c r="BA214" s="281" t="str">
        <f t="shared" si="234"/>
        <v/>
      </c>
      <c r="BB214" s="281" t="str">
        <f t="shared" si="235"/>
        <v/>
      </c>
      <c r="BC214" s="953"/>
      <c r="BD214" s="955"/>
      <c r="BE214" s="219" t="str">
        <f t="shared" si="199"/>
        <v>n/a</v>
      </c>
      <c r="BF214" s="215" t="b">
        <f t="shared" si="200"/>
        <v>0</v>
      </c>
      <c r="BG214" s="145" t="b">
        <f t="shared" si="201"/>
        <v>0</v>
      </c>
      <c r="BH214" s="145" t="b">
        <f t="shared" si="202"/>
        <v>0</v>
      </c>
      <c r="BI214" s="216" t="b">
        <f t="shared" si="203"/>
        <v>0</v>
      </c>
      <c r="BJ214" s="215" t="b">
        <f t="shared" si="204"/>
        <v>0</v>
      </c>
      <c r="BK214" s="145" t="b">
        <f t="shared" si="205"/>
        <v>0</v>
      </c>
      <c r="BL214" s="216" t="b">
        <f t="shared" si="206"/>
        <v>0</v>
      </c>
      <c r="BM214" s="217" t="str">
        <f t="shared" si="236"/>
        <v/>
      </c>
      <c r="BN214" s="146" t="str">
        <f t="shared" si="237"/>
        <v/>
      </c>
      <c r="BO214" s="147" t="str">
        <f t="shared" si="238"/>
        <v/>
      </c>
      <c r="BP214" s="148" t="str">
        <f t="shared" si="239"/>
        <v/>
      </c>
      <c r="BT214" s="50">
        <f t="shared" si="254"/>
        <v>191</v>
      </c>
      <c r="BU214" s="50" t="str">
        <f t="shared" si="256"/>
        <v>-</v>
      </c>
      <c r="BW214" s="340"/>
      <c r="BX214" s="333"/>
      <c r="BY214" s="333"/>
      <c r="BZ214" s="333"/>
      <c r="CA214" s="333"/>
      <c r="CB214" s="333"/>
      <c r="CC214" s="333"/>
      <c r="CD214" s="333"/>
      <c r="CE214" s="333"/>
      <c r="CF214" s="333"/>
      <c r="CG214" s="354">
        <f t="shared" si="207"/>
        <v>191</v>
      </c>
      <c r="CH214" s="613">
        <f t="shared" si="208"/>
        <v>0</v>
      </c>
      <c r="CI214" s="613">
        <f t="shared" si="209"/>
        <v>0</v>
      </c>
      <c r="CJ214" s="614" t="str">
        <f t="shared" si="210"/>
        <v/>
      </c>
      <c r="CK214" s="615" t="str">
        <f t="shared" si="211"/>
        <v/>
      </c>
      <c r="CL214" s="610" t="str">
        <f>IF(ISBLANK(H214),"",IF(AND(ISNUMBER(F214),ISNUMBER(G214),ISNUMBER(H214)),ROUND(F214/(H214*G214),2),ROUND(F214/(VALUE(LEFT(H214,SUM(LEN(H214)-LEN(SUBSTITUTE(H214,{"0","1","2","3","4","5","6","7","8","9","."},"")))))*G214),2)))</f>
        <v/>
      </c>
      <c r="CM214" s="616" t="str">
        <f t="shared" si="240"/>
        <v/>
      </c>
      <c r="CN214" s="616" t="str">
        <f>IF(ISNUMBER(P214),MAX('Adjustment factors'!$S$16,(0.2+0.8*P214)),IF(ISTEXT(N214),VLOOKUP(N214,Afactors,2,FALSE),""))</f>
        <v/>
      </c>
      <c r="CO214" s="616" t="str">
        <f>IF(ISNUMBER(S214),MAX('Adjustment factors'!$S$16,0.2+0.8*S214),IF(ISTEXT(Q214),VLOOKUP(Q214,Afactors,2,FALSE),""))</f>
        <v/>
      </c>
      <c r="CP214" s="611" t="str">
        <f t="shared" si="229"/>
        <v/>
      </c>
      <c r="CQ214" s="612" t="str">
        <f t="shared" si="230"/>
        <v/>
      </c>
      <c r="CR214" s="340"/>
      <c r="CS214" s="340"/>
      <c r="CT214" s="340"/>
      <c r="CU214" s="340"/>
      <c r="CV214" s="333"/>
      <c r="CW214" s="333"/>
      <c r="CX214" s="333"/>
      <c r="CY214" s="333"/>
      <c r="DA214" s="313" t="str">
        <f t="shared" si="212"/>
        <v>OK</v>
      </c>
      <c r="DB214" s="313" t="str">
        <f t="shared" si="213"/>
        <v>OK</v>
      </c>
      <c r="DC214" s="313" t="str">
        <f t="shared" si="214"/>
        <v>OK</v>
      </c>
      <c r="DD214" s="313" t="str">
        <f t="shared" si="215"/>
        <v>OK</v>
      </c>
      <c r="DE214" s="153" t="str">
        <f t="shared" si="216"/>
        <v>OK</v>
      </c>
      <c r="DF214" s="314" t="str">
        <f t="shared" si="217"/>
        <v>OK</v>
      </c>
      <c r="DG214" s="482" t="str">
        <f t="shared" si="231"/>
        <v>OK</v>
      </c>
      <c r="DH214" s="482" t="str">
        <f>IF(OR(AND(T214='Adjustment factors'!$R$28,'Class 3, 5-9'!U214='Adjustment factors'!$R$29),AND('Class 3, 5-9'!T214='Adjustment factors'!$R$29,'Class 3, 5-9'!U214='Adjustment factors'!$R$28)),"Invalid combination of adjustment factors",IF(AND(T214=U214,NOT(ISBLANK(T214)),NOT(ISBLANK(U214))),"Same colour factor selected twice","OK"))</f>
        <v>OK</v>
      </c>
      <c r="DI214" s="313" t="str">
        <f t="shared" si="218"/>
        <v>OK</v>
      </c>
      <c r="DJ214" s="153" t="str">
        <f t="shared" si="241"/>
        <v>OK</v>
      </c>
      <c r="DK214" s="153" t="str">
        <f t="shared" si="219"/>
        <v>OK</v>
      </c>
      <c r="DL214" s="313" t="str">
        <f t="shared" si="220"/>
        <v>OK</v>
      </c>
      <c r="DM214" s="153" t="str">
        <f t="shared" si="221"/>
        <v>OK</v>
      </c>
      <c r="DN214" s="153" t="str">
        <f t="shared" si="242"/>
        <v>OK</v>
      </c>
      <c r="DO214" s="154" t="str">
        <f t="shared" si="243"/>
        <v>OK</v>
      </c>
      <c r="DP214" s="153" t="str">
        <f t="shared" si="222"/>
        <v>OK</v>
      </c>
      <c r="DQ214" s="313" t="str">
        <f t="shared" si="223"/>
        <v>OK</v>
      </c>
      <c r="DR214" s="153" t="str">
        <f t="shared" si="244"/>
        <v>OK</v>
      </c>
      <c r="DS214" s="153" t="str">
        <f t="shared" si="224"/>
        <v>OK</v>
      </c>
      <c r="DT214" s="313" t="str">
        <f t="shared" si="258"/>
        <v>OK</v>
      </c>
      <c r="DU214" s="153" t="str">
        <f t="shared" si="225"/>
        <v>OK</v>
      </c>
      <c r="DV214" s="153" t="str">
        <f t="shared" si="245"/>
        <v>OK</v>
      </c>
      <c r="DW214" s="154" t="str">
        <f t="shared" si="246"/>
        <v>OK</v>
      </c>
      <c r="DX214" s="157">
        <f t="shared" si="247"/>
        <v>0</v>
      </c>
      <c r="DY214" s="156" t="str">
        <f t="shared" si="248"/>
        <v>OK</v>
      </c>
    </row>
    <row r="215" spans="1:129" ht="13" hidden="1" x14ac:dyDescent="0.3">
      <c r="A215" s="333"/>
      <c r="B215" s="333"/>
      <c r="C215" s="332" t="str">
        <f t="shared" si="257"/>
        <v>-</v>
      </c>
      <c r="D215" s="584">
        <f t="shared" si="253"/>
        <v>192</v>
      </c>
      <c r="E215" s="585"/>
      <c r="F215" s="586"/>
      <c r="G215" s="600"/>
      <c r="H215" s="587"/>
      <c r="I215" s="601"/>
      <c r="J215" s="585"/>
      <c r="K215" s="617"/>
      <c r="L215" s="602"/>
      <c r="M215" s="603"/>
      <c r="N215" s="588"/>
      <c r="O215" s="604"/>
      <c r="P215" s="605"/>
      <c r="Q215" s="588"/>
      <c r="R215" s="604"/>
      <c r="S215" s="605"/>
      <c r="T215" s="606"/>
      <c r="U215" s="606"/>
      <c r="V215" s="429" t="str">
        <f t="shared" si="255"/>
        <v/>
      </c>
      <c r="W215" s="430" t="str">
        <f t="shared" si="252"/>
        <v/>
      </c>
      <c r="X215" s="66" t="str">
        <f>IF(AND(ISNUMBER(P215),N215=FixedDim),MAX('Adjustment factors'!$S$16,0.2+0.8*P215),IF(ISTEXT(N215),VLOOKUP(N215,Afactors,2,TRUE),""))</f>
        <v/>
      </c>
      <c r="Y215" s="17" t="str">
        <f>IF(AND(ISNUMBER(S215),Q215=FixedDim),MAX('Adjustment factors'!$S$16,0.2+0.8*S215),IF(ISTEXT(Q215),VLOOKUP(Q215,Afactors,2,TRUE),""))</f>
        <v/>
      </c>
      <c r="Z215" s="297" t="str">
        <f>IF(ISBLANK(T215),"",VLOOKUP(T215,'Adjustment factors'!$R$27:$S$30,2,TRUE))</f>
        <v/>
      </c>
      <c r="AA215" s="297" t="str">
        <f>IF(ISBLANK(U215),"",VLOOKUP(U215,'Adjustment factors'!$R$27:$S$30,2,TRUE))</f>
        <v/>
      </c>
      <c r="AB215" s="480">
        <f t="shared" si="226"/>
        <v>1</v>
      </c>
      <c r="AC215" s="18" t="b">
        <f t="shared" si="183"/>
        <v>0</v>
      </c>
      <c r="AD215" s="18" t="b">
        <f t="shared" si="184"/>
        <v>0</v>
      </c>
      <c r="AE215" s="18" t="b">
        <f t="shared" si="249"/>
        <v>0</v>
      </c>
      <c r="AF215" s="17" t="str">
        <f t="shared" si="185"/>
        <v/>
      </c>
      <c r="AG215" s="18" t="str">
        <f t="shared" si="186"/>
        <v/>
      </c>
      <c r="AH215" s="17" t="str">
        <f t="shared" si="250"/>
        <v/>
      </c>
      <c r="AI215" s="297" t="e">
        <f t="shared" si="227"/>
        <v>#VALUE!</v>
      </c>
      <c r="AJ215" s="79" t="e">
        <f t="shared" si="187"/>
        <v>#VALUE!</v>
      </c>
      <c r="AK215" s="17" t="str">
        <f t="shared" si="251"/>
        <v/>
      </c>
      <c r="AL215" s="80" t="e">
        <f t="shared" si="188"/>
        <v>#VALUE!</v>
      </c>
      <c r="AM215" s="139" t="b">
        <f t="shared" si="189"/>
        <v>1</v>
      </c>
      <c r="AN215" s="139" t="b">
        <f>AND(COUNTA(E215)&gt;0,ISNUMBER(F215),OR(COUNT(G215:H215)=0,COUNT(G215:H215)=2,AND(ISNUMBER(G215),ISNUMBER(VALUE(LEFT(H215,SUM(LEN(H215)-LEN(SUBSTITUTE(H215,{"0","1","2","3","4","5","6","7","8","9","."},"")))))))),ISNUMBER(I215),ISTEXT(J215))</f>
        <v>0</v>
      </c>
      <c r="AO215" s="19" t="b">
        <f t="shared" si="190"/>
        <v>0</v>
      </c>
      <c r="AP215" s="19" t="b">
        <f t="shared" si="191"/>
        <v>1</v>
      </c>
      <c r="AQ215" s="19" t="b">
        <f>IF(AND(COUNTBLANK(E215:J215)=6,OR(AN216:AN$523)),NOT(AN215))</f>
        <v>0</v>
      </c>
      <c r="AR215" s="19" t="str">
        <f t="shared" si="192"/>
        <v/>
      </c>
      <c r="AS215" s="19" t="b">
        <f t="shared" si="193"/>
        <v>1</v>
      </c>
      <c r="AT215" s="19" t="str">
        <f t="shared" si="194"/>
        <v/>
      </c>
      <c r="AU215" s="19" t="b">
        <f t="shared" si="195"/>
        <v>1</v>
      </c>
      <c r="AV215" s="140" t="str">
        <f t="shared" si="233"/>
        <v/>
      </c>
      <c r="AW215" s="19" t="str">
        <f t="shared" si="196"/>
        <v/>
      </c>
      <c r="AX215" s="81">
        <f t="shared" si="197"/>
        <v>0</v>
      </c>
      <c r="AY215" s="81" t="str">
        <f t="shared" si="198"/>
        <v/>
      </c>
      <c r="AZ215" s="307" t="str">
        <f t="shared" si="228"/>
        <v/>
      </c>
      <c r="BA215" s="281" t="str">
        <f t="shared" si="234"/>
        <v/>
      </c>
      <c r="BB215" s="281" t="str">
        <f t="shared" si="235"/>
        <v/>
      </c>
      <c r="BC215" s="953"/>
      <c r="BD215" s="955"/>
      <c r="BE215" s="219" t="str">
        <f t="shared" si="199"/>
        <v>n/a</v>
      </c>
      <c r="BF215" s="215" t="b">
        <f t="shared" si="200"/>
        <v>0</v>
      </c>
      <c r="BG215" s="145" t="b">
        <f t="shared" si="201"/>
        <v>0</v>
      </c>
      <c r="BH215" s="145" t="b">
        <f t="shared" si="202"/>
        <v>0</v>
      </c>
      <c r="BI215" s="216" t="b">
        <f t="shared" si="203"/>
        <v>0</v>
      </c>
      <c r="BJ215" s="215" t="b">
        <f t="shared" si="204"/>
        <v>0</v>
      </c>
      <c r="BK215" s="145" t="b">
        <f t="shared" si="205"/>
        <v>0</v>
      </c>
      <c r="BL215" s="216" t="b">
        <f t="shared" si="206"/>
        <v>0</v>
      </c>
      <c r="BM215" s="217" t="str">
        <f t="shared" si="236"/>
        <v/>
      </c>
      <c r="BN215" s="146" t="str">
        <f t="shared" si="237"/>
        <v/>
      </c>
      <c r="BO215" s="147" t="str">
        <f t="shared" si="238"/>
        <v/>
      </c>
      <c r="BP215" s="148" t="str">
        <f t="shared" si="239"/>
        <v/>
      </c>
      <c r="BT215" s="50">
        <f t="shared" si="254"/>
        <v>192</v>
      </c>
      <c r="BU215" s="50" t="str">
        <f t="shared" si="256"/>
        <v>-</v>
      </c>
      <c r="BW215" s="340"/>
      <c r="BX215" s="333"/>
      <c r="BY215" s="333"/>
      <c r="BZ215" s="333"/>
      <c r="CA215" s="333"/>
      <c r="CB215" s="333"/>
      <c r="CC215" s="333"/>
      <c r="CD215" s="333"/>
      <c r="CE215" s="333"/>
      <c r="CF215" s="333"/>
      <c r="CG215" s="354">
        <f t="shared" si="207"/>
        <v>192</v>
      </c>
      <c r="CH215" s="613">
        <f t="shared" si="208"/>
        <v>0</v>
      </c>
      <c r="CI215" s="613">
        <f t="shared" si="209"/>
        <v>0</v>
      </c>
      <c r="CJ215" s="614" t="str">
        <f t="shared" si="210"/>
        <v/>
      </c>
      <c r="CK215" s="615" t="str">
        <f t="shared" si="211"/>
        <v/>
      </c>
      <c r="CL215" s="610" t="str">
        <f>IF(ISBLANK(H215),"",IF(AND(ISNUMBER(F215),ISNUMBER(G215),ISNUMBER(H215)),ROUND(F215/(H215*G215),2),ROUND(F215/(VALUE(LEFT(H215,SUM(LEN(H215)-LEN(SUBSTITUTE(H215,{"0","1","2","3","4","5","6","7","8","9","."},"")))))*G215),2)))</f>
        <v/>
      </c>
      <c r="CM215" s="616" t="str">
        <f t="shared" si="240"/>
        <v/>
      </c>
      <c r="CN215" s="616" t="str">
        <f>IF(ISNUMBER(P215),MAX('Adjustment factors'!$S$16,(0.2+0.8*P215)),IF(ISTEXT(N215),VLOOKUP(N215,Afactors,2,FALSE),""))</f>
        <v/>
      </c>
      <c r="CO215" s="616" t="str">
        <f>IF(ISNUMBER(S215),MAX('Adjustment factors'!$S$16,0.2+0.8*S215),IF(ISTEXT(Q215),VLOOKUP(Q215,Afactors,2,FALSE),""))</f>
        <v/>
      </c>
      <c r="CP215" s="611" t="str">
        <f t="shared" si="229"/>
        <v/>
      </c>
      <c r="CQ215" s="612" t="str">
        <f t="shared" si="230"/>
        <v/>
      </c>
      <c r="CR215" s="340"/>
      <c r="CS215" s="340"/>
      <c r="CT215" s="340"/>
      <c r="CU215" s="340"/>
      <c r="CV215" s="333"/>
      <c r="CW215" s="333"/>
      <c r="CX215" s="333"/>
      <c r="CY215" s="333"/>
      <c r="DA215" s="313" t="str">
        <f t="shared" si="212"/>
        <v>OK</v>
      </c>
      <c r="DB215" s="313" t="str">
        <f t="shared" si="213"/>
        <v>OK</v>
      </c>
      <c r="DC215" s="313" t="str">
        <f t="shared" si="214"/>
        <v>OK</v>
      </c>
      <c r="DD215" s="313" t="str">
        <f t="shared" si="215"/>
        <v>OK</v>
      </c>
      <c r="DE215" s="153" t="str">
        <f t="shared" si="216"/>
        <v>OK</v>
      </c>
      <c r="DF215" s="314" t="str">
        <f t="shared" si="217"/>
        <v>OK</v>
      </c>
      <c r="DG215" s="482" t="str">
        <f t="shared" si="231"/>
        <v>OK</v>
      </c>
      <c r="DH215" s="482" t="str">
        <f>IF(OR(AND(T215='Adjustment factors'!$R$28,'Class 3, 5-9'!U215='Adjustment factors'!$R$29),AND('Class 3, 5-9'!T215='Adjustment factors'!$R$29,'Class 3, 5-9'!U215='Adjustment factors'!$R$28)),"Invalid combination of adjustment factors",IF(AND(T215=U215,NOT(ISBLANK(T215)),NOT(ISBLANK(U215))),"Same colour factor selected twice","OK"))</f>
        <v>OK</v>
      </c>
      <c r="DI215" s="313" t="str">
        <f t="shared" si="218"/>
        <v>OK</v>
      </c>
      <c r="DJ215" s="153" t="str">
        <f t="shared" si="241"/>
        <v>OK</v>
      </c>
      <c r="DK215" s="153" t="str">
        <f t="shared" si="219"/>
        <v>OK</v>
      </c>
      <c r="DL215" s="313" t="str">
        <f t="shared" si="220"/>
        <v>OK</v>
      </c>
      <c r="DM215" s="153" t="str">
        <f t="shared" si="221"/>
        <v>OK</v>
      </c>
      <c r="DN215" s="153" t="str">
        <f t="shared" si="242"/>
        <v>OK</v>
      </c>
      <c r="DO215" s="154" t="str">
        <f t="shared" si="243"/>
        <v>OK</v>
      </c>
      <c r="DP215" s="153" t="str">
        <f t="shared" si="222"/>
        <v>OK</v>
      </c>
      <c r="DQ215" s="313" t="str">
        <f t="shared" si="223"/>
        <v>OK</v>
      </c>
      <c r="DR215" s="153" t="str">
        <f t="shared" si="244"/>
        <v>OK</v>
      </c>
      <c r="DS215" s="153" t="str">
        <f t="shared" si="224"/>
        <v>OK</v>
      </c>
      <c r="DT215" s="313" t="str">
        <f t="shared" si="258"/>
        <v>OK</v>
      </c>
      <c r="DU215" s="153" t="str">
        <f t="shared" si="225"/>
        <v>OK</v>
      </c>
      <c r="DV215" s="153" t="str">
        <f t="shared" si="245"/>
        <v>OK</v>
      </c>
      <c r="DW215" s="154" t="str">
        <f t="shared" si="246"/>
        <v>OK</v>
      </c>
      <c r="DX215" s="157">
        <f t="shared" si="247"/>
        <v>0</v>
      </c>
      <c r="DY215" s="156" t="str">
        <f t="shared" si="248"/>
        <v>OK</v>
      </c>
    </row>
    <row r="216" spans="1:129" ht="13" hidden="1" x14ac:dyDescent="0.3">
      <c r="A216" s="333"/>
      <c r="B216" s="333"/>
      <c r="C216" s="332" t="str">
        <f t="shared" si="257"/>
        <v>-</v>
      </c>
      <c r="D216" s="584">
        <f t="shared" si="253"/>
        <v>193</v>
      </c>
      <c r="E216" s="585"/>
      <c r="F216" s="586"/>
      <c r="G216" s="600"/>
      <c r="H216" s="587"/>
      <c r="I216" s="601"/>
      <c r="J216" s="585"/>
      <c r="K216" s="617"/>
      <c r="L216" s="602"/>
      <c r="M216" s="603"/>
      <c r="N216" s="588"/>
      <c r="O216" s="604"/>
      <c r="P216" s="605"/>
      <c r="Q216" s="588"/>
      <c r="R216" s="604"/>
      <c r="S216" s="605"/>
      <c r="T216" s="606"/>
      <c r="U216" s="606"/>
      <c r="V216" s="429" t="str">
        <f t="shared" si="255"/>
        <v/>
      </c>
      <c r="W216" s="430" t="str">
        <f t="shared" si="252"/>
        <v/>
      </c>
      <c r="X216" s="66" t="str">
        <f>IF(AND(ISNUMBER(P216),N216=FixedDim),MAX('Adjustment factors'!$S$16,0.2+0.8*P216),IF(ISTEXT(N216),VLOOKUP(N216,Afactors,2,TRUE),""))</f>
        <v/>
      </c>
      <c r="Y216" s="17" t="str">
        <f>IF(AND(ISNUMBER(S216),Q216=FixedDim),MAX('Adjustment factors'!$S$16,0.2+0.8*S216),IF(ISTEXT(Q216),VLOOKUP(Q216,Afactors,2,TRUE),""))</f>
        <v/>
      </c>
      <c r="Z216" s="297" t="str">
        <f>IF(ISBLANK(T216),"",VLOOKUP(T216,'Adjustment factors'!$R$27:$S$30,2,TRUE))</f>
        <v/>
      </c>
      <c r="AA216" s="297" t="str">
        <f>IF(ISBLANK(U216),"",VLOOKUP(U216,'Adjustment factors'!$R$27:$S$30,2,TRUE))</f>
        <v/>
      </c>
      <c r="AB216" s="480">
        <f t="shared" si="226"/>
        <v>1</v>
      </c>
      <c r="AC216" s="18" t="b">
        <f t="shared" ref="AC216:AC279" si="259">OR(ISNUMBER(X216),ISNUMBER(Y216))</f>
        <v>0</v>
      </c>
      <c r="AD216" s="18" t="b">
        <f t="shared" ref="AD216:AD279" si="260">AND(ISNUMBER(X216),ISNUMBER(Y216))</f>
        <v>0</v>
      </c>
      <c r="AE216" s="18" t="b">
        <f t="shared" si="249"/>
        <v>0</v>
      </c>
      <c r="AF216" s="17" t="str">
        <f t="shared" ref="AF216:AF279" si="261">IF(OR(ISNUMBER(X216),ISNUMBER(Y216)),SMALL(X216:Y216,1),"")</f>
        <v/>
      </c>
      <c r="AG216" s="18" t="str">
        <f t="shared" ref="AG216:AG279" si="262">IF(AD216,SMALL(X216:Y216,2),"")</f>
        <v/>
      </c>
      <c r="AH216" s="17" t="str">
        <f t="shared" si="250"/>
        <v/>
      </c>
      <c r="AI216" s="297" t="e">
        <f t="shared" si="227"/>
        <v>#VALUE!</v>
      </c>
      <c r="AJ216" s="79" t="e">
        <f t="shared" ref="AJ216:AJ279" si="263">IF(AND(AC216,AE216,AR216),AI216/X216,IF(AE216,AI216,IF(AND(AC216,AR216),AI216/X216,IF(AND(NOT(AC216),NOT(AE216)),CK216/AB216,""))))</f>
        <v>#VALUE!</v>
      </c>
      <c r="AK216" s="17" t="str">
        <f t="shared" si="251"/>
        <v/>
      </c>
      <c r="AL216" s="80" t="e">
        <f t="shared" ref="AL216:AL279" si="264">IF(AND(AD216,AE216),IF(Q216=FixedDim,IF(ISNUMBER(S216),AI216/AK216,""),AI216/AK216),IF(AND(AD216,Q216=FixedDim,ISNUMBER(S216)),CK216/AK216,IF(AND(AD216,Q216=FixedDim,ISBLANK(S216)),"",CK216/(AK216*AB216))))</f>
        <v>#VALUE!</v>
      </c>
      <c r="AM216" s="139" t="b">
        <f t="shared" ref="AM216:AM279" si="265">OR(AND(NOT(ISBLANK(E216)),AN216),COUNTA(E216:J216)+COUNTA(N216:S216)=0)</f>
        <v>1</v>
      </c>
      <c r="AN216" s="139" t="b">
        <f>AND(COUNTA(E216)&gt;0,ISNUMBER(F216),OR(COUNT(G216:H216)=0,COUNT(G216:H216)=2,AND(ISNUMBER(G216),ISNUMBER(VALUE(LEFT(H216,SUM(LEN(H216)-LEN(SUBSTITUTE(H216,{"0","1","2","3","4","5","6","7","8","9","."},"")))))))),ISNUMBER(I216),ISTEXT(J216))</f>
        <v>0</v>
      </c>
      <c r="AO216" s="19" t="b">
        <f t="shared" ref="AO216:AO279" si="266">NOT(COUNTBLANK(E216:J216)=6)</f>
        <v>0</v>
      </c>
      <c r="AP216" s="19" t="b">
        <f t="shared" ref="AP216:AP279" si="267">COUNTBLANK(E216:J216)=6</f>
        <v>1</v>
      </c>
      <c r="AQ216" s="19" t="b">
        <f>IF(AND(COUNTBLANK(E216:J216)=6,OR(AN217:AN$523)),NOT(AN216))</f>
        <v>0</v>
      </c>
      <c r="AR216" s="19" t="str">
        <f t="shared" ref="AR216:AR279" si="268">IF(COUNTBLANK(N216)&lt;=0,OR(AND(VLOOKUP(N216,Afactors,3,TRUE),NOT(ISNUMBER(O216)),NOT(ISNUMBER(P216))),AND(N216=FixedDim,NOT(ISNUMBER(O216)),(ISNUMBER(P216))),AND(N216=ProgDim,NOT(ISNUMBER(P216)),(ISNUMBER(O216)),O216&gt;=0.75)),IF(AS216,"",FALSE))</f>
        <v/>
      </c>
      <c r="AS216" s="19" t="b">
        <f t="shared" ref="AS216:AS279" si="269">AND(ISBLANK(O216),ISBLANK(P216))</f>
        <v>1</v>
      </c>
      <c r="AT216" s="19" t="str">
        <f t="shared" ref="AT216:AT279" si="270">IF(COUNTBLANK(Q216)&lt;=0,OR(AND(VLOOKUP(Q216,Afactors,3,TRUE),NOT(ISNUMBER(R216)),NOT(ISNUMBER(S216))),AND(Q216=FixedDim,NOT(ISNUMBER(R216)),(ISNUMBER(S216))),AND(Q216=ProgDim,NOT(ISNUMBER(S216)),(ISNUMBER(R216)),R216&gt;=0.75)),IF(AU216,"",FALSE))</f>
        <v/>
      </c>
      <c r="AU216" s="19" t="b">
        <f t="shared" ref="AU216:AU279" si="271">AND(ISBLANK(R216),ISBLANK(S216))</f>
        <v>1</v>
      </c>
      <c r="AV216" s="140" t="str">
        <f t="shared" si="233"/>
        <v/>
      </c>
      <c r="AW216" s="19" t="str">
        <f t="shared" ref="AW216:AW279" si="272">IF(AND(AM216,AN216,AR216,AT216),BP216,"")</f>
        <v/>
      </c>
      <c r="AX216" s="81">
        <f t="shared" ref="AX216:AX279" si="273">I216</f>
        <v>0</v>
      </c>
      <c r="AY216" s="81" t="str">
        <f t="shared" ref="AY216:AY279" si="274">V216</f>
        <v/>
      </c>
      <c r="AZ216" s="307" t="str">
        <f t="shared" si="228"/>
        <v/>
      </c>
      <c r="BA216" s="281" t="str">
        <f t="shared" si="234"/>
        <v/>
      </c>
      <c r="BB216" s="281" t="str">
        <f t="shared" si="235"/>
        <v/>
      </c>
      <c r="BC216" s="953"/>
      <c r="BD216" s="955"/>
      <c r="BE216" s="219" t="str">
        <f t="shared" ref="BE216:BE279" si="275">IF(G216=0,"n/a",G216&gt;=2*PI()*(F216/PI())^0.5)</f>
        <v>n/a</v>
      </c>
      <c r="BF216" s="215" t="b">
        <f t="shared" ref="BF216:BF279" si="276">AND(AM216,AN216,I216&gt;CQ216,Passcheck,InputIssuesOne=0,TopInputsOKOne)</f>
        <v>0</v>
      </c>
      <c r="BG216" s="145" t="b">
        <f t="shared" ref="BG216:BG279" si="277">AND(AM216,AN216,AR216,AT216,I216&lt;=CQ216,Passcheck,InputIssuesOne=0,TopInputsOKOne)</f>
        <v>0</v>
      </c>
      <c r="BH216" s="145" t="b">
        <f t="shared" ref="BH216:BH279" si="278">AND(AM216,AN216,AR216,AT216,I216&gt;CQ216,FailCheck,InputIssuesOne=0,TopInputsOKOne)</f>
        <v>0</v>
      </c>
      <c r="BI216" s="216" t="b">
        <f t="shared" ref="BI216:BI279" si="279">AND(AM216,AN216,I216&lt;=CQ216,InputIssuesOne=0,TopInputsOKOne)</f>
        <v>0</v>
      </c>
      <c r="BJ216" s="215" t="b">
        <f t="shared" ref="BJ216:BJ279" si="280">AND(AM216,AN216,AR216,AT216,Passcheck,InputIssuesOne=0,TopInputsOKOne)</f>
        <v>0</v>
      </c>
      <c r="BK216" s="145" t="b">
        <f t="shared" ref="BK216:BK279" si="281">AND(AM216,AN216,AR216,AT216,FailCheck,InputIssuesOne=0,TopInputsOKOne)</f>
        <v>0</v>
      </c>
      <c r="BL216" s="216" t="b">
        <f t="shared" ref="BL216:BL279" si="282">DX216&gt;0</f>
        <v>0</v>
      </c>
      <c r="BM216" s="217" t="str">
        <f t="shared" si="236"/>
        <v/>
      </c>
      <c r="BN216" s="146" t="str">
        <f t="shared" si="237"/>
        <v/>
      </c>
      <c r="BO216" s="147" t="str">
        <f t="shared" si="238"/>
        <v/>
      </c>
      <c r="BP216" s="148" t="str">
        <f t="shared" si="239"/>
        <v/>
      </c>
      <c r="BT216" s="50">
        <f t="shared" si="254"/>
        <v>193</v>
      </c>
      <c r="BU216" s="50" t="str">
        <f t="shared" si="256"/>
        <v>-</v>
      </c>
      <c r="BW216" s="340"/>
      <c r="BX216" s="333"/>
      <c r="BY216" s="333"/>
      <c r="BZ216" s="333"/>
      <c r="CA216" s="333"/>
      <c r="CB216" s="333"/>
      <c r="CC216" s="333"/>
      <c r="CD216" s="333"/>
      <c r="CE216" s="333"/>
      <c r="CF216" s="333"/>
      <c r="CG216" s="354">
        <f t="shared" ref="CG216:CG279" si="283">D216</f>
        <v>193</v>
      </c>
      <c r="CH216" s="613">
        <f t="shared" ref="CH216:CH279" si="284">E216</f>
        <v>0</v>
      </c>
      <c r="CI216" s="613">
        <f t="shared" ref="CI216:CI279" si="285">J216</f>
        <v>0</v>
      </c>
      <c r="CJ216" s="614" t="str">
        <f t="shared" ref="CJ216:CJ279" si="286">IF(ISBLANK(J216),"",VLOOKUP(J216,SpaceS1,5,FALSE))</f>
        <v/>
      </c>
      <c r="CK216" s="615" t="str">
        <f t="shared" ref="CK216:CK279" si="287">IF(ISBLANK(J216),"",ROUND(VLOOKUP(J216,SpaceS1,5,FALSE)*F216,0))</f>
        <v/>
      </c>
      <c r="CL216" s="610" t="str">
        <f>IF(ISBLANK(H216),"",IF(AND(ISNUMBER(F216),ISNUMBER(G216),ISNUMBER(H216)),ROUND(F216/(H216*G216),2),ROUND(F216/(VALUE(LEFT(H216,SUM(LEN(H216)-LEN(SUBSTITUTE(H216,{"0","1","2","3","4","5","6","7","8","9","."},"")))))*G216),2)))</f>
        <v/>
      </c>
      <c r="CM216" s="616" t="str">
        <f t="shared" si="240"/>
        <v/>
      </c>
      <c r="CN216" s="616" t="str">
        <f>IF(ISNUMBER(P216),MAX('Adjustment factors'!$S$16,(0.2+0.8*P216)),IF(ISTEXT(N216),VLOOKUP(N216,Afactors,2,FALSE),""))</f>
        <v/>
      </c>
      <c r="CO216" s="616" t="str">
        <f>IF(ISNUMBER(S216),MAX('Adjustment factors'!$S$16,0.2+0.8*S216),IF(ISTEXT(Q216),VLOOKUP(Q216,Afactors,2,FALSE),""))</f>
        <v/>
      </c>
      <c r="CP216" s="611" t="str">
        <f t="shared" si="229"/>
        <v/>
      </c>
      <c r="CQ216" s="612" t="str">
        <f t="shared" si="230"/>
        <v/>
      </c>
      <c r="CR216" s="340"/>
      <c r="CS216" s="340"/>
      <c r="CT216" s="340"/>
      <c r="CU216" s="340"/>
      <c r="CV216" s="333"/>
      <c r="CW216" s="333"/>
      <c r="CX216" s="333"/>
      <c r="CY216" s="333"/>
      <c r="DA216" s="313" t="str">
        <f t="shared" ref="DA216:DA279" si="288">IF(AND(COUNTA(DescriptionOne,ClassificationOne)=2,ISBLANK(E216),COUNTA(F216:J216)+COUNTA(N216:S216)&gt;0),"Enter Description","OK")</f>
        <v>OK</v>
      </c>
      <c r="DB216" s="313" t="str">
        <f t="shared" ref="DB216:DB279" si="289">IF(AND(COUNTA(DescriptionOne,ClassificationOne)=2,COUNTA(E216:J216)+COUNTA(N216:S216)&gt;0,ISBLANK(F216)),"Enter Floor area of the space","OK")</f>
        <v>OK</v>
      </c>
      <c r="DC216" s="313" t="str">
        <f t="shared" ref="DC216:DC279" si="290">IF(AND(COUNTA(DescriptionOne,ClassificationOne)=2,COUNTA(E216:J216)+COUNTA(N216:S216)&gt;0,ISBLANK(G216),H216&gt;0),"Enter Perimeter or clear height","OK")</f>
        <v>OK</v>
      </c>
      <c r="DD216" s="313" t="str">
        <f t="shared" ref="DD216:DD279" si="291">IF(AND(COUNTA(DescriptionOne,ClassificationOne)=2,COUNTA(E216:J216)+COUNTA(N216:S216)&gt;0,G216&gt;0,ISBLANK(H216)),"Enter Floor to ceiling height","OK")</f>
        <v>OK</v>
      </c>
      <c r="DE216" s="153" t="str">
        <f t="shared" ref="DE216:DE279" si="292">IF(AND(COUNTA(DescriptionOne,ClassificationOne)=2,COUNTA(E216:H216)&gt;1,ISBLANK(I216)),"Enter Design Illumination Power","OK")</f>
        <v>OK</v>
      </c>
      <c r="DF216" s="314" t="str">
        <f t="shared" ref="DF216:DF279" si="293">IF(AND(COUNTA(DescriptionOne,ClassificationOne)=2,COUNTA(E216:J216)+COUNTA(N216:S216)&gt;0,ISBLANK(J216)),"Enter Space","OK")</f>
        <v>OK</v>
      </c>
      <c r="DG216" s="482" t="str">
        <f t="shared" si="231"/>
        <v>OK</v>
      </c>
      <c r="DH216" s="482" t="str">
        <f>IF(OR(AND(T216='Adjustment factors'!$R$28,'Class 3, 5-9'!U216='Adjustment factors'!$R$29),AND('Class 3, 5-9'!T216='Adjustment factors'!$R$29,'Class 3, 5-9'!U216='Adjustment factors'!$R$28)),"Invalid combination of adjustment factors",IF(AND(T216=U216,NOT(ISBLANK(T216)),NOT(ISBLANK(U216))),"Same colour factor selected twice","OK"))</f>
        <v>OK</v>
      </c>
      <c r="DI216" s="313" t="str">
        <f t="shared" ref="DI216:DI279" si="294">IF(AND(COUNTA(DescriptionOne,ClassificationOne)=2,COUNTA(E216:J216)+COUNTA(N216:S216)&gt;0,OR(N216=ProgDim),ISBLANK(O216)),"Enter % of floor area controlled","OK")</f>
        <v>OK</v>
      </c>
      <c r="DJ216" s="153" t="str">
        <f t="shared" si="241"/>
        <v>OK</v>
      </c>
      <c r="DK216" s="153" t="str">
        <f t="shared" ref="DK216:DK279" si="295">IF(AND(COUNTA(O216)&gt;0, NOT(OR(N216=ProgDim))), "Adjustment factor is missing", "OK")</f>
        <v>OK</v>
      </c>
      <c r="DL216" s="313" t="str">
        <f t="shared" ref="DL216:DL279" si="296">IF(AND(ISNUMBER(P216),N216&lt;&gt;FixedDim),"Illuminance turndown is only valid for Fixed Dimming","OK")</f>
        <v>OK</v>
      </c>
      <c r="DM216" s="153" t="str">
        <f t="shared" ref="DM216:DM279" si="297">IF(AND(NOT(ISNUMBER(P216)),N216=FixedDim),"Enter an illuminance factor","OK")</f>
        <v>OK</v>
      </c>
      <c r="DN216" s="153" t="str">
        <f t="shared" si="242"/>
        <v>OK</v>
      </c>
      <c r="DO216" s="154" t="str">
        <f t="shared" si="243"/>
        <v>OK</v>
      </c>
      <c r="DP216" s="153" t="str">
        <f t="shared" ref="DP216:DP279" si="298">IF(AND(ISTEXT(Q216),NOT(ISTEXT(N216))),"Adjustment Factor 1 is missing","OK")</f>
        <v>OK</v>
      </c>
      <c r="DQ216" s="313" t="str">
        <f t="shared" ref="DQ216:DQ279" si="299">IF(AND(COUNTA(DescriptionOne,ClassificationOne)=2,COUNTA(E216:J216)+COUNTA(N216:S216)&gt;0,OR(Q216=ProgDim),ISBLANK(R216)),"Enter % of floor area controlled","OK")</f>
        <v>OK</v>
      </c>
      <c r="DR216" s="153" t="str">
        <f t="shared" si="244"/>
        <v>OK</v>
      </c>
      <c r="DS216" s="153" t="str">
        <f t="shared" ref="DS216:DS279" si="300">IF(AND(COUNTA(R216)&gt;0, NOT(OR(Q216=ProgDim))), "Adjustment factor is missing", "OK")</f>
        <v>OK</v>
      </c>
      <c r="DT216" s="313" t="str">
        <f t="shared" si="258"/>
        <v>OK</v>
      </c>
      <c r="DU216" s="153" t="str">
        <f t="shared" ref="DU216:DU279" si="301">IF(AND(NOT(ISNUMBER(S216)),Q216=FixedDim),"Enter an illuminance factor","OK")</f>
        <v>OK</v>
      </c>
      <c r="DV216" s="153" t="str">
        <f t="shared" si="245"/>
        <v>OK</v>
      </c>
      <c r="DW216" s="154" t="str">
        <f t="shared" si="246"/>
        <v>OK</v>
      </c>
      <c r="DX216" s="157">
        <f t="shared" si="247"/>
        <v>0</v>
      </c>
      <c r="DY216" s="156" t="str">
        <f t="shared" si="248"/>
        <v>OK</v>
      </c>
    </row>
    <row r="217" spans="1:129" ht="13" hidden="1" x14ac:dyDescent="0.3">
      <c r="A217" s="333"/>
      <c r="B217" s="333"/>
      <c r="C217" s="332" t="str">
        <f t="shared" si="257"/>
        <v>-</v>
      </c>
      <c r="D217" s="584">
        <f t="shared" si="253"/>
        <v>194</v>
      </c>
      <c r="E217" s="585"/>
      <c r="F217" s="586"/>
      <c r="G217" s="600"/>
      <c r="H217" s="587"/>
      <c r="I217" s="601"/>
      <c r="J217" s="585"/>
      <c r="K217" s="617"/>
      <c r="L217" s="602"/>
      <c r="M217" s="603"/>
      <c r="N217" s="588"/>
      <c r="O217" s="604"/>
      <c r="P217" s="605"/>
      <c r="Q217" s="588"/>
      <c r="R217" s="604"/>
      <c r="S217" s="605"/>
      <c r="T217" s="606"/>
      <c r="U217" s="606"/>
      <c r="V217" s="429" t="str">
        <f t="shared" si="255"/>
        <v/>
      </c>
      <c r="W217" s="430" t="str">
        <f t="shared" si="252"/>
        <v/>
      </c>
      <c r="X217" s="66" t="str">
        <f>IF(AND(ISNUMBER(P217),N217=FixedDim),MAX('Adjustment factors'!$S$16,0.2+0.8*P217),IF(ISTEXT(N217),VLOOKUP(N217,Afactors,2,TRUE),""))</f>
        <v/>
      </c>
      <c r="Y217" s="17" t="str">
        <f>IF(AND(ISNUMBER(S217),Q217=FixedDim),MAX('Adjustment factors'!$S$16,0.2+0.8*S217),IF(ISTEXT(Q217),VLOOKUP(Q217,Afactors,2,TRUE),""))</f>
        <v/>
      </c>
      <c r="Z217" s="297" t="str">
        <f>IF(ISBLANK(T217),"",VLOOKUP(T217,'Adjustment factors'!$R$27:$S$30,2,TRUE))</f>
        <v/>
      </c>
      <c r="AA217" s="297" t="str">
        <f>IF(ISBLANK(U217),"",VLOOKUP(U217,'Adjustment factors'!$R$27:$S$30,2,TRUE))</f>
        <v/>
      </c>
      <c r="AB217" s="480">
        <f t="shared" ref="AB217:AB280" si="302">IF(Z217="",1,IF(AA217="",Z217,Z217*AA217))</f>
        <v>1</v>
      </c>
      <c r="AC217" s="18" t="b">
        <f t="shared" si="259"/>
        <v>0</v>
      </c>
      <c r="AD217" s="18" t="b">
        <f t="shared" si="260"/>
        <v>0</v>
      </c>
      <c r="AE217" s="18" t="b">
        <f t="shared" si="249"/>
        <v>0</v>
      </c>
      <c r="AF217" s="17" t="str">
        <f t="shared" si="261"/>
        <v/>
      </c>
      <c r="AG217" s="18" t="str">
        <f t="shared" si="262"/>
        <v/>
      </c>
      <c r="AH217" s="17" t="str">
        <f t="shared" si="250"/>
        <v/>
      </c>
      <c r="AI217" s="297" t="e">
        <f t="shared" ref="AI217:AI280" si="303">IF(AND(ISNUMBER(AB217),ISNUMBER(AH217)),AH217/AB217,CK217/AB217)</f>
        <v>#VALUE!</v>
      </c>
      <c r="AJ217" s="79" t="e">
        <f t="shared" si="263"/>
        <v>#VALUE!</v>
      </c>
      <c r="AK217" s="17" t="str">
        <f t="shared" si="251"/>
        <v/>
      </c>
      <c r="AL217" s="80" t="e">
        <f t="shared" si="264"/>
        <v>#VALUE!</v>
      </c>
      <c r="AM217" s="139" t="b">
        <f t="shared" si="265"/>
        <v>1</v>
      </c>
      <c r="AN217" s="139" t="b">
        <f>AND(COUNTA(E217)&gt;0,ISNUMBER(F217),OR(COUNT(G217:H217)=0,COUNT(G217:H217)=2,AND(ISNUMBER(G217),ISNUMBER(VALUE(LEFT(H217,SUM(LEN(H217)-LEN(SUBSTITUTE(H217,{"0","1","2","3","4","5","6","7","8","9","."},"")))))))),ISNUMBER(I217),ISTEXT(J217))</f>
        <v>0</v>
      </c>
      <c r="AO217" s="19" t="b">
        <f t="shared" si="266"/>
        <v>0</v>
      </c>
      <c r="AP217" s="19" t="b">
        <f t="shared" si="267"/>
        <v>1</v>
      </c>
      <c r="AQ217" s="19" t="b">
        <f>IF(AND(COUNTBLANK(E217:J217)=6,OR(AN218:AN$523)),NOT(AN217))</f>
        <v>0</v>
      </c>
      <c r="AR217" s="19" t="str">
        <f t="shared" si="268"/>
        <v/>
      </c>
      <c r="AS217" s="19" t="b">
        <f t="shared" si="269"/>
        <v>1</v>
      </c>
      <c r="AT217" s="19" t="str">
        <f t="shared" si="270"/>
        <v/>
      </c>
      <c r="AU217" s="19" t="b">
        <f t="shared" si="271"/>
        <v>1</v>
      </c>
      <c r="AV217" s="140" t="str">
        <f t="shared" si="233"/>
        <v/>
      </c>
      <c r="AW217" s="19" t="str">
        <f t="shared" si="272"/>
        <v/>
      </c>
      <c r="AX217" s="81">
        <f t="shared" si="273"/>
        <v>0</v>
      </c>
      <c r="AY217" s="81" t="str">
        <f t="shared" si="274"/>
        <v/>
      </c>
      <c r="AZ217" s="307" t="str">
        <f t="shared" ref="AZ217:AZ280" si="304">IF(DA217&lt;&gt;"OK",DA217,IF(DB217&lt;&gt;"OK",DB217,IF(DC217&lt;&gt;"OK",DC217,IF(DD217&lt;&gt;"OK",DD217,IF(DE217&lt;&gt;"OK",DE217,IF(DF217&lt;&gt;"OK",DF217,IF(DG217&lt;&gt;"OK",DG217,IF(DH217&lt;&gt;"OK",DH217,BA217))))))))</f>
        <v/>
      </c>
      <c r="BA217" s="281" t="str">
        <f t="shared" si="234"/>
        <v/>
      </c>
      <c r="BB217" s="281" t="str">
        <f t="shared" si="235"/>
        <v/>
      </c>
      <c r="BC217" s="953"/>
      <c r="BD217" s="955"/>
      <c r="BE217" s="219" t="str">
        <f t="shared" si="275"/>
        <v>n/a</v>
      </c>
      <c r="BF217" s="215" t="b">
        <f t="shared" si="276"/>
        <v>0</v>
      </c>
      <c r="BG217" s="145" t="b">
        <f t="shared" si="277"/>
        <v>0</v>
      </c>
      <c r="BH217" s="145" t="b">
        <f t="shared" si="278"/>
        <v>0</v>
      </c>
      <c r="BI217" s="216" t="b">
        <f t="shared" si="279"/>
        <v>0</v>
      </c>
      <c r="BJ217" s="215" t="b">
        <f t="shared" si="280"/>
        <v>0</v>
      </c>
      <c r="BK217" s="145" t="b">
        <f t="shared" si="281"/>
        <v>0</v>
      </c>
      <c r="BL217" s="216" t="b">
        <f t="shared" si="282"/>
        <v>0</v>
      </c>
      <c r="BM217" s="217" t="str">
        <f t="shared" si="236"/>
        <v/>
      </c>
      <c r="BN217" s="146" t="str">
        <f t="shared" si="237"/>
        <v/>
      </c>
      <c r="BO217" s="147" t="str">
        <f t="shared" si="238"/>
        <v/>
      </c>
      <c r="BP217" s="148" t="str">
        <f t="shared" si="239"/>
        <v/>
      </c>
      <c r="BT217" s="50">
        <f t="shared" si="254"/>
        <v>194</v>
      </c>
      <c r="BU217" s="50" t="str">
        <f t="shared" si="256"/>
        <v>-</v>
      </c>
      <c r="BW217" s="340"/>
      <c r="BX217" s="333"/>
      <c r="BY217" s="333"/>
      <c r="BZ217" s="333"/>
      <c r="CA217" s="333"/>
      <c r="CB217" s="333"/>
      <c r="CC217" s="333"/>
      <c r="CD217" s="333"/>
      <c r="CE217" s="333"/>
      <c r="CF217" s="333"/>
      <c r="CG217" s="354">
        <f t="shared" si="283"/>
        <v>194</v>
      </c>
      <c r="CH217" s="613">
        <f t="shared" si="284"/>
        <v>0</v>
      </c>
      <c r="CI217" s="613">
        <f t="shared" si="285"/>
        <v>0</v>
      </c>
      <c r="CJ217" s="614" t="str">
        <f t="shared" si="286"/>
        <v/>
      </c>
      <c r="CK217" s="615" t="str">
        <f t="shared" si="287"/>
        <v/>
      </c>
      <c r="CL217" s="610" t="str">
        <f>IF(ISBLANK(H217),"",IF(AND(ISNUMBER(F217),ISNUMBER(G217),ISNUMBER(H217)),ROUND(F217/(H217*G217),2),ROUND(F217/(VALUE(LEFT(H217,SUM(LEN(H217)-LEN(SUBSTITUTE(H217,{"0","1","2","3","4","5","6","7","8","9","."},"")))))*G217),2)))</f>
        <v/>
      </c>
      <c r="CM217" s="616" t="str">
        <f t="shared" si="240"/>
        <v/>
      </c>
      <c r="CN217" s="616" t="str">
        <f>IF(ISNUMBER(P217),MAX('Adjustment factors'!$S$16,(0.2+0.8*P217)),IF(ISTEXT(N217),VLOOKUP(N217,Afactors,2,FALSE),""))</f>
        <v/>
      </c>
      <c r="CO217" s="616" t="str">
        <f>IF(ISNUMBER(S217),MAX('Adjustment factors'!$S$16,0.2+0.8*S217),IF(ISTEXT(Q217),VLOOKUP(Q217,Afactors,2,FALSE),""))</f>
        <v/>
      </c>
      <c r="CP217" s="611" t="str">
        <f t="shared" ref="CP217:CP280" si="305">IF(AB217&lt;&gt;1,AB217,"")</f>
        <v/>
      </c>
      <c r="CQ217" s="612" t="str">
        <f t="shared" ref="CQ217:CQ280" si="306">IFERROR(IF(AO217=TRUE,IF(ISNUMBER(AG217),ROUND(AL217,0),ROUND(AJ217,0)),""),"")</f>
        <v/>
      </c>
      <c r="CR217" s="340"/>
      <c r="CS217" s="340"/>
      <c r="CT217" s="340"/>
      <c r="CU217" s="340"/>
      <c r="CV217" s="333"/>
      <c r="CW217" s="333"/>
      <c r="CX217" s="333"/>
      <c r="CY217" s="333"/>
      <c r="DA217" s="313" t="str">
        <f t="shared" si="288"/>
        <v>OK</v>
      </c>
      <c r="DB217" s="313" t="str">
        <f t="shared" si="289"/>
        <v>OK</v>
      </c>
      <c r="DC217" s="313" t="str">
        <f t="shared" si="290"/>
        <v>OK</v>
      </c>
      <c r="DD217" s="313" t="str">
        <f t="shared" si="291"/>
        <v>OK</v>
      </c>
      <c r="DE217" s="153" t="str">
        <f t="shared" si="292"/>
        <v>OK</v>
      </c>
      <c r="DF217" s="314" t="str">
        <f t="shared" si="293"/>
        <v>OK</v>
      </c>
      <c r="DG217" s="482" t="str">
        <f t="shared" ref="DG217:DG280" si="307">IF(AND(COUNTBLANK(T217)=1,COUNTBLANK(U217)=0),"Second Colour Factor entered without First","OK")</f>
        <v>OK</v>
      </c>
      <c r="DH217" s="482" t="str">
        <f>IF(OR(AND(T217='Adjustment factors'!$R$28,'Class 3, 5-9'!U217='Adjustment factors'!$R$29),AND('Class 3, 5-9'!T217='Adjustment factors'!$R$29,'Class 3, 5-9'!U217='Adjustment factors'!$R$28)),"Invalid combination of adjustment factors",IF(AND(T217=U217,NOT(ISBLANK(T217)),NOT(ISBLANK(U217))),"Same colour factor selected twice","OK"))</f>
        <v>OK</v>
      </c>
      <c r="DI217" s="313" t="str">
        <f t="shared" si="294"/>
        <v>OK</v>
      </c>
      <c r="DJ217" s="153" t="str">
        <f t="shared" si="241"/>
        <v>OK</v>
      </c>
      <c r="DK217" s="153" t="str">
        <f t="shared" si="295"/>
        <v>OK</v>
      </c>
      <c r="DL217" s="313" t="str">
        <f t="shared" si="296"/>
        <v>OK</v>
      </c>
      <c r="DM217" s="153" t="str">
        <f t="shared" si="297"/>
        <v>OK</v>
      </c>
      <c r="DN217" s="153" t="str">
        <f t="shared" si="242"/>
        <v>OK</v>
      </c>
      <c r="DO217" s="154" t="str">
        <f t="shared" si="243"/>
        <v>OK</v>
      </c>
      <c r="DP217" s="153" t="str">
        <f t="shared" si="298"/>
        <v>OK</v>
      </c>
      <c r="DQ217" s="313" t="str">
        <f t="shared" si="299"/>
        <v>OK</v>
      </c>
      <c r="DR217" s="153" t="str">
        <f t="shared" si="244"/>
        <v>OK</v>
      </c>
      <c r="DS217" s="153" t="str">
        <f t="shared" si="300"/>
        <v>OK</v>
      </c>
      <c r="DT217" s="313" t="str">
        <f t="shared" si="258"/>
        <v>OK</v>
      </c>
      <c r="DU217" s="153" t="str">
        <f t="shared" si="301"/>
        <v>OK</v>
      </c>
      <c r="DV217" s="153" t="str">
        <f t="shared" si="245"/>
        <v>OK</v>
      </c>
      <c r="DW217" s="154" t="str">
        <f t="shared" si="246"/>
        <v>OK</v>
      </c>
      <c r="DX217" s="157">
        <f t="shared" si="247"/>
        <v>0</v>
      </c>
      <c r="DY217" s="156" t="str">
        <f t="shared" si="248"/>
        <v>OK</v>
      </c>
    </row>
    <row r="218" spans="1:129" ht="13" hidden="1" x14ac:dyDescent="0.3">
      <c r="A218" s="333"/>
      <c r="B218" s="333"/>
      <c r="C218" s="332" t="str">
        <f t="shared" si="257"/>
        <v>-</v>
      </c>
      <c r="D218" s="584">
        <f t="shared" si="253"/>
        <v>195</v>
      </c>
      <c r="E218" s="585"/>
      <c r="F218" s="586"/>
      <c r="G218" s="600"/>
      <c r="H218" s="587"/>
      <c r="I218" s="601"/>
      <c r="J218" s="585"/>
      <c r="K218" s="617"/>
      <c r="L218" s="602"/>
      <c r="M218" s="603"/>
      <c r="N218" s="588"/>
      <c r="O218" s="604"/>
      <c r="P218" s="605"/>
      <c r="Q218" s="588"/>
      <c r="R218" s="604"/>
      <c r="S218" s="605"/>
      <c r="T218" s="606"/>
      <c r="U218" s="606"/>
      <c r="V218" s="429" t="str">
        <f t="shared" si="255"/>
        <v/>
      </c>
      <c r="W218" s="430" t="str">
        <f t="shared" si="252"/>
        <v/>
      </c>
      <c r="X218" s="66" t="str">
        <f>IF(AND(ISNUMBER(P218),N218=FixedDim),MAX('Adjustment factors'!$S$16,0.2+0.8*P218),IF(ISTEXT(N218),VLOOKUP(N218,Afactors,2,TRUE),""))</f>
        <v/>
      </c>
      <c r="Y218" s="17" t="str">
        <f>IF(AND(ISNUMBER(S218),Q218=FixedDim),MAX('Adjustment factors'!$S$16,0.2+0.8*S218),IF(ISTEXT(Q218),VLOOKUP(Q218,Afactors,2,TRUE),""))</f>
        <v/>
      </c>
      <c r="Z218" s="297" t="str">
        <f>IF(ISBLANK(T218),"",VLOOKUP(T218,'Adjustment factors'!$R$27:$S$30,2,TRUE))</f>
        <v/>
      </c>
      <c r="AA218" s="297" t="str">
        <f>IF(ISBLANK(U218),"",VLOOKUP(U218,'Adjustment factors'!$R$27:$S$30,2,TRUE))</f>
        <v/>
      </c>
      <c r="AB218" s="480">
        <f t="shared" si="302"/>
        <v>1</v>
      </c>
      <c r="AC218" s="18" t="b">
        <f t="shared" si="259"/>
        <v>0</v>
      </c>
      <c r="AD218" s="18" t="b">
        <f t="shared" si="260"/>
        <v>0</v>
      </c>
      <c r="AE218" s="18" t="b">
        <f t="shared" si="249"/>
        <v>0</v>
      </c>
      <c r="AF218" s="17" t="str">
        <f t="shared" si="261"/>
        <v/>
      </c>
      <c r="AG218" s="18" t="str">
        <f t="shared" si="262"/>
        <v/>
      </c>
      <c r="AH218" s="17" t="str">
        <f t="shared" si="250"/>
        <v/>
      </c>
      <c r="AI218" s="297" t="e">
        <f t="shared" si="303"/>
        <v>#VALUE!</v>
      </c>
      <c r="AJ218" s="79" t="e">
        <f t="shared" si="263"/>
        <v>#VALUE!</v>
      </c>
      <c r="AK218" s="17" t="str">
        <f t="shared" si="251"/>
        <v/>
      </c>
      <c r="AL218" s="80" t="e">
        <f t="shared" si="264"/>
        <v>#VALUE!</v>
      </c>
      <c r="AM218" s="139" t="b">
        <f t="shared" si="265"/>
        <v>1</v>
      </c>
      <c r="AN218" s="139" t="b">
        <f>AND(COUNTA(E218)&gt;0,ISNUMBER(F218),OR(COUNT(G218:H218)=0,COUNT(G218:H218)=2,AND(ISNUMBER(G218),ISNUMBER(VALUE(LEFT(H218,SUM(LEN(H218)-LEN(SUBSTITUTE(H218,{"0","1","2","3","4","5","6","7","8","9","."},"")))))))),ISNUMBER(I218),ISTEXT(J218))</f>
        <v>0</v>
      </c>
      <c r="AO218" s="19" t="b">
        <f t="shared" si="266"/>
        <v>0</v>
      </c>
      <c r="AP218" s="19" t="b">
        <f t="shared" si="267"/>
        <v>1</v>
      </c>
      <c r="AQ218" s="19" t="b">
        <f>IF(AND(COUNTBLANK(E218:J218)=6,OR(AN219:AN$523)),NOT(AN218))</f>
        <v>0</v>
      </c>
      <c r="AR218" s="19" t="str">
        <f t="shared" si="268"/>
        <v/>
      </c>
      <c r="AS218" s="19" t="b">
        <f t="shared" si="269"/>
        <v>1</v>
      </c>
      <c r="AT218" s="19" t="str">
        <f t="shared" si="270"/>
        <v/>
      </c>
      <c r="AU218" s="19" t="b">
        <f t="shared" si="271"/>
        <v>1</v>
      </c>
      <c r="AV218" s="140" t="str">
        <f t="shared" si="233"/>
        <v/>
      </c>
      <c r="AW218" s="19" t="str">
        <f t="shared" si="272"/>
        <v/>
      </c>
      <c r="AX218" s="81">
        <f t="shared" si="273"/>
        <v>0</v>
      </c>
      <c r="AY218" s="81" t="str">
        <f t="shared" si="274"/>
        <v/>
      </c>
      <c r="AZ218" s="307" t="str">
        <f t="shared" si="304"/>
        <v/>
      </c>
      <c r="BA218" s="281" t="str">
        <f t="shared" si="234"/>
        <v/>
      </c>
      <c r="BB218" s="281" t="str">
        <f t="shared" si="235"/>
        <v/>
      </c>
      <c r="BC218" s="953"/>
      <c r="BD218" s="955"/>
      <c r="BE218" s="219" t="str">
        <f t="shared" si="275"/>
        <v>n/a</v>
      </c>
      <c r="BF218" s="215" t="b">
        <f t="shared" si="276"/>
        <v>0</v>
      </c>
      <c r="BG218" s="145" t="b">
        <f t="shared" si="277"/>
        <v>0</v>
      </c>
      <c r="BH218" s="145" t="b">
        <f t="shared" si="278"/>
        <v>0</v>
      </c>
      <c r="BI218" s="216" t="b">
        <f t="shared" si="279"/>
        <v>0</v>
      </c>
      <c r="BJ218" s="215" t="b">
        <f t="shared" si="280"/>
        <v>0</v>
      </c>
      <c r="BK218" s="145" t="b">
        <f t="shared" si="281"/>
        <v>0</v>
      </c>
      <c r="BL218" s="216" t="b">
        <f t="shared" si="282"/>
        <v>0</v>
      </c>
      <c r="BM218" s="217" t="str">
        <f t="shared" si="236"/>
        <v/>
      </c>
      <c r="BN218" s="146" t="str">
        <f t="shared" si="237"/>
        <v/>
      </c>
      <c r="BO218" s="147" t="str">
        <f t="shared" si="238"/>
        <v/>
      </c>
      <c r="BP218" s="148" t="str">
        <f t="shared" si="239"/>
        <v/>
      </c>
      <c r="BT218" s="50">
        <f t="shared" si="254"/>
        <v>195</v>
      </c>
      <c r="BU218" s="50" t="str">
        <f t="shared" si="256"/>
        <v>-</v>
      </c>
      <c r="BW218" s="340"/>
      <c r="BX218" s="333"/>
      <c r="BY218" s="333"/>
      <c r="BZ218" s="333"/>
      <c r="CA218" s="333"/>
      <c r="CB218" s="333"/>
      <c r="CC218" s="333"/>
      <c r="CD218" s="333"/>
      <c r="CE218" s="333"/>
      <c r="CF218" s="333"/>
      <c r="CG218" s="354">
        <f t="shared" si="283"/>
        <v>195</v>
      </c>
      <c r="CH218" s="613">
        <f t="shared" si="284"/>
        <v>0</v>
      </c>
      <c r="CI218" s="613">
        <f t="shared" si="285"/>
        <v>0</v>
      </c>
      <c r="CJ218" s="614" t="str">
        <f t="shared" si="286"/>
        <v/>
      </c>
      <c r="CK218" s="615" t="str">
        <f t="shared" si="287"/>
        <v/>
      </c>
      <c r="CL218" s="610" t="str">
        <f>IF(ISBLANK(H218),"",IF(AND(ISNUMBER(F218),ISNUMBER(G218),ISNUMBER(H218)),ROUND(F218/(H218*G218),2),ROUND(F218/(VALUE(LEFT(H218,SUM(LEN(H218)-LEN(SUBSTITUTE(H218,{"0","1","2","3","4","5","6","7","8","9","."},"")))))*G218),2)))</f>
        <v/>
      </c>
      <c r="CM218" s="616" t="str">
        <f t="shared" si="240"/>
        <v/>
      </c>
      <c r="CN218" s="616" t="str">
        <f>IF(ISNUMBER(P218),MAX('Adjustment factors'!$S$16,(0.2+0.8*P218)),IF(ISTEXT(N218),VLOOKUP(N218,Afactors,2,FALSE),""))</f>
        <v/>
      </c>
      <c r="CO218" s="616" t="str">
        <f>IF(ISNUMBER(S218),MAX('Adjustment factors'!$S$16,0.2+0.8*S218),IF(ISTEXT(Q218),VLOOKUP(Q218,Afactors,2,FALSE),""))</f>
        <v/>
      </c>
      <c r="CP218" s="611" t="str">
        <f t="shared" si="305"/>
        <v/>
      </c>
      <c r="CQ218" s="612" t="str">
        <f t="shared" si="306"/>
        <v/>
      </c>
      <c r="CR218" s="340"/>
      <c r="CS218" s="340"/>
      <c r="CT218" s="340"/>
      <c r="CU218" s="340"/>
      <c r="CV218" s="333"/>
      <c r="CW218" s="333"/>
      <c r="CX218" s="333"/>
      <c r="CY218" s="333"/>
      <c r="DA218" s="313" t="str">
        <f t="shared" si="288"/>
        <v>OK</v>
      </c>
      <c r="DB218" s="313" t="str">
        <f t="shared" si="289"/>
        <v>OK</v>
      </c>
      <c r="DC218" s="313" t="str">
        <f t="shared" si="290"/>
        <v>OK</v>
      </c>
      <c r="DD218" s="313" t="str">
        <f t="shared" si="291"/>
        <v>OK</v>
      </c>
      <c r="DE218" s="153" t="str">
        <f t="shared" si="292"/>
        <v>OK</v>
      </c>
      <c r="DF218" s="314" t="str">
        <f t="shared" si="293"/>
        <v>OK</v>
      </c>
      <c r="DG218" s="482" t="str">
        <f t="shared" si="307"/>
        <v>OK</v>
      </c>
      <c r="DH218" s="482" t="str">
        <f>IF(OR(AND(T218='Adjustment factors'!$R$28,'Class 3, 5-9'!U218='Adjustment factors'!$R$29),AND('Class 3, 5-9'!T218='Adjustment factors'!$R$29,'Class 3, 5-9'!U218='Adjustment factors'!$R$28)),"Invalid combination of adjustment factors",IF(AND(T218=U218,NOT(ISBLANK(T218)),NOT(ISBLANK(U218))),"Same colour factor selected twice","OK"))</f>
        <v>OK</v>
      </c>
      <c r="DI218" s="313" t="str">
        <f t="shared" si="294"/>
        <v>OK</v>
      </c>
      <c r="DJ218" s="153" t="str">
        <f t="shared" si="241"/>
        <v>OK</v>
      </c>
      <c r="DK218" s="153" t="str">
        <f t="shared" si="295"/>
        <v>OK</v>
      </c>
      <c r="DL218" s="313" t="str">
        <f t="shared" si="296"/>
        <v>OK</v>
      </c>
      <c r="DM218" s="153" t="str">
        <f t="shared" si="297"/>
        <v>OK</v>
      </c>
      <c r="DN218" s="153" t="str">
        <f t="shared" si="242"/>
        <v>OK</v>
      </c>
      <c r="DO218" s="154" t="str">
        <f t="shared" si="243"/>
        <v>OK</v>
      </c>
      <c r="DP218" s="153" t="str">
        <f t="shared" si="298"/>
        <v>OK</v>
      </c>
      <c r="DQ218" s="313" t="str">
        <f t="shared" si="299"/>
        <v>OK</v>
      </c>
      <c r="DR218" s="153" t="str">
        <f t="shared" si="244"/>
        <v>OK</v>
      </c>
      <c r="DS218" s="153" t="str">
        <f t="shared" si="300"/>
        <v>OK</v>
      </c>
      <c r="DT218" s="313" t="str">
        <f t="shared" si="258"/>
        <v>OK</v>
      </c>
      <c r="DU218" s="153" t="str">
        <f t="shared" si="301"/>
        <v>OK</v>
      </c>
      <c r="DV218" s="153" t="str">
        <f t="shared" si="245"/>
        <v>OK</v>
      </c>
      <c r="DW218" s="154" t="str">
        <f t="shared" si="246"/>
        <v>OK</v>
      </c>
      <c r="DX218" s="157">
        <f t="shared" si="247"/>
        <v>0</v>
      </c>
      <c r="DY218" s="156" t="str">
        <f t="shared" si="248"/>
        <v>OK</v>
      </c>
    </row>
    <row r="219" spans="1:129" ht="13" hidden="1" x14ac:dyDescent="0.3">
      <c r="A219" s="333"/>
      <c r="B219" s="340"/>
      <c r="C219" s="332" t="str">
        <f t="shared" si="257"/>
        <v>-</v>
      </c>
      <c r="D219" s="584">
        <f t="shared" si="253"/>
        <v>196</v>
      </c>
      <c r="E219" s="585"/>
      <c r="F219" s="586"/>
      <c r="G219" s="600"/>
      <c r="H219" s="587"/>
      <c r="I219" s="601"/>
      <c r="J219" s="585"/>
      <c r="K219" s="617"/>
      <c r="L219" s="602"/>
      <c r="M219" s="603"/>
      <c r="N219" s="588"/>
      <c r="O219" s="604"/>
      <c r="P219" s="605"/>
      <c r="Q219" s="588"/>
      <c r="R219" s="604"/>
      <c r="S219" s="605"/>
      <c r="T219" s="606"/>
      <c r="U219" s="606"/>
      <c r="V219" s="429" t="str">
        <f t="shared" si="255"/>
        <v/>
      </c>
      <c r="W219" s="430" t="str">
        <f t="shared" si="252"/>
        <v/>
      </c>
      <c r="X219" s="66" t="str">
        <f>IF(AND(ISNUMBER(P219),N219=FixedDim),MAX('Adjustment factors'!$S$16,0.2+0.8*P219),IF(ISTEXT(N219),VLOOKUP(N219,Afactors,2,TRUE),""))</f>
        <v/>
      </c>
      <c r="Y219" s="17" t="str">
        <f>IF(AND(ISNUMBER(S219),Q219=FixedDim),MAX('Adjustment factors'!$S$16,0.2+0.8*S219),IF(ISTEXT(Q219),VLOOKUP(Q219,Afactors,2,TRUE),""))</f>
        <v/>
      </c>
      <c r="Z219" s="297" t="str">
        <f>IF(ISBLANK(T219),"",VLOOKUP(T219,'Adjustment factors'!$R$27:$S$30,2,TRUE))</f>
        <v/>
      </c>
      <c r="AA219" s="297" t="str">
        <f>IF(ISBLANK(U219),"",VLOOKUP(U219,'Adjustment factors'!$R$27:$S$30,2,TRUE))</f>
        <v/>
      </c>
      <c r="AB219" s="480">
        <f t="shared" si="302"/>
        <v>1</v>
      </c>
      <c r="AC219" s="18" t="b">
        <f t="shared" si="259"/>
        <v>0</v>
      </c>
      <c r="AD219" s="18" t="b">
        <f t="shared" si="260"/>
        <v>0</v>
      </c>
      <c r="AE219" s="18" t="b">
        <f t="shared" si="249"/>
        <v>0</v>
      </c>
      <c r="AF219" s="17" t="str">
        <f t="shared" si="261"/>
        <v/>
      </c>
      <c r="AG219" s="18" t="str">
        <f t="shared" si="262"/>
        <v/>
      </c>
      <c r="AH219" s="17" t="str">
        <f t="shared" si="250"/>
        <v/>
      </c>
      <c r="AI219" s="297" t="e">
        <f t="shared" si="303"/>
        <v>#VALUE!</v>
      </c>
      <c r="AJ219" s="79" t="e">
        <f t="shared" si="263"/>
        <v>#VALUE!</v>
      </c>
      <c r="AK219" s="17" t="str">
        <f t="shared" si="251"/>
        <v/>
      </c>
      <c r="AL219" s="80" t="e">
        <f t="shared" si="264"/>
        <v>#VALUE!</v>
      </c>
      <c r="AM219" s="139" t="b">
        <f t="shared" si="265"/>
        <v>1</v>
      </c>
      <c r="AN219" s="139" t="b">
        <f>AND(COUNTA(E219)&gt;0,ISNUMBER(F219),OR(COUNT(G219:H219)=0,COUNT(G219:H219)=2,AND(ISNUMBER(G219),ISNUMBER(VALUE(LEFT(H219,SUM(LEN(H219)-LEN(SUBSTITUTE(H219,{"0","1","2","3","4","5","6","7","8","9","."},"")))))))),ISNUMBER(I219),ISTEXT(J219))</f>
        <v>0</v>
      </c>
      <c r="AO219" s="19" t="b">
        <f t="shared" si="266"/>
        <v>0</v>
      </c>
      <c r="AP219" s="19" t="b">
        <f t="shared" si="267"/>
        <v>1</v>
      </c>
      <c r="AQ219" s="19" t="b">
        <f>IF(AND(COUNTBLANK(E219:J219)=6,OR(AN220:AN$523)),NOT(AN219))</f>
        <v>0</v>
      </c>
      <c r="AR219" s="19" t="str">
        <f t="shared" si="268"/>
        <v/>
      </c>
      <c r="AS219" s="19" t="b">
        <f t="shared" si="269"/>
        <v>1</v>
      </c>
      <c r="AT219" s="19" t="str">
        <f t="shared" si="270"/>
        <v/>
      </c>
      <c r="AU219" s="19" t="b">
        <f t="shared" si="271"/>
        <v>1</v>
      </c>
      <c r="AV219" s="140" t="str">
        <f t="shared" si="233"/>
        <v/>
      </c>
      <c r="AW219" s="19" t="str">
        <f t="shared" si="272"/>
        <v/>
      </c>
      <c r="AX219" s="81">
        <f t="shared" si="273"/>
        <v>0</v>
      </c>
      <c r="AY219" s="81" t="str">
        <f t="shared" si="274"/>
        <v/>
      </c>
      <c r="AZ219" s="307" t="str">
        <f t="shared" si="304"/>
        <v/>
      </c>
      <c r="BA219" s="281" t="str">
        <f t="shared" si="234"/>
        <v/>
      </c>
      <c r="BB219" s="281" t="str">
        <f t="shared" si="235"/>
        <v/>
      </c>
      <c r="BC219" s="953"/>
      <c r="BD219" s="955"/>
      <c r="BE219" s="219" t="str">
        <f t="shared" si="275"/>
        <v>n/a</v>
      </c>
      <c r="BF219" s="215" t="b">
        <f t="shared" si="276"/>
        <v>0</v>
      </c>
      <c r="BG219" s="145" t="b">
        <f t="shared" si="277"/>
        <v>0</v>
      </c>
      <c r="BH219" s="145" t="b">
        <f t="shared" si="278"/>
        <v>0</v>
      </c>
      <c r="BI219" s="216" t="b">
        <f t="shared" si="279"/>
        <v>0</v>
      </c>
      <c r="BJ219" s="215" t="b">
        <f t="shared" si="280"/>
        <v>0</v>
      </c>
      <c r="BK219" s="145" t="b">
        <f t="shared" si="281"/>
        <v>0</v>
      </c>
      <c r="BL219" s="216" t="b">
        <f t="shared" si="282"/>
        <v>0</v>
      </c>
      <c r="BM219" s="217" t="str">
        <f t="shared" si="236"/>
        <v/>
      </c>
      <c r="BN219" s="146" t="str">
        <f t="shared" si="237"/>
        <v/>
      </c>
      <c r="BO219" s="147" t="str">
        <f t="shared" si="238"/>
        <v/>
      </c>
      <c r="BP219" s="148" t="str">
        <f t="shared" si="239"/>
        <v/>
      </c>
      <c r="BT219" s="50">
        <f t="shared" si="254"/>
        <v>196</v>
      </c>
      <c r="BU219" s="50" t="str">
        <f t="shared" si="256"/>
        <v>-</v>
      </c>
      <c r="BW219" s="340"/>
      <c r="BX219" s="333"/>
      <c r="BY219" s="333"/>
      <c r="BZ219" s="333"/>
      <c r="CA219" s="333"/>
      <c r="CB219" s="333"/>
      <c r="CC219" s="333"/>
      <c r="CD219" s="333"/>
      <c r="CE219" s="333"/>
      <c r="CF219" s="333"/>
      <c r="CG219" s="354">
        <f t="shared" si="283"/>
        <v>196</v>
      </c>
      <c r="CH219" s="613">
        <f t="shared" si="284"/>
        <v>0</v>
      </c>
      <c r="CI219" s="613">
        <f t="shared" si="285"/>
        <v>0</v>
      </c>
      <c r="CJ219" s="614" t="str">
        <f t="shared" si="286"/>
        <v/>
      </c>
      <c r="CK219" s="615" t="str">
        <f t="shared" si="287"/>
        <v/>
      </c>
      <c r="CL219" s="610" t="str">
        <f>IF(ISBLANK(H219),"",IF(AND(ISNUMBER(F219),ISNUMBER(G219),ISNUMBER(H219)),ROUND(F219/(H219*G219),2),ROUND(F219/(VALUE(LEFT(H219,SUM(LEN(H219)-LEN(SUBSTITUTE(H219,{"0","1","2","3","4","5","6","7","8","9","."},"")))))*G219),2)))</f>
        <v/>
      </c>
      <c r="CM219" s="616" t="str">
        <f t="shared" si="240"/>
        <v/>
      </c>
      <c r="CN219" s="616" t="str">
        <f>IF(ISNUMBER(P219),MAX('Adjustment factors'!$S$16,(0.2+0.8*P219)),IF(ISTEXT(N219),VLOOKUP(N219,Afactors,2,FALSE),""))</f>
        <v/>
      </c>
      <c r="CO219" s="616" t="str">
        <f>IF(ISNUMBER(S219),MAX('Adjustment factors'!$S$16,0.2+0.8*S219),IF(ISTEXT(Q219),VLOOKUP(Q219,Afactors,2,FALSE),""))</f>
        <v/>
      </c>
      <c r="CP219" s="611" t="str">
        <f t="shared" si="305"/>
        <v/>
      </c>
      <c r="CQ219" s="612" t="str">
        <f t="shared" si="306"/>
        <v/>
      </c>
      <c r="CR219" s="340"/>
      <c r="CS219" s="340"/>
      <c r="CT219" s="340"/>
      <c r="CU219" s="340"/>
      <c r="CV219" s="333"/>
      <c r="CW219" s="333"/>
      <c r="CX219" s="333"/>
      <c r="CY219" s="333"/>
      <c r="DA219" s="313" t="str">
        <f t="shared" si="288"/>
        <v>OK</v>
      </c>
      <c r="DB219" s="313" t="str">
        <f t="shared" si="289"/>
        <v>OK</v>
      </c>
      <c r="DC219" s="313" t="str">
        <f t="shared" si="290"/>
        <v>OK</v>
      </c>
      <c r="DD219" s="313" t="str">
        <f t="shared" si="291"/>
        <v>OK</v>
      </c>
      <c r="DE219" s="153" t="str">
        <f t="shared" si="292"/>
        <v>OK</v>
      </c>
      <c r="DF219" s="314" t="str">
        <f t="shared" si="293"/>
        <v>OK</v>
      </c>
      <c r="DG219" s="482" t="str">
        <f t="shared" si="307"/>
        <v>OK</v>
      </c>
      <c r="DH219" s="482" t="str">
        <f>IF(OR(AND(T219='Adjustment factors'!$R$28,'Class 3, 5-9'!U219='Adjustment factors'!$R$29),AND('Class 3, 5-9'!T219='Adjustment factors'!$R$29,'Class 3, 5-9'!U219='Adjustment factors'!$R$28)),"Invalid combination of adjustment factors",IF(AND(T219=U219,NOT(ISBLANK(T219)),NOT(ISBLANK(U219))),"Same colour factor selected twice","OK"))</f>
        <v>OK</v>
      </c>
      <c r="DI219" s="313" t="str">
        <f t="shared" si="294"/>
        <v>OK</v>
      </c>
      <c r="DJ219" s="153" t="str">
        <f t="shared" si="241"/>
        <v>OK</v>
      </c>
      <c r="DK219" s="153" t="str">
        <f t="shared" si="295"/>
        <v>OK</v>
      </c>
      <c r="DL219" s="313" t="str">
        <f t="shared" si="296"/>
        <v>OK</v>
      </c>
      <c r="DM219" s="153" t="str">
        <f t="shared" si="297"/>
        <v>OK</v>
      </c>
      <c r="DN219" s="153" t="str">
        <f t="shared" si="242"/>
        <v>OK</v>
      </c>
      <c r="DO219" s="154" t="str">
        <f t="shared" si="243"/>
        <v>OK</v>
      </c>
      <c r="DP219" s="153" t="str">
        <f t="shared" si="298"/>
        <v>OK</v>
      </c>
      <c r="DQ219" s="313" t="str">
        <f t="shared" si="299"/>
        <v>OK</v>
      </c>
      <c r="DR219" s="153" t="str">
        <f t="shared" si="244"/>
        <v>OK</v>
      </c>
      <c r="DS219" s="153" t="str">
        <f t="shared" si="300"/>
        <v>OK</v>
      </c>
      <c r="DT219" s="313" t="str">
        <f t="shared" si="258"/>
        <v>OK</v>
      </c>
      <c r="DU219" s="153" t="str">
        <f t="shared" si="301"/>
        <v>OK</v>
      </c>
      <c r="DV219" s="153" t="str">
        <f t="shared" si="245"/>
        <v>OK</v>
      </c>
      <c r="DW219" s="154" t="str">
        <f t="shared" si="246"/>
        <v>OK</v>
      </c>
      <c r="DX219" s="157">
        <f t="shared" si="247"/>
        <v>0</v>
      </c>
      <c r="DY219" s="156" t="str">
        <f t="shared" si="248"/>
        <v>OK</v>
      </c>
    </row>
    <row r="220" spans="1:129" ht="13" hidden="1" x14ac:dyDescent="0.3">
      <c r="A220" s="333"/>
      <c r="B220" s="340"/>
      <c r="C220" s="332" t="str">
        <f t="shared" si="257"/>
        <v>-</v>
      </c>
      <c r="D220" s="584">
        <f t="shared" si="253"/>
        <v>197</v>
      </c>
      <c r="E220" s="585"/>
      <c r="F220" s="586"/>
      <c r="G220" s="600"/>
      <c r="H220" s="587"/>
      <c r="I220" s="601"/>
      <c r="J220" s="585"/>
      <c r="K220" s="617"/>
      <c r="L220" s="602"/>
      <c r="M220" s="603"/>
      <c r="N220" s="588"/>
      <c r="O220" s="604"/>
      <c r="P220" s="605"/>
      <c r="Q220" s="588"/>
      <c r="R220" s="604"/>
      <c r="S220" s="605"/>
      <c r="T220" s="606"/>
      <c r="U220" s="606"/>
      <c r="V220" s="429" t="str">
        <f t="shared" si="255"/>
        <v/>
      </c>
      <c r="W220" s="430" t="str">
        <f t="shared" si="252"/>
        <v/>
      </c>
      <c r="X220" s="66" t="str">
        <f>IF(AND(ISNUMBER(P220),N220=FixedDim),MAX('Adjustment factors'!$S$16,0.2+0.8*P220),IF(ISTEXT(N220),VLOOKUP(N220,Afactors,2,TRUE),""))</f>
        <v/>
      </c>
      <c r="Y220" s="17" t="str">
        <f>IF(AND(ISNUMBER(S220),Q220=FixedDim),MAX('Adjustment factors'!$S$16,0.2+0.8*S220),IF(ISTEXT(Q220),VLOOKUP(Q220,Afactors,2,TRUE),""))</f>
        <v/>
      </c>
      <c r="Z220" s="297" t="str">
        <f>IF(ISBLANK(T220),"",VLOOKUP(T220,'Adjustment factors'!$R$27:$S$30,2,TRUE))</f>
        <v/>
      </c>
      <c r="AA220" s="297" t="str">
        <f>IF(ISBLANK(U220),"",VLOOKUP(U220,'Adjustment factors'!$R$27:$S$30,2,TRUE))</f>
        <v/>
      </c>
      <c r="AB220" s="480">
        <f t="shared" si="302"/>
        <v>1</v>
      </c>
      <c r="AC220" s="18" t="b">
        <f t="shared" si="259"/>
        <v>0</v>
      </c>
      <c r="AD220" s="18" t="b">
        <f t="shared" si="260"/>
        <v>0</v>
      </c>
      <c r="AE220" s="18" t="b">
        <f t="shared" si="249"/>
        <v>0</v>
      </c>
      <c r="AF220" s="17" t="str">
        <f t="shared" si="261"/>
        <v/>
      </c>
      <c r="AG220" s="18" t="str">
        <f t="shared" si="262"/>
        <v/>
      </c>
      <c r="AH220" s="17" t="str">
        <f t="shared" si="250"/>
        <v/>
      </c>
      <c r="AI220" s="297" t="e">
        <f t="shared" si="303"/>
        <v>#VALUE!</v>
      </c>
      <c r="AJ220" s="79" t="e">
        <f t="shared" si="263"/>
        <v>#VALUE!</v>
      </c>
      <c r="AK220" s="17" t="str">
        <f t="shared" si="251"/>
        <v/>
      </c>
      <c r="AL220" s="80" t="e">
        <f t="shared" si="264"/>
        <v>#VALUE!</v>
      </c>
      <c r="AM220" s="139" t="b">
        <f t="shared" si="265"/>
        <v>1</v>
      </c>
      <c r="AN220" s="139" t="b">
        <f>AND(COUNTA(E220)&gt;0,ISNUMBER(F220),OR(COUNT(G220:H220)=0,COUNT(G220:H220)=2,AND(ISNUMBER(G220),ISNUMBER(VALUE(LEFT(H220,SUM(LEN(H220)-LEN(SUBSTITUTE(H220,{"0","1","2","3","4","5","6","7","8","9","."},"")))))))),ISNUMBER(I220),ISTEXT(J220))</f>
        <v>0</v>
      </c>
      <c r="AO220" s="19" t="b">
        <f t="shared" si="266"/>
        <v>0</v>
      </c>
      <c r="AP220" s="19" t="b">
        <f t="shared" si="267"/>
        <v>1</v>
      </c>
      <c r="AQ220" s="19" t="b">
        <f>IF(AND(COUNTBLANK(E220:J220)=6,OR(AN221:AN$523)),NOT(AN220))</f>
        <v>0</v>
      </c>
      <c r="AR220" s="19" t="str">
        <f t="shared" si="268"/>
        <v/>
      </c>
      <c r="AS220" s="19" t="b">
        <f t="shared" si="269"/>
        <v>1</v>
      </c>
      <c r="AT220" s="19" t="str">
        <f t="shared" si="270"/>
        <v/>
      </c>
      <c r="AU220" s="19" t="b">
        <f t="shared" si="271"/>
        <v>1</v>
      </c>
      <c r="AV220" s="140" t="str">
        <f t="shared" si="233"/>
        <v/>
      </c>
      <c r="AW220" s="19" t="str">
        <f t="shared" si="272"/>
        <v/>
      </c>
      <c r="AX220" s="81">
        <f t="shared" si="273"/>
        <v>0</v>
      </c>
      <c r="AY220" s="81" t="str">
        <f t="shared" si="274"/>
        <v/>
      </c>
      <c r="AZ220" s="307" t="str">
        <f t="shared" si="304"/>
        <v/>
      </c>
      <c r="BA220" s="281" t="str">
        <f t="shared" si="234"/>
        <v/>
      </c>
      <c r="BB220" s="281" t="str">
        <f t="shared" si="235"/>
        <v/>
      </c>
      <c r="BC220" s="953"/>
      <c r="BD220" s="955"/>
      <c r="BE220" s="219" t="str">
        <f t="shared" si="275"/>
        <v>n/a</v>
      </c>
      <c r="BF220" s="215" t="b">
        <f t="shared" si="276"/>
        <v>0</v>
      </c>
      <c r="BG220" s="145" t="b">
        <f t="shared" si="277"/>
        <v>0</v>
      </c>
      <c r="BH220" s="145" t="b">
        <f t="shared" si="278"/>
        <v>0</v>
      </c>
      <c r="BI220" s="216" t="b">
        <f t="shared" si="279"/>
        <v>0</v>
      </c>
      <c r="BJ220" s="215" t="b">
        <f t="shared" si="280"/>
        <v>0</v>
      </c>
      <c r="BK220" s="145" t="b">
        <f t="shared" si="281"/>
        <v>0</v>
      </c>
      <c r="BL220" s="216" t="b">
        <f t="shared" si="282"/>
        <v>0</v>
      </c>
      <c r="BM220" s="217" t="str">
        <f t="shared" si="236"/>
        <v/>
      </c>
      <c r="BN220" s="146" t="str">
        <f t="shared" si="237"/>
        <v/>
      </c>
      <c r="BO220" s="147" t="str">
        <f t="shared" si="238"/>
        <v/>
      </c>
      <c r="BP220" s="148" t="str">
        <f t="shared" si="239"/>
        <v/>
      </c>
      <c r="BT220" s="50">
        <f t="shared" si="254"/>
        <v>197</v>
      </c>
      <c r="BU220" s="50" t="str">
        <f t="shared" si="256"/>
        <v>-</v>
      </c>
      <c r="BW220" s="340"/>
      <c r="BX220" s="333"/>
      <c r="BY220" s="333"/>
      <c r="BZ220" s="333"/>
      <c r="CA220" s="333"/>
      <c r="CB220" s="333"/>
      <c r="CC220" s="333"/>
      <c r="CD220" s="333"/>
      <c r="CE220" s="333"/>
      <c r="CF220" s="333"/>
      <c r="CG220" s="354">
        <f t="shared" si="283"/>
        <v>197</v>
      </c>
      <c r="CH220" s="613">
        <f t="shared" si="284"/>
        <v>0</v>
      </c>
      <c r="CI220" s="613">
        <f t="shared" si="285"/>
        <v>0</v>
      </c>
      <c r="CJ220" s="614" t="str">
        <f t="shared" si="286"/>
        <v/>
      </c>
      <c r="CK220" s="615" t="str">
        <f t="shared" si="287"/>
        <v/>
      </c>
      <c r="CL220" s="610" t="str">
        <f>IF(ISBLANK(H220),"",IF(AND(ISNUMBER(F220),ISNUMBER(G220),ISNUMBER(H220)),ROUND(F220/(H220*G220),2),ROUND(F220/(VALUE(LEFT(H220,SUM(LEN(H220)-LEN(SUBSTITUTE(H220,{"0","1","2","3","4","5","6","7","8","9","."},"")))))*G220),2)))</f>
        <v/>
      </c>
      <c r="CM220" s="616" t="str">
        <f t="shared" si="240"/>
        <v/>
      </c>
      <c r="CN220" s="616" t="str">
        <f>IF(ISNUMBER(P220),MAX('Adjustment factors'!$S$16,(0.2+0.8*P220)),IF(ISTEXT(N220),VLOOKUP(N220,Afactors,2,FALSE),""))</f>
        <v/>
      </c>
      <c r="CO220" s="616" t="str">
        <f>IF(ISNUMBER(S220),MAX('Adjustment factors'!$S$16,0.2+0.8*S220),IF(ISTEXT(Q220),VLOOKUP(Q220,Afactors,2,FALSE),""))</f>
        <v/>
      </c>
      <c r="CP220" s="611" t="str">
        <f t="shared" si="305"/>
        <v/>
      </c>
      <c r="CQ220" s="612" t="str">
        <f t="shared" si="306"/>
        <v/>
      </c>
      <c r="CR220" s="340"/>
      <c r="CS220" s="340"/>
      <c r="CT220" s="340"/>
      <c r="CU220" s="340"/>
      <c r="CV220" s="333"/>
      <c r="CW220" s="333"/>
      <c r="CX220" s="333"/>
      <c r="CY220" s="333"/>
      <c r="DA220" s="313" t="str">
        <f t="shared" si="288"/>
        <v>OK</v>
      </c>
      <c r="DB220" s="313" t="str">
        <f t="shared" si="289"/>
        <v>OK</v>
      </c>
      <c r="DC220" s="313" t="str">
        <f t="shared" si="290"/>
        <v>OK</v>
      </c>
      <c r="DD220" s="313" t="str">
        <f t="shared" si="291"/>
        <v>OK</v>
      </c>
      <c r="DE220" s="153" t="str">
        <f t="shared" si="292"/>
        <v>OK</v>
      </c>
      <c r="DF220" s="314" t="str">
        <f t="shared" si="293"/>
        <v>OK</v>
      </c>
      <c r="DG220" s="482" t="str">
        <f t="shared" si="307"/>
        <v>OK</v>
      </c>
      <c r="DH220" s="482" t="str">
        <f>IF(OR(AND(T220='Adjustment factors'!$R$28,'Class 3, 5-9'!U220='Adjustment factors'!$R$29),AND('Class 3, 5-9'!T220='Adjustment factors'!$R$29,'Class 3, 5-9'!U220='Adjustment factors'!$R$28)),"Invalid combination of adjustment factors",IF(AND(T220=U220,NOT(ISBLANK(T220)),NOT(ISBLANK(U220))),"Same colour factor selected twice","OK"))</f>
        <v>OK</v>
      </c>
      <c r="DI220" s="313" t="str">
        <f t="shared" si="294"/>
        <v>OK</v>
      </c>
      <c r="DJ220" s="153" t="str">
        <f t="shared" si="241"/>
        <v>OK</v>
      </c>
      <c r="DK220" s="153" t="str">
        <f t="shared" si="295"/>
        <v>OK</v>
      </c>
      <c r="DL220" s="313" t="str">
        <f t="shared" si="296"/>
        <v>OK</v>
      </c>
      <c r="DM220" s="153" t="str">
        <f t="shared" si="297"/>
        <v>OK</v>
      </c>
      <c r="DN220" s="153" t="str">
        <f t="shared" si="242"/>
        <v>OK</v>
      </c>
      <c r="DO220" s="154" t="str">
        <f t="shared" si="243"/>
        <v>OK</v>
      </c>
      <c r="DP220" s="153" t="str">
        <f t="shared" si="298"/>
        <v>OK</v>
      </c>
      <c r="DQ220" s="313" t="str">
        <f t="shared" si="299"/>
        <v>OK</v>
      </c>
      <c r="DR220" s="153" t="str">
        <f t="shared" si="244"/>
        <v>OK</v>
      </c>
      <c r="DS220" s="153" t="str">
        <f t="shared" si="300"/>
        <v>OK</v>
      </c>
      <c r="DT220" s="313" t="str">
        <f t="shared" si="258"/>
        <v>OK</v>
      </c>
      <c r="DU220" s="153" t="str">
        <f t="shared" si="301"/>
        <v>OK</v>
      </c>
      <c r="DV220" s="153" t="str">
        <f t="shared" si="245"/>
        <v>OK</v>
      </c>
      <c r="DW220" s="154" t="str">
        <f t="shared" si="246"/>
        <v>OK</v>
      </c>
      <c r="DX220" s="157">
        <f t="shared" si="247"/>
        <v>0</v>
      </c>
      <c r="DY220" s="156" t="str">
        <f t="shared" si="248"/>
        <v>OK</v>
      </c>
    </row>
    <row r="221" spans="1:129" ht="13" hidden="1" x14ac:dyDescent="0.3">
      <c r="A221" s="340"/>
      <c r="B221" s="340"/>
      <c r="C221" s="332" t="str">
        <f t="shared" si="257"/>
        <v>-</v>
      </c>
      <c r="D221" s="584">
        <f t="shared" si="253"/>
        <v>198</v>
      </c>
      <c r="E221" s="585"/>
      <c r="F221" s="586"/>
      <c r="G221" s="600"/>
      <c r="H221" s="587"/>
      <c r="I221" s="601"/>
      <c r="J221" s="585"/>
      <c r="K221" s="617"/>
      <c r="L221" s="602"/>
      <c r="M221" s="603"/>
      <c r="N221" s="588"/>
      <c r="O221" s="604"/>
      <c r="P221" s="605"/>
      <c r="Q221" s="588"/>
      <c r="R221" s="604"/>
      <c r="S221" s="605"/>
      <c r="T221" s="606"/>
      <c r="U221" s="606"/>
      <c r="V221" s="429" t="str">
        <f t="shared" si="255"/>
        <v/>
      </c>
      <c r="W221" s="430" t="str">
        <f t="shared" si="252"/>
        <v/>
      </c>
      <c r="X221" s="66" t="str">
        <f>IF(AND(ISNUMBER(P221),N221=FixedDim),MAX('Adjustment factors'!$S$16,0.2+0.8*P221),IF(ISTEXT(N221),VLOOKUP(N221,Afactors,2,TRUE),""))</f>
        <v/>
      </c>
      <c r="Y221" s="17" t="str">
        <f>IF(AND(ISNUMBER(S221),Q221=FixedDim),MAX('Adjustment factors'!$S$16,0.2+0.8*S221),IF(ISTEXT(Q221),VLOOKUP(Q221,Afactors,2,TRUE),""))</f>
        <v/>
      </c>
      <c r="Z221" s="297" t="str">
        <f>IF(ISBLANK(T221),"",VLOOKUP(T221,'Adjustment factors'!$R$27:$S$30,2,TRUE))</f>
        <v/>
      </c>
      <c r="AA221" s="297" t="str">
        <f>IF(ISBLANK(U221),"",VLOOKUP(U221,'Adjustment factors'!$R$27:$S$30,2,TRUE))</f>
        <v/>
      </c>
      <c r="AB221" s="480">
        <f t="shared" si="302"/>
        <v>1</v>
      </c>
      <c r="AC221" s="18" t="b">
        <f t="shared" si="259"/>
        <v>0</v>
      </c>
      <c r="AD221" s="18" t="b">
        <f t="shared" si="260"/>
        <v>0</v>
      </c>
      <c r="AE221" s="18" t="b">
        <f t="shared" si="249"/>
        <v>0</v>
      </c>
      <c r="AF221" s="17" t="str">
        <f t="shared" si="261"/>
        <v/>
      </c>
      <c r="AG221" s="18" t="str">
        <f t="shared" si="262"/>
        <v/>
      </c>
      <c r="AH221" s="17" t="str">
        <f t="shared" si="250"/>
        <v/>
      </c>
      <c r="AI221" s="297" t="e">
        <f t="shared" si="303"/>
        <v>#VALUE!</v>
      </c>
      <c r="AJ221" s="79" t="e">
        <f t="shared" si="263"/>
        <v>#VALUE!</v>
      </c>
      <c r="AK221" s="17" t="str">
        <f t="shared" si="251"/>
        <v/>
      </c>
      <c r="AL221" s="80" t="e">
        <f t="shared" si="264"/>
        <v>#VALUE!</v>
      </c>
      <c r="AM221" s="139" t="b">
        <f t="shared" si="265"/>
        <v>1</v>
      </c>
      <c r="AN221" s="139" t="b">
        <f>AND(COUNTA(E221)&gt;0,ISNUMBER(F221),OR(COUNT(G221:H221)=0,COUNT(G221:H221)=2,AND(ISNUMBER(G221),ISNUMBER(VALUE(LEFT(H221,SUM(LEN(H221)-LEN(SUBSTITUTE(H221,{"0","1","2","3","4","5","6","7","8","9","."},"")))))))),ISNUMBER(I221),ISTEXT(J221))</f>
        <v>0</v>
      </c>
      <c r="AO221" s="19" t="b">
        <f t="shared" si="266"/>
        <v>0</v>
      </c>
      <c r="AP221" s="19" t="b">
        <f t="shared" si="267"/>
        <v>1</v>
      </c>
      <c r="AQ221" s="19" t="b">
        <f>IF(AND(COUNTBLANK(E221:J221)=6,OR(AN222:AN$523)),NOT(AN221))</f>
        <v>0</v>
      </c>
      <c r="AR221" s="19" t="str">
        <f t="shared" si="268"/>
        <v/>
      </c>
      <c r="AS221" s="19" t="b">
        <f t="shared" si="269"/>
        <v>1</v>
      </c>
      <c r="AT221" s="19" t="str">
        <f t="shared" si="270"/>
        <v/>
      </c>
      <c r="AU221" s="19" t="b">
        <f t="shared" si="271"/>
        <v>1</v>
      </c>
      <c r="AV221" s="140" t="str">
        <f t="shared" si="233"/>
        <v/>
      </c>
      <c r="AW221" s="19" t="str">
        <f t="shared" si="272"/>
        <v/>
      </c>
      <c r="AX221" s="81">
        <f t="shared" si="273"/>
        <v>0</v>
      </c>
      <c r="AY221" s="81" t="str">
        <f t="shared" si="274"/>
        <v/>
      </c>
      <c r="AZ221" s="307" t="str">
        <f t="shared" si="304"/>
        <v/>
      </c>
      <c r="BA221" s="281" t="str">
        <f t="shared" si="234"/>
        <v/>
      </c>
      <c r="BB221" s="281" t="str">
        <f t="shared" si="235"/>
        <v/>
      </c>
      <c r="BC221" s="953"/>
      <c r="BD221" s="955"/>
      <c r="BE221" s="219" t="str">
        <f t="shared" si="275"/>
        <v>n/a</v>
      </c>
      <c r="BF221" s="215" t="b">
        <f t="shared" si="276"/>
        <v>0</v>
      </c>
      <c r="BG221" s="145" t="b">
        <f t="shared" si="277"/>
        <v>0</v>
      </c>
      <c r="BH221" s="145" t="b">
        <f t="shared" si="278"/>
        <v>0</v>
      </c>
      <c r="BI221" s="216" t="b">
        <f t="shared" si="279"/>
        <v>0</v>
      </c>
      <c r="BJ221" s="215" t="b">
        <f t="shared" si="280"/>
        <v>0</v>
      </c>
      <c r="BK221" s="145" t="b">
        <f t="shared" si="281"/>
        <v>0</v>
      </c>
      <c r="BL221" s="216" t="b">
        <f t="shared" si="282"/>
        <v>0</v>
      </c>
      <c r="BM221" s="217" t="str">
        <f t="shared" si="236"/>
        <v/>
      </c>
      <c r="BN221" s="146" t="str">
        <f t="shared" si="237"/>
        <v/>
      </c>
      <c r="BO221" s="147" t="str">
        <f t="shared" si="238"/>
        <v/>
      </c>
      <c r="BP221" s="148" t="str">
        <f t="shared" si="239"/>
        <v/>
      </c>
      <c r="BT221" s="50">
        <f t="shared" si="254"/>
        <v>198</v>
      </c>
      <c r="BU221" s="50" t="str">
        <f t="shared" si="256"/>
        <v>-</v>
      </c>
      <c r="BW221" s="340"/>
      <c r="BX221" s="333"/>
      <c r="BY221" s="333"/>
      <c r="BZ221" s="333"/>
      <c r="CA221" s="333"/>
      <c r="CB221" s="333"/>
      <c r="CC221" s="333"/>
      <c r="CD221" s="333"/>
      <c r="CE221" s="333"/>
      <c r="CF221" s="333"/>
      <c r="CG221" s="354">
        <f t="shared" si="283"/>
        <v>198</v>
      </c>
      <c r="CH221" s="613">
        <f t="shared" si="284"/>
        <v>0</v>
      </c>
      <c r="CI221" s="613">
        <f t="shared" si="285"/>
        <v>0</v>
      </c>
      <c r="CJ221" s="614" t="str">
        <f t="shared" si="286"/>
        <v/>
      </c>
      <c r="CK221" s="615" t="str">
        <f t="shared" si="287"/>
        <v/>
      </c>
      <c r="CL221" s="610" t="str">
        <f>IF(ISBLANK(H221),"",IF(AND(ISNUMBER(F221),ISNUMBER(G221),ISNUMBER(H221)),ROUND(F221/(H221*G221),2),ROUND(F221/(VALUE(LEFT(H221,SUM(LEN(H221)-LEN(SUBSTITUTE(H221,{"0","1","2","3","4","5","6","7","8","9","."},"")))))*G221),2)))</f>
        <v/>
      </c>
      <c r="CM221" s="616" t="str">
        <f t="shared" si="240"/>
        <v/>
      </c>
      <c r="CN221" s="616" t="str">
        <f>IF(ISNUMBER(P221),MAX('Adjustment factors'!$S$16,(0.2+0.8*P221)),IF(ISTEXT(N221),VLOOKUP(N221,Afactors,2,FALSE),""))</f>
        <v/>
      </c>
      <c r="CO221" s="616" t="str">
        <f>IF(ISNUMBER(S221),MAX('Adjustment factors'!$S$16,0.2+0.8*S221),IF(ISTEXT(Q221),VLOOKUP(Q221,Afactors,2,FALSE),""))</f>
        <v/>
      </c>
      <c r="CP221" s="611" t="str">
        <f t="shared" si="305"/>
        <v/>
      </c>
      <c r="CQ221" s="612" t="str">
        <f t="shared" si="306"/>
        <v/>
      </c>
      <c r="CR221" s="340"/>
      <c r="CS221" s="340"/>
      <c r="CT221" s="340"/>
      <c r="CU221" s="340"/>
      <c r="CV221" s="333"/>
      <c r="CW221" s="333"/>
      <c r="CX221" s="333"/>
      <c r="CY221" s="333"/>
      <c r="DA221" s="313" t="str">
        <f t="shared" si="288"/>
        <v>OK</v>
      </c>
      <c r="DB221" s="313" t="str">
        <f t="shared" si="289"/>
        <v>OK</v>
      </c>
      <c r="DC221" s="313" t="str">
        <f t="shared" si="290"/>
        <v>OK</v>
      </c>
      <c r="DD221" s="313" t="str">
        <f t="shared" si="291"/>
        <v>OK</v>
      </c>
      <c r="DE221" s="153" t="str">
        <f t="shared" si="292"/>
        <v>OK</v>
      </c>
      <c r="DF221" s="314" t="str">
        <f t="shared" si="293"/>
        <v>OK</v>
      </c>
      <c r="DG221" s="482" t="str">
        <f t="shared" si="307"/>
        <v>OK</v>
      </c>
      <c r="DH221" s="482" t="str">
        <f>IF(OR(AND(T221='Adjustment factors'!$R$28,'Class 3, 5-9'!U221='Adjustment factors'!$R$29),AND('Class 3, 5-9'!T221='Adjustment factors'!$R$29,'Class 3, 5-9'!U221='Adjustment factors'!$R$28)),"Invalid combination of adjustment factors",IF(AND(T221=U221,NOT(ISBLANK(T221)),NOT(ISBLANK(U221))),"Same colour factor selected twice","OK"))</f>
        <v>OK</v>
      </c>
      <c r="DI221" s="313" t="str">
        <f t="shared" si="294"/>
        <v>OK</v>
      </c>
      <c r="DJ221" s="153" t="str">
        <f t="shared" si="241"/>
        <v>OK</v>
      </c>
      <c r="DK221" s="153" t="str">
        <f t="shared" si="295"/>
        <v>OK</v>
      </c>
      <c r="DL221" s="313" t="str">
        <f t="shared" si="296"/>
        <v>OK</v>
      </c>
      <c r="DM221" s="153" t="str">
        <f t="shared" si="297"/>
        <v>OK</v>
      </c>
      <c r="DN221" s="153" t="str">
        <f t="shared" si="242"/>
        <v>OK</v>
      </c>
      <c r="DO221" s="154" t="str">
        <f t="shared" si="243"/>
        <v>OK</v>
      </c>
      <c r="DP221" s="153" t="str">
        <f t="shared" si="298"/>
        <v>OK</v>
      </c>
      <c r="DQ221" s="313" t="str">
        <f t="shared" si="299"/>
        <v>OK</v>
      </c>
      <c r="DR221" s="153" t="str">
        <f t="shared" si="244"/>
        <v>OK</v>
      </c>
      <c r="DS221" s="153" t="str">
        <f t="shared" si="300"/>
        <v>OK</v>
      </c>
      <c r="DT221" s="313" t="str">
        <f t="shared" si="258"/>
        <v>OK</v>
      </c>
      <c r="DU221" s="153" t="str">
        <f t="shared" si="301"/>
        <v>OK</v>
      </c>
      <c r="DV221" s="153" t="str">
        <f t="shared" si="245"/>
        <v>OK</v>
      </c>
      <c r="DW221" s="154" t="str">
        <f t="shared" si="246"/>
        <v>OK</v>
      </c>
      <c r="DX221" s="157">
        <f t="shared" si="247"/>
        <v>0</v>
      </c>
      <c r="DY221" s="156" t="str">
        <f t="shared" si="248"/>
        <v>OK</v>
      </c>
    </row>
    <row r="222" spans="1:129" ht="13" hidden="1" x14ac:dyDescent="0.3">
      <c r="A222" s="340"/>
      <c r="B222" s="340"/>
      <c r="C222" s="332" t="str">
        <f t="shared" si="257"/>
        <v>-</v>
      </c>
      <c r="D222" s="584">
        <f t="shared" si="253"/>
        <v>199</v>
      </c>
      <c r="E222" s="585"/>
      <c r="F222" s="586"/>
      <c r="G222" s="600"/>
      <c r="H222" s="587"/>
      <c r="I222" s="601"/>
      <c r="J222" s="585"/>
      <c r="K222" s="617"/>
      <c r="L222" s="602"/>
      <c r="M222" s="603"/>
      <c r="N222" s="588"/>
      <c r="O222" s="604"/>
      <c r="P222" s="605"/>
      <c r="Q222" s="588"/>
      <c r="R222" s="604"/>
      <c r="S222" s="605"/>
      <c r="T222" s="606"/>
      <c r="U222" s="606"/>
      <c r="V222" s="429" t="str">
        <f t="shared" si="255"/>
        <v/>
      </c>
      <c r="W222" s="430" t="str">
        <f t="shared" si="252"/>
        <v/>
      </c>
      <c r="X222" s="66" t="str">
        <f>IF(AND(ISNUMBER(P222),N222=FixedDim),MAX('Adjustment factors'!$S$16,0.2+0.8*P222),IF(ISTEXT(N222),VLOOKUP(N222,Afactors,2,TRUE),""))</f>
        <v/>
      </c>
      <c r="Y222" s="17" t="str">
        <f>IF(AND(ISNUMBER(S222),Q222=FixedDim),MAX('Adjustment factors'!$S$16,0.2+0.8*S222),IF(ISTEXT(Q222),VLOOKUP(Q222,Afactors,2,TRUE),""))</f>
        <v/>
      </c>
      <c r="Z222" s="297" t="str">
        <f>IF(ISBLANK(T222),"",VLOOKUP(T222,'Adjustment factors'!$R$27:$S$30,2,TRUE))</f>
        <v/>
      </c>
      <c r="AA222" s="297" t="str">
        <f>IF(ISBLANK(U222),"",VLOOKUP(U222,'Adjustment factors'!$R$27:$S$30,2,TRUE))</f>
        <v/>
      </c>
      <c r="AB222" s="480">
        <f t="shared" si="302"/>
        <v>1</v>
      </c>
      <c r="AC222" s="18" t="b">
        <f t="shared" si="259"/>
        <v>0</v>
      </c>
      <c r="AD222" s="18" t="b">
        <f t="shared" si="260"/>
        <v>0</v>
      </c>
      <c r="AE222" s="18" t="b">
        <f t="shared" si="249"/>
        <v>0</v>
      </c>
      <c r="AF222" s="17" t="str">
        <f t="shared" si="261"/>
        <v/>
      </c>
      <c r="AG222" s="18" t="str">
        <f t="shared" si="262"/>
        <v/>
      </c>
      <c r="AH222" s="17" t="str">
        <f t="shared" si="250"/>
        <v/>
      </c>
      <c r="AI222" s="297" t="e">
        <f t="shared" si="303"/>
        <v>#VALUE!</v>
      </c>
      <c r="AJ222" s="79" t="e">
        <f t="shared" si="263"/>
        <v>#VALUE!</v>
      </c>
      <c r="AK222" s="17" t="str">
        <f t="shared" si="251"/>
        <v/>
      </c>
      <c r="AL222" s="80" t="e">
        <f t="shared" si="264"/>
        <v>#VALUE!</v>
      </c>
      <c r="AM222" s="139" t="b">
        <f t="shared" si="265"/>
        <v>1</v>
      </c>
      <c r="AN222" s="139" t="b">
        <f>AND(COUNTA(E222)&gt;0,ISNUMBER(F222),OR(COUNT(G222:H222)=0,COUNT(G222:H222)=2,AND(ISNUMBER(G222),ISNUMBER(VALUE(LEFT(H222,SUM(LEN(H222)-LEN(SUBSTITUTE(H222,{"0","1","2","3","4","5","6","7","8","9","."},"")))))))),ISNUMBER(I222),ISTEXT(J222))</f>
        <v>0</v>
      </c>
      <c r="AO222" s="19" t="b">
        <f t="shared" si="266"/>
        <v>0</v>
      </c>
      <c r="AP222" s="19" t="b">
        <f t="shared" si="267"/>
        <v>1</v>
      </c>
      <c r="AQ222" s="19" t="b">
        <f>IF(AND(COUNTBLANK(E222:J222)=6,OR(AN223:AN$523)),NOT(AN222))</f>
        <v>0</v>
      </c>
      <c r="AR222" s="19" t="str">
        <f t="shared" si="268"/>
        <v/>
      </c>
      <c r="AS222" s="19" t="b">
        <f t="shared" si="269"/>
        <v>1</v>
      </c>
      <c r="AT222" s="19" t="str">
        <f t="shared" si="270"/>
        <v/>
      </c>
      <c r="AU222" s="19" t="b">
        <f t="shared" si="271"/>
        <v>1</v>
      </c>
      <c r="AV222" s="140" t="str">
        <f t="shared" si="233"/>
        <v/>
      </c>
      <c r="AW222" s="19" t="str">
        <f t="shared" si="272"/>
        <v/>
      </c>
      <c r="AX222" s="81">
        <f t="shared" si="273"/>
        <v>0</v>
      </c>
      <c r="AY222" s="81" t="str">
        <f t="shared" si="274"/>
        <v/>
      </c>
      <c r="AZ222" s="307" t="str">
        <f t="shared" si="304"/>
        <v/>
      </c>
      <c r="BA222" s="281" t="str">
        <f t="shared" si="234"/>
        <v/>
      </c>
      <c r="BB222" s="281" t="str">
        <f t="shared" si="235"/>
        <v/>
      </c>
      <c r="BC222" s="953"/>
      <c r="BD222" s="955"/>
      <c r="BE222" s="219" t="str">
        <f t="shared" si="275"/>
        <v>n/a</v>
      </c>
      <c r="BF222" s="215" t="b">
        <f t="shared" si="276"/>
        <v>0</v>
      </c>
      <c r="BG222" s="145" t="b">
        <f t="shared" si="277"/>
        <v>0</v>
      </c>
      <c r="BH222" s="145" t="b">
        <f t="shared" si="278"/>
        <v>0</v>
      </c>
      <c r="BI222" s="216" t="b">
        <f t="shared" si="279"/>
        <v>0</v>
      </c>
      <c r="BJ222" s="215" t="b">
        <f t="shared" si="280"/>
        <v>0</v>
      </c>
      <c r="BK222" s="145" t="b">
        <f t="shared" si="281"/>
        <v>0</v>
      </c>
      <c r="BL222" s="216" t="b">
        <f t="shared" si="282"/>
        <v>0</v>
      </c>
      <c r="BM222" s="217" t="str">
        <f t="shared" si="236"/>
        <v/>
      </c>
      <c r="BN222" s="146" t="str">
        <f t="shared" si="237"/>
        <v/>
      </c>
      <c r="BO222" s="147" t="str">
        <f t="shared" si="238"/>
        <v/>
      </c>
      <c r="BP222" s="148" t="str">
        <f t="shared" si="239"/>
        <v/>
      </c>
      <c r="BT222" s="50">
        <f t="shared" si="254"/>
        <v>199</v>
      </c>
      <c r="BU222" s="50" t="str">
        <f t="shared" si="256"/>
        <v>-</v>
      </c>
      <c r="BW222" s="340"/>
      <c r="BX222" s="333"/>
      <c r="BY222" s="333"/>
      <c r="BZ222" s="333"/>
      <c r="CA222" s="333"/>
      <c r="CB222" s="333"/>
      <c r="CC222" s="333"/>
      <c r="CD222" s="333"/>
      <c r="CE222" s="333"/>
      <c r="CF222" s="333"/>
      <c r="CG222" s="354">
        <f t="shared" si="283"/>
        <v>199</v>
      </c>
      <c r="CH222" s="613">
        <f t="shared" si="284"/>
        <v>0</v>
      </c>
      <c r="CI222" s="613">
        <f t="shared" si="285"/>
        <v>0</v>
      </c>
      <c r="CJ222" s="614" t="str">
        <f t="shared" si="286"/>
        <v/>
      </c>
      <c r="CK222" s="615" t="str">
        <f t="shared" si="287"/>
        <v/>
      </c>
      <c r="CL222" s="610" t="str">
        <f>IF(ISBLANK(H222),"",IF(AND(ISNUMBER(F222),ISNUMBER(G222),ISNUMBER(H222)),ROUND(F222/(H222*G222),2),ROUND(F222/(VALUE(LEFT(H222,SUM(LEN(H222)-LEN(SUBSTITUTE(H222,{"0","1","2","3","4","5","6","7","8","9","."},"")))))*G222),2)))</f>
        <v/>
      </c>
      <c r="CM222" s="616" t="str">
        <f t="shared" si="240"/>
        <v/>
      </c>
      <c r="CN222" s="616" t="str">
        <f>IF(ISNUMBER(P222),MAX('Adjustment factors'!$S$16,(0.2+0.8*P222)),IF(ISTEXT(N222),VLOOKUP(N222,Afactors,2,FALSE),""))</f>
        <v/>
      </c>
      <c r="CO222" s="616" t="str">
        <f>IF(ISNUMBER(S222),MAX('Adjustment factors'!$S$16,0.2+0.8*S222),IF(ISTEXT(Q222),VLOOKUP(Q222,Afactors,2,FALSE),""))</f>
        <v/>
      </c>
      <c r="CP222" s="611" t="str">
        <f t="shared" si="305"/>
        <v/>
      </c>
      <c r="CQ222" s="612" t="str">
        <f t="shared" si="306"/>
        <v/>
      </c>
      <c r="CR222" s="340"/>
      <c r="CS222" s="340"/>
      <c r="CT222" s="340"/>
      <c r="CU222" s="340"/>
      <c r="CV222" s="333"/>
      <c r="CW222" s="333"/>
      <c r="CX222" s="333"/>
      <c r="CY222" s="333"/>
      <c r="DA222" s="313" t="str">
        <f t="shared" si="288"/>
        <v>OK</v>
      </c>
      <c r="DB222" s="313" t="str">
        <f t="shared" si="289"/>
        <v>OK</v>
      </c>
      <c r="DC222" s="313" t="str">
        <f t="shared" si="290"/>
        <v>OK</v>
      </c>
      <c r="DD222" s="313" t="str">
        <f t="shared" si="291"/>
        <v>OK</v>
      </c>
      <c r="DE222" s="153" t="str">
        <f t="shared" si="292"/>
        <v>OK</v>
      </c>
      <c r="DF222" s="314" t="str">
        <f t="shared" si="293"/>
        <v>OK</v>
      </c>
      <c r="DG222" s="482" t="str">
        <f t="shared" si="307"/>
        <v>OK</v>
      </c>
      <c r="DH222" s="482" t="str">
        <f>IF(OR(AND(T222='Adjustment factors'!$R$28,'Class 3, 5-9'!U222='Adjustment factors'!$R$29),AND('Class 3, 5-9'!T222='Adjustment factors'!$R$29,'Class 3, 5-9'!U222='Adjustment factors'!$R$28)),"Invalid combination of adjustment factors",IF(AND(T222=U222,NOT(ISBLANK(T222)),NOT(ISBLANK(U222))),"Same colour factor selected twice","OK"))</f>
        <v>OK</v>
      </c>
      <c r="DI222" s="313" t="str">
        <f t="shared" si="294"/>
        <v>OK</v>
      </c>
      <c r="DJ222" s="153" t="str">
        <f t="shared" si="241"/>
        <v>OK</v>
      </c>
      <c r="DK222" s="153" t="str">
        <f t="shared" si="295"/>
        <v>OK</v>
      </c>
      <c r="DL222" s="313" t="str">
        <f t="shared" si="296"/>
        <v>OK</v>
      </c>
      <c r="DM222" s="153" t="str">
        <f t="shared" si="297"/>
        <v>OK</v>
      </c>
      <c r="DN222" s="153" t="str">
        <f t="shared" si="242"/>
        <v>OK</v>
      </c>
      <c r="DO222" s="154" t="str">
        <f t="shared" si="243"/>
        <v>OK</v>
      </c>
      <c r="DP222" s="153" t="str">
        <f t="shared" si="298"/>
        <v>OK</v>
      </c>
      <c r="DQ222" s="313" t="str">
        <f t="shared" si="299"/>
        <v>OK</v>
      </c>
      <c r="DR222" s="153" t="str">
        <f t="shared" si="244"/>
        <v>OK</v>
      </c>
      <c r="DS222" s="153" t="str">
        <f t="shared" si="300"/>
        <v>OK</v>
      </c>
      <c r="DT222" s="313" t="str">
        <f t="shared" si="258"/>
        <v>OK</v>
      </c>
      <c r="DU222" s="153" t="str">
        <f t="shared" si="301"/>
        <v>OK</v>
      </c>
      <c r="DV222" s="153" t="str">
        <f t="shared" si="245"/>
        <v>OK</v>
      </c>
      <c r="DW222" s="154" t="str">
        <f t="shared" si="246"/>
        <v>OK</v>
      </c>
      <c r="DX222" s="157">
        <f t="shared" si="247"/>
        <v>0</v>
      </c>
      <c r="DY222" s="156" t="str">
        <f t="shared" si="248"/>
        <v>OK</v>
      </c>
    </row>
    <row r="223" spans="1:129" ht="13" hidden="1" x14ac:dyDescent="0.3">
      <c r="A223" s="340"/>
      <c r="B223" s="418"/>
      <c r="C223" s="332" t="str">
        <f t="shared" si="257"/>
        <v>-</v>
      </c>
      <c r="D223" s="584">
        <f t="shared" si="253"/>
        <v>200</v>
      </c>
      <c r="E223" s="585"/>
      <c r="F223" s="586"/>
      <c r="G223" s="600"/>
      <c r="H223" s="587"/>
      <c r="I223" s="601"/>
      <c r="J223" s="585"/>
      <c r="K223" s="617"/>
      <c r="L223" s="602"/>
      <c r="M223" s="603"/>
      <c r="N223" s="588"/>
      <c r="O223" s="604"/>
      <c r="P223" s="605"/>
      <c r="Q223" s="588"/>
      <c r="R223" s="604"/>
      <c r="S223" s="605"/>
      <c r="T223" s="606"/>
      <c r="U223" s="606"/>
      <c r="V223" s="429" t="str">
        <f t="shared" si="255"/>
        <v/>
      </c>
      <c r="W223" s="430" t="str">
        <f t="shared" si="252"/>
        <v/>
      </c>
      <c r="X223" s="66" t="str">
        <f>IF(AND(ISNUMBER(P223),N223=FixedDim),MAX('Adjustment factors'!$S$16,0.2+0.8*P223),IF(ISTEXT(N223),VLOOKUP(N223,Afactors,2,TRUE),""))</f>
        <v/>
      </c>
      <c r="Y223" s="17" t="str">
        <f>IF(AND(ISNUMBER(S223),Q223=FixedDim),MAX('Adjustment factors'!$S$16,0.2+0.8*S223),IF(ISTEXT(Q223),VLOOKUP(Q223,Afactors,2,TRUE),""))</f>
        <v/>
      </c>
      <c r="Z223" s="297" t="str">
        <f>IF(ISBLANK(T223),"",VLOOKUP(T223,'Adjustment factors'!$R$27:$S$30,2,TRUE))</f>
        <v/>
      </c>
      <c r="AA223" s="297" t="str">
        <f>IF(ISBLANK(U223),"",VLOOKUP(U223,'Adjustment factors'!$R$27:$S$30,2,TRUE))</f>
        <v/>
      </c>
      <c r="AB223" s="480">
        <f t="shared" si="302"/>
        <v>1</v>
      </c>
      <c r="AC223" s="18" t="b">
        <f t="shared" si="259"/>
        <v>0</v>
      </c>
      <c r="AD223" s="18" t="b">
        <f t="shared" si="260"/>
        <v>0</v>
      </c>
      <c r="AE223" s="18" t="b">
        <f t="shared" si="249"/>
        <v>0</v>
      </c>
      <c r="AF223" s="17" t="str">
        <f t="shared" si="261"/>
        <v/>
      </c>
      <c r="AG223" s="18" t="str">
        <f t="shared" si="262"/>
        <v/>
      </c>
      <c r="AH223" s="17" t="str">
        <f t="shared" si="250"/>
        <v/>
      </c>
      <c r="AI223" s="297" t="e">
        <f t="shared" si="303"/>
        <v>#VALUE!</v>
      </c>
      <c r="AJ223" s="79" t="e">
        <f t="shared" si="263"/>
        <v>#VALUE!</v>
      </c>
      <c r="AK223" s="17" t="str">
        <f t="shared" si="251"/>
        <v/>
      </c>
      <c r="AL223" s="80" t="e">
        <f t="shared" si="264"/>
        <v>#VALUE!</v>
      </c>
      <c r="AM223" s="139" t="b">
        <f t="shared" si="265"/>
        <v>1</v>
      </c>
      <c r="AN223" s="139" t="b">
        <f>AND(COUNTA(E223)&gt;0,ISNUMBER(F223),OR(COUNT(G223:H223)=0,COUNT(G223:H223)=2,AND(ISNUMBER(G223),ISNUMBER(VALUE(LEFT(H223,SUM(LEN(H223)-LEN(SUBSTITUTE(H223,{"0","1","2","3","4","5","6","7","8","9","."},"")))))))),ISNUMBER(I223),ISTEXT(J223))</f>
        <v>0</v>
      </c>
      <c r="AO223" s="19" t="b">
        <f t="shared" si="266"/>
        <v>0</v>
      </c>
      <c r="AP223" s="19" t="b">
        <f t="shared" si="267"/>
        <v>1</v>
      </c>
      <c r="AQ223" s="19" t="b">
        <f>IF(AND(COUNTBLANK(E223:J223)=6,OR(AN224:AN$523)),NOT(AN223))</f>
        <v>0</v>
      </c>
      <c r="AR223" s="19" t="str">
        <f t="shared" si="268"/>
        <v/>
      </c>
      <c r="AS223" s="19" t="b">
        <f t="shared" si="269"/>
        <v>1</v>
      </c>
      <c r="AT223" s="19" t="str">
        <f t="shared" si="270"/>
        <v/>
      </c>
      <c r="AU223" s="19" t="b">
        <f t="shared" si="271"/>
        <v>1</v>
      </c>
      <c r="AV223" s="140" t="str">
        <f t="shared" si="233"/>
        <v/>
      </c>
      <c r="AW223" s="19" t="str">
        <f t="shared" si="272"/>
        <v/>
      </c>
      <c r="AX223" s="81">
        <f t="shared" si="273"/>
        <v>0</v>
      </c>
      <c r="AY223" s="81" t="str">
        <f t="shared" si="274"/>
        <v/>
      </c>
      <c r="AZ223" s="307" t="str">
        <f t="shared" si="304"/>
        <v/>
      </c>
      <c r="BA223" s="281" t="str">
        <f t="shared" si="234"/>
        <v/>
      </c>
      <c r="BB223" s="281" t="str">
        <f t="shared" si="235"/>
        <v/>
      </c>
      <c r="BC223" s="953"/>
      <c r="BD223" s="955"/>
      <c r="BE223" s="219" t="str">
        <f t="shared" si="275"/>
        <v>n/a</v>
      </c>
      <c r="BF223" s="215" t="b">
        <f t="shared" si="276"/>
        <v>0</v>
      </c>
      <c r="BG223" s="145" t="b">
        <f t="shared" si="277"/>
        <v>0</v>
      </c>
      <c r="BH223" s="145" t="b">
        <f t="shared" si="278"/>
        <v>0</v>
      </c>
      <c r="BI223" s="216" t="b">
        <f t="shared" si="279"/>
        <v>0</v>
      </c>
      <c r="BJ223" s="215" t="b">
        <f t="shared" si="280"/>
        <v>0</v>
      </c>
      <c r="BK223" s="145" t="b">
        <f t="shared" si="281"/>
        <v>0</v>
      </c>
      <c r="BL223" s="216" t="b">
        <f t="shared" si="282"/>
        <v>0</v>
      </c>
      <c r="BM223" s="217" t="str">
        <f t="shared" si="236"/>
        <v/>
      </c>
      <c r="BN223" s="146" t="str">
        <f t="shared" si="237"/>
        <v/>
      </c>
      <c r="BO223" s="147" t="str">
        <f t="shared" si="238"/>
        <v/>
      </c>
      <c r="BP223" s="148" t="str">
        <f t="shared" si="239"/>
        <v/>
      </c>
      <c r="BT223" s="50">
        <f t="shared" si="254"/>
        <v>200</v>
      </c>
      <c r="BU223" s="50" t="str">
        <f t="shared" si="256"/>
        <v>-</v>
      </c>
      <c r="BW223" s="340"/>
      <c r="BX223" s="333"/>
      <c r="BY223" s="333"/>
      <c r="BZ223" s="333"/>
      <c r="CA223" s="333"/>
      <c r="CB223" s="333"/>
      <c r="CC223" s="333"/>
      <c r="CD223" s="333"/>
      <c r="CE223" s="333"/>
      <c r="CF223" s="333"/>
      <c r="CG223" s="354">
        <f t="shared" si="283"/>
        <v>200</v>
      </c>
      <c r="CH223" s="613">
        <f t="shared" si="284"/>
        <v>0</v>
      </c>
      <c r="CI223" s="613">
        <f t="shared" si="285"/>
        <v>0</v>
      </c>
      <c r="CJ223" s="614" t="str">
        <f t="shared" si="286"/>
        <v/>
      </c>
      <c r="CK223" s="615" t="str">
        <f t="shared" si="287"/>
        <v/>
      </c>
      <c r="CL223" s="610" t="str">
        <f>IF(ISBLANK(H223),"",IF(AND(ISNUMBER(F223),ISNUMBER(G223),ISNUMBER(H223)),ROUND(F223/(H223*G223),2),ROUND(F223/(VALUE(LEFT(H223,SUM(LEN(H223)-LEN(SUBSTITUTE(H223,{"0","1","2","3","4","5","6","7","8","9","."},"")))))*G223),2)))</f>
        <v/>
      </c>
      <c r="CM223" s="616" t="str">
        <f t="shared" si="240"/>
        <v/>
      </c>
      <c r="CN223" s="616" t="str">
        <f>IF(ISNUMBER(P223),MAX('Adjustment factors'!$S$16,(0.2+0.8*P223)),IF(ISTEXT(N223),VLOOKUP(N223,Afactors,2,FALSE),""))</f>
        <v/>
      </c>
      <c r="CO223" s="616" t="str">
        <f>IF(ISNUMBER(S223),MAX('Adjustment factors'!$S$16,0.2+0.8*S223),IF(ISTEXT(Q223),VLOOKUP(Q223,Afactors,2,FALSE),""))</f>
        <v/>
      </c>
      <c r="CP223" s="611" t="str">
        <f t="shared" si="305"/>
        <v/>
      </c>
      <c r="CQ223" s="612" t="str">
        <f t="shared" si="306"/>
        <v/>
      </c>
      <c r="CR223" s="340"/>
      <c r="CS223" s="340"/>
      <c r="CT223" s="340"/>
      <c r="CU223" s="340"/>
      <c r="CV223" s="333"/>
      <c r="CW223" s="333"/>
      <c r="CX223" s="333"/>
      <c r="CY223" s="333"/>
      <c r="DA223" s="313" t="str">
        <f t="shared" si="288"/>
        <v>OK</v>
      </c>
      <c r="DB223" s="313" t="str">
        <f t="shared" si="289"/>
        <v>OK</v>
      </c>
      <c r="DC223" s="313" t="str">
        <f t="shared" si="290"/>
        <v>OK</v>
      </c>
      <c r="DD223" s="313" t="str">
        <f t="shared" si="291"/>
        <v>OK</v>
      </c>
      <c r="DE223" s="153" t="str">
        <f t="shared" si="292"/>
        <v>OK</v>
      </c>
      <c r="DF223" s="314" t="str">
        <f t="shared" si="293"/>
        <v>OK</v>
      </c>
      <c r="DG223" s="482" t="str">
        <f t="shared" si="307"/>
        <v>OK</v>
      </c>
      <c r="DH223" s="482" t="str">
        <f>IF(OR(AND(T223='Adjustment factors'!$R$28,'Class 3, 5-9'!U223='Adjustment factors'!$R$29),AND('Class 3, 5-9'!T223='Adjustment factors'!$R$29,'Class 3, 5-9'!U223='Adjustment factors'!$R$28)),"Invalid combination of adjustment factors",IF(AND(T223=U223,NOT(ISBLANK(T223)),NOT(ISBLANK(U223))),"Same colour factor selected twice","OK"))</f>
        <v>OK</v>
      </c>
      <c r="DI223" s="313" t="str">
        <f t="shared" si="294"/>
        <v>OK</v>
      </c>
      <c r="DJ223" s="153" t="str">
        <f t="shared" si="241"/>
        <v>OK</v>
      </c>
      <c r="DK223" s="153" t="str">
        <f t="shared" si="295"/>
        <v>OK</v>
      </c>
      <c r="DL223" s="313" t="str">
        <f t="shared" si="296"/>
        <v>OK</v>
      </c>
      <c r="DM223" s="153" t="str">
        <f t="shared" si="297"/>
        <v>OK</v>
      </c>
      <c r="DN223" s="153" t="str">
        <f t="shared" si="242"/>
        <v>OK</v>
      </c>
      <c r="DO223" s="154" t="str">
        <f t="shared" si="243"/>
        <v>OK</v>
      </c>
      <c r="DP223" s="153" t="str">
        <f t="shared" si="298"/>
        <v>OK</v>
      </c>
      <c r="DQ223" s="313" t="str">
        <f t="shared" si="299"/>
        <v>OK</v>
      </c>
      <c r="DR223" s="153" t="str">
        <f t="shared" si="244"/>
        <v>OK</v>
      </c>
      <c r="DS223" s="153" t="str">
        <f t="shared" si="300"/>
        <v>OK</v>
      </c>
      <c r="DT223" s="313" t="str">
        <f t="shared" si="258"/>
        <v>OK</v>
      </c>
      <c r="DU223" s="153" t="str">
        <f t="shared" si="301"/>
        <v>OK</v>
      </c>
      <c r="DV223" s="153" t="str">
        <f t="shared" si="245"/>
        <v>OK</v>
      </c>
      <c r="DW223" s="154" t="str">
        <f t="shared" si="246"/>
        <v>OK</v>
      </c>
      <c r="DX223" s="157">
        <f t="shared" si="247"/>
        <v>0</v>
      </c>
      <c r="DY223" s="156" t="str">
        <f t="shared" si="248"/>
        <v>OK</v>
      </c>
    </row>
    <row r="224" spans="1:129" s="312" customFormat="1" ht="13" hidden="1" x14ac:dyDescent="0.25">
      <c r="A224" s="351"/>
      <c r="B224" s="417"/>
      <c r="C224" s="330" t="str">
        <f>BU224</f>
        <v>-</v>
      </c>
      <c r="D224" s="584">
        <f t="shared" si="253"/>
        <v>201</v>
      </c>
      <c r="E224" s="585"/>
      <c r="F224" s="586"/>
      <c r="G224" s="600"/>
      <c r="H224" s="587"/>
      <c r="I224" s="601"/>
      <c r="J224" s="585"/>
      <c r="K224" s="617"/>
      <c r="L224" s="602"/>
      <c r="M224" s="603"/>
      <c r="N224" s="588"/>
      <c r="O224" s="604"/>
      <c r="P224" s="605"/>
      <c r="Q224" s="588"/>
      <c r="R224" s="604"/>
      <c r="S224" s="605"/>
      <c r="T224" s="606"/>
      <c r="U224" s="606"/>
      <c r="V224" s="429" t="str">
        <f t="shared" si="255"/>
        <v/>
      </c>
      <c r="W224" s="430" t="str">
        <f>AW224</f>
        <v/>
      </c>
      <c r="X224" s="66" t="str">
        <f>IF(AND(ISNUMBER(P224),N224=FixedDim),MAX('Adjustment factors'!$S$16,0.2+0.8*P224),IF(ISTEXT(N224),VLOOKUP(N224,Afactors,2,TRUE),""))</f>
        <v/>
      </c>
      <c r="Y224" s="17" t="str">
        <f>IF(AND(ISNUMBER(S224),Q224=FixedDim),MAX('Adjustment factors'!$S$16,0.2+0.8*S224),IF(ISTEXT(Q224),VLOOKUP(Q224,Afactors,2,TRUE),""))</f>
        <v/>
      </c>
      <c r="Z224" s="297" t="str">
        <f>IF(ISBLANK(T224),"",VLOOKUP(T224,'Adjustment factors'!$R$27:$S$30,2,TRUE))</f>
        <v/>
      </c>
      <c r="AA224" s="297" t="str">
        <f>IF(ISBLANK(U224),"",VLOOKUP(U224,'Adjustment factors'!$R$27:$S$30,2,TRUE))</f>
        <v/>
      </c>
      <c r="AB224" s="480">
        <f t="shared" si="302"/>
        <v>1</v>
      </c>
      <c r="AC224" s="18" t="b">
        <f t="shared" si="259"/>
        <v>0</v>
      </c>
      <c r="AD224" s="18" t="b">
        <f t="shared" si="260"/>
        <v>0</v>
      </c>
      <c r="AE224" s="18" t="b">
        <f>ISNUMBER(CM224)</f>
        <v>0</v>
      </c>
      <c r="AF224" s="17" t="str">
        <f t="shared" si="261"/>
        <v/>
      </c>
      <c r="AG224" s="18" t="str">
        <f t="shared" si="262"/>
        <v/>
      </c>
      <c r="AH224" s="17" t="str">
        <f t="shared" si="250"/>
        <v/>
      </c>
      <c r="AI224" s="297" t="e">
        <f t="shared" si="303"/>
        <v>#VALUE!</v>
      </c>
      <c r="AJ224" s="79" t="e">
        <f t="shared" si="263"/>
        <v>#VALUE!</v>
      </c>
      <c r="AK224" s="17" t="str">
        <f>IF(AD224,(AF224*(AG224+((1-AG224)/2))),"")</f>
        <v/>
      </c>
      <c r="AL224" s="80" t="e">
        <f t="shared" si="264"/>
        <v>#VALUE!</v>
      </c>
      <c r="AM224" s="139" t="b">
        <f t="shared" si="265"/>
        <v>1</v>
      </c>
      <c r="AN224" s="139" t="b">
        <f>AND(COUNTA(E224)&gt;0,ISNUMBER(F224),OR(COUNT(G224:H224)=0,COUNT(G224:H224)=2,AND(ISNUMBER(G224),ISNUMBER(VALUE(LEFT(H224,SUM(LEN(H224)-LEN(SUBSTITUTE(H224,{"0","1","2","3","4","5","6","7","8","9","."},"")))))))),ISNUMBER(I224),ISTEXT(J224))</f>
        <v>0</v>
      </c>
      <c r="AO224" s="19" t="b">
        <f t="shared" si="266"/>
        <v>0</v>
      </c>
      <c r="AP224" s="19" t="b">
        <f t="shared" si="267"/>
        <v>1</v>
      </c>
      <c r="AQ224" s="19" t="b">
        <f>IF(AND(COUNTBLANK(E224:J224)=6,OR(AN225:AN$523)),NOT(AN224))</f>
        <v>0</v>
      </c>
      <c r="AR224" s="19" t="str">
        <f t="shared" si="268"/>
        <v/>
      </c>
      <c r="AS224" s="19" t="b">
        <f t="shared" si="269"/>
        <v>1</v>
      </c>
      <c r="AT224" s="19" t="str">
        <f t="shared" si="270"/>
        <v/>
      </c>
      <c r="AU224" s="19" t="b">
        <f t="shared" si="271"/>
        <v>1</v>
      </c>
      <c r="AV224" s="140" t="str">
        <f>IF(AND(AM224,AN224,AR224,AT224),IF(ISNUMBER(AG224),ROUND(AL224,0),ROUND(AJ224,0)),"")</f>
        <v/>
      </c>
      <c r="AW224" s="19" t="str">
        <f t="shared" si="272"/>
        <v/>
      </c>
      <c r="AX224" s="81">
        <f t="shared" si="273"/>
        <v>0</v>
      </c>
      <c r="AY224" s="81" t="str">
        <f t="shared" si="274"/>
        <v/>
      </c>
      <c r="AZ224" s="307" t="str">
        <f t="shared" si="304"/>
        <v/>
      </c>
      <c r="BA224" s="307" t="str">
        <f>IF(DI224&lt;&gt;"OK",DI224,IF(DJ224&lt;&gt;"OK",DJ224,IF(DK224&lt;&gt;"OK",DK224,IF(DL224&lt;&gt;"OK",DL224,IF(DM224&lt;&gt;"OK",DM224,IF(DN224&lt;&gt;"OK",DN224,IF(DO224&lt;&gt;"OK",DO224,BB224)))))))</f>
        <v/>
      </c>
      <c r="BB224" s="307" t="str">
        <f>IF(DP224&lt;&gt;"OK",DP224,IF(DQ224&lt;&gt;"OK",DQ224,IF(DR224&lt;&gt;"OK",DR224,IF(DS224&lt;&gt;"OK",DS224,IF(DT224&lt;&gt;"OK",DT224,IF(DU224&lt;&gt;"OK",DU224,IF(DV224&lt;&gt;"OK",DV224,IF(DW224&lt;&gt;"OK",DW224,IF(DY224&lt;&gt;"OK",DY224,"")))))))))</f>
        <v/>
      </c>
      <c r="BC224" s="953"/>
      <c r="BD224" s="955"/>
      <c r="BE224" s="308" t="str">
        <f t="shared" si="275"/>
        <v>n/a</v>
      </c>
      <c r="BF224" s="309" t="b">
        <f t="shared" si="276"/>
        <v>0</v>
      </c>
      <c r="BG224" s="310" t="b">
        <f t="shared" si="277"/>
        <v>0</v>
      </c>
      <c r="BH224" s="310" t="b">
        <f t="shared" si="278"/>
        <v>0</v>
      </c>
      <c r="BI224" s="311" t="b">
        <f t="shared" si="279"/>
        <v>0</v>
      </c>
      <c r="BJ224" s="309" t="b">
        <f t="shared" si="280"/>
        <v>0</v>
      </c>
      <c r="BK224" s="310" t="b">
        <f t="shared" si="281"/>
        <v>0</v>
      </c>
      <c r="BL224" s="311" t="b">
        <f t="shared" si="282"/>
        <v>0</v>
      </c>
      <c r="BM224" s="217" t="str">
        <f>IF(AN224,AX224/ADIPLone,"")</f>
        <v/>
      </c>
      <c r="BN224" s="146" t="str">
        <f>IF(AN224,percentage,"")</f>
        <v/>
      </c>
      <c r="BO224" s="147" t="str">
        <f>IF(AN224,MIPDLONE&gt;=ADIPLone,"")</f>
        <v/>
      </c>
      <c r="BP224" s="148" t="str">
        <f>IF(AND(AN224,AR224,AT224),TEXT(BM224,"0%")&amp;" of "&amp;TEXT(BN224*100,"General")&amp;"%","")</f>
        <v/>
      </c>
      <c r="BT224" s="50">
        <f t="shared" si="254"/>
        <v>201</v>
      </c>
      <c r="BU224" s="49" t="str">
        <f t="shared" si="256"/>
        <v>-</v>
      </c>
      <c r="BW224" s="352"/>
      <c r="BX224" s="333"/>
      <c r="BY224" s="333"/>
      <c r="BZ224" s="333"/>
      <c r="CA224" s="333"/>
      <c r="CB224" s="333"/>
      <c r="CC224" s="333"/>
      <c r="CD224" s="333"/>
      <c r="CE224" s="333"/>
      <c r="CF224" s="352"/>
      <c r="CG224" s="353">
        <f t="shared" si="283"/>
        <v>201</v>
      </c>
      <c r="CH224" s="607">
        <f t="shared" si="284"/>
        <v>0</v>
      </c>
      <c r="CI224" s="607">
        <f t="shared" si="285"/>
        <v>0</v>
      </c>
      <c r="CJ224" s="608" t="str">
        <f t="shared" si="286"/>
        <v/>
      </c>
      <c r="CK224" s="609" t="str">
        <f t="shared" si="287"/>
        <v/>
      </c>
      <c r="CL224" s="610" t="str">
        <f>IF(ISBLANK(H224),"",IF(AND(ISNUMBER(F224),ISNUMBER(G224),ISNUMBER(H224)),ROUND(F224/(H224*G224),2),ROUND(F224/(VALUE(LEFT(H224,SUM(LEN(H224)-LEN(SUBSTITUTE(H224,{"0","1","2","3","4","5","6","7","8","9","."},"")))))*G224),2)))</f>
        <v/>
      </c>
      <c r="CM224" s="611" t="str">
        <f>IF(CL224&lt;1.5,ROUND(0.5+CL224/3,2),"")</f>
        <v/>
      </c>
      <c r="CN224" s="611" t="str">
        <f>IF(ISNUMBER(P224),MAX('Adjustment factors'!$S$16,(0.2+0.8*P224)),IF(ISTEXT(N224),VLOOKUP(N224,Afactors,2,FALSE),""))</f>
        <v/>
      </c>
      <c r="CO224" s="611" t="str">
        <f>IF(ISNUMBER(S224),MAX('Adjustment factors'!$S$16,0.2+0.8*S224),IF(ISTEXT(Q224),VLOOKUP(Q224,Afactors,2,FALSE),""))</f>
        <v/>
      </c>
      <c r="CP224" s="611" t="str">
        <f t="shared" si="305"/>
        <v/>
      </c>
      <c r="CQ224" s="612" t="str">
        <f t="shared" si="306"/>
        <v/>
      </c>
      <c r="CR224" s="351"/>
      <c r="CS224" s="351"/>
      <c r="CT224" s="351"/>
      <c r="CU224" s="351"/>
      <c r="CV224" s="352"/>
      <c r="CW224" s="352"/>
      <c r="CX224" s="352"/>
      <c r="CY224" s="352"/>
      <c r="DA224" s="313" t="str">
        <f t="shared" si="288"/>
        <v>OK</v>
      </c>
      <c r="DB224" s="313" t="str">
        <f t="shared" si="289"/>
        <v>OK</v>
      </c>
      <c r="DC224" s="313" t="str">
        <f t="shared" si="290"/>
        <v>OK</v>
      </c>
      <c r="DD224" s="313" t="str">
        <f t="shared" si="291"/>
        <v>OK</v>
      </c>
      <c r="DE224" s="313" t="str">
        <f t="shared" si="292"/>
        <v>OK</v>
      </c>
      <c r="DF224" s="314" t="str">
        <f t="shared" si="293"/>
        <v>OK</v>
      </c>
      <c r="DG224" s="482" t="str">
        <f t="shared" si="307"/>
        <v>OK</v>
      </c>
      <c r="DH224" s="482" t="str">
        <f>IF(OR(AND(T224='Adjustment factors'!$R$28,'Class 3, 5-9'!U224='Adjustment factors'!$R$29),AND('Class 3, 5-9'!T224='Adjustment factors'!$R$29,'Class 3, 5-9'!U224='Adjustment factors'!$R$28)),"Invalid combination of adjustment factors",IF(AND(T224=U224,NOT(ISBLANK(T224)),NOT(ISBLANK(U224))),"Same colour factor selected twice","OK"))</f>
        <v>OK</v>
      </c>
      <c r="DI224" s="313" t="str">
        <f t="shared" si="294"/>
        <v>OK</v>
      </c>
      <c r="DJ224" s="313" t="str">
        <f>"OK"</f>
        <v>OK</v>
      </c>
      <c r="DK224" s="313" t="str">
        <f t="shared" si="295"/>
        <v>OK</v>
      </c>
      <c r="DL224" s="313" t="str">
        <f t="shared" si="296"/>
        <v>OK</v>
      </c>
      <c r="DM224" s="313" t="str">
        <f t="shared" si="297"/>
        <v>OK</v>
      </c>
      <c r="DN224" s="313" t="str">
        <f>IF(ISNUMBER(FIND("NA",$N224)),"Adjustment Factor not applicable","OK")</f>
        <v>OK</v>
      </c>
      <c r="DO224" s="314" t="str">
        <f>"OK"</f>
        <v>OK</v>
      </c>
      <c r="DP224" s="313" t="str">
        <f t="shared" si="298"/>
        <v>OK</v>
      </c>
      <c r="DQ224" s="313" t="str">
        <f t="shared" si="299"/>
        <v>OK</v>
      </c>
      <c r="DR224" s="313" t="str">
        <f>"OK"</f>
        <v>OK</v>
      </c>
      <c r="DS224" s="313" t="str">
        <f t="shared" si="300"/>
        <v>OK</v>
      </c>
      <c r="DT224" s="313" t="str">
        <f t="shared" ref="DT224:DT238" si="308">IF(AND(ISNUMBER(S224),Q224&lt;&gt;FixedDim),"Illuminance turndown is only valid for Fixed Dimming","OK")</f>
        <v>OK</v>
      </c>
      <c r="DU224" s="313" t="str">
        <f t="shared" si="301"/>
        <v>OK</v>
      </c>
      <c r="DV224" s="313" t="str">
        <f>IF(ISNUMBER(FIND("NA",$Q224)),"Adjustment Factor not applicable","OK")</f>
        <v>OK</v>
      </c>
      <c r="DW224" s="314" t="str">
        <f>"OK"</f>
        <v>OK</v>
      </c>
      <c r="DX224" s="315">
        <f>COUNTIF(DA224:DW224,"&lt;&gt;OK")</f>
        <v>0</v>
      </c>
      <c r="DY224" s="316" t="str">
        <f>IF(AQ224,"ROW SKIPPED (OK if intentional)","OK")</f>
        <v>OK</v>
      </c>
    </row>
    <row r="225" spans="1:129" ht="13" hidden="1" x14ac:dyDescent="0.3">
      <c r="A225" s="333"/>
      <c r="B225" s="333"/>
      <c r="C225" s="331" t="str">
        <f t="shared" ref="C225:C234" si="309">BU225</f>
        <v>-</v>
      </c>
      <c r="D225" s="584">
        <f t="shared" si="253"/>
        <v>202</v>
      </c>
      <c r="E225" s="585"/>
      <c r="F225" s="586"/>
      <c r="G225" s="600"/>
      <c r="H225" s="587"/>
      <c r="I225" s="601"/>
      <c r="J225" s="585"/>
      <c r="K225" s="617"/>
      <c r="L225" s="602"/>
      <c r="M225" s="603"/>
      <c r="N225" s="588"/>
      <c r="O225" s="604"/>
      <c r="P225" s="605"/>
      <c r="Q225" s="588"/>
      <c r="R225" s="604"/>
      <c r="S225" s="605"/>
      <c r="T225" s="606"/>
      <c r="U225" s="606"/>
      <c r="V225" s="429" t="str">
        <f t="shared" si="255"/>
        <v/>
      </c>
      <c r="W225" s="430" t="str">
        <f t="shared" ref="W225:W226" si="310">AW225</f>
        <v/>
      </c>
      <c r="X225" s="66" t="str">
        <f>IF(AND(ISNUMBER(P225),N225=FixedDim),MAX('Adjustment factors'!$S$16,0.2+0.8*P225),IF(ISTEXT(N225),VLOOKUP(N225,Afactors,2,TRUE),""))</f>
        <v/>
      </c>
      <c r="Y225" s="17" t="str">
        <f>IF(AND(ISNUMBER(S225),Q225=FixedDim),MAX('Adjustment factors'!$S$16,0.2+0.8*S225),IF(ISTEXT(Q225),VLOOKUP(Q225,Afactors,2,TRUE),""))</f>
        <v/>
      </c>
      <c r="Z225" s="297" t="str">
        <f>IF(ISBLANK(T225),"",VLOOKUP(T225,'Adjustment factors'!$R$27:$S$30,2,TRUE))</f>
        <v/>
      </c>
      <c r="AA225" s="297" t="str">
        <f>IF(ISBLANK(U225),"",VLOOKUP(U225,'Adjustment factors'!$R$27:$S$30,2,TRUE))</f>
        <v/>
      </c>
      <c r="AB225" s="480">
        <f t="shared" si="302"/>
        <v>1</v>
      </c>
      <c r="AC225" s="18" t="b">
        <f t="shared" si="259"/>
        <v>0</v>
      </c>
      <c r="AD225" s="18" t="b">
        <f t="shared" si="260"/>
        <v>0</v>
      </c>
      <c r="AE225" s="18" t="b">
        <f>ISNUMBER(CM225)</f>
        <v>0</v>
      </c>
      <c r="AF225" s="17" t="str">
        <f t="shared" si="261"/>
        <v/>
      </c>
      <c r="AG225" s="18" t="str">
        <f t="shared" si="262"/>
        <v/>
      </c>
      <c r="AH225" s="17" t="str">
        <f>IF(AE225,CK225/CM225,"")</f>
        <v/>
      </c>
      <c r="AI225" s="297" t="e">
        <f t="shared" si="303"/>
        <v>#VALUE!</v>
      </c>
      <c r="AJ225" s="79" t="e">
        <f t="shared" si="263"/>
        <v>#VALUE!</v>
      </c>
      <c r="AK225" s="17" t="str">
        <f>IF(AD225,(AF225*(AG225+((1-AG225)/2))),"")</f>
        <v/>
      </c>
      <c r="AL225" s="80" t="e">
        <f t="shared" si="264"/>
        <v>#VALUE!</v>
      </c>
      <c r="AM225" s="139" t="b">
        <f t="shared" si="265"/>
        <v>1</v>
      </c>
      <c r="AN225" s="139" t="b">
        <f>AND(COUNTA(E225)&gt;0,ISNUMBER(F225),OR(COUNT(G225:H225)=0,COUNT(G225:H225)=2,AND(ISNUMBER(G225),ISNUMBER(VALUE(LEFT(H225,SUM(LEN(H225)-LEN(SUBSTITUTE(H225,{"0","1","2","3","4","5","6","7","8","9","."},"")))))))),ISNUMBER(I225),ISTEXT(J225))</f>
        <v>0</v>
      </c>
      <c r="AO225" s="19" t="b">
        <f t="shared" si="266"/>
        <v>0</v>
      </c>
      <c r="AP225" s="19" t="b">
        <f t="shared" si="267"/>
        <v>1</v>
      </c>
      <c r="AQ225" s="19" t="b">
        <f>IF(AND(COUNTBLANK(E225:J225)=6,OR(AN226:AN$523)),NOT(AN225))</f>
        <v>0</v>
      </c>
      <c r="AR225" s="19" t="str">
        <f t="shared" si="268"/>
        <v/>
      </c>
      <c r="AS225" s="19" t="b">
        <f t="shared" si="269"/>
        <v>1</v>
      </c>
      <c r="AT225" s="19" t="str">
        <f t="shared" si="270"/>
        <v/>
      </c>
      <c r="AU225" s="19" t="b">
        <f t="shared" si="271"/>
        <v>1</v>
      </c>
      <c r="AV225" s="140" t="str">
        <f t="shared" ref="AV225:AV288" si="311">IF(AND(AM225,AN225,AR225,AT225),IF(ISNUMBER(AG225),ROUND(AL225,0),ROUND(AJ225,0)),"")</f>
        <v/>
      </c>
      <c r="AW225" s="19" t="str">
        <f t="shared" si="272"/>
        <v/>
      </c>
      <c r="AX225" s="81">
        <f t="shared" si="273"/>
        <v>0</v>
      </c>
      <c r="AY225" s="81" t="str">
        <f t="shared" si="274"/>
        <v/>
      </c>
      <c r="AZ225" s="307" t="str">
        <f t="shared" si="304"/>
        <v/>
      </c>
      <c r="BA225" s="281" t="str">
        <f t="shared" ref="BA225:BA288" si="312">IF(DI225&lt;&gt;"OK",DI225,IF(DJ225&lt;&gt;"OK",DJ225,IF(DK225&lt;&gt;"OK",DK225,IF(DL225&lt;&gt;"OK",DL225,IF(DM225&lt;&gt;"OK",DM225,IF(DN225&lt;&gt;"OK",DN225,IF(DO225&lt;&gt;"OK",DO225,BB225)))))))</f>
        <v/>
      </c>
      <c r="BB225" s="281" t="str">
        <f t="shared" ref="BB225:BB288" si="313">IF(DP225&lt;&gt;"OK",DP225,IF(DQ225&lt;&gt;"OK",DQ225,IF(DR225&lt;&gt;"OK",DR225,IF(DS225&lt;&gt;"OK",DS225,IF(DT225&lt;&gt;"OK",DT225,IF(DU225&lt;&gt;"OK",DU225,IF(DV225&lt;&gt;"OK",DV225,IF(DW225&lt;&gt;"OK",DW225,IF(DY225&lt;&gt;"OK",DY225,"")))))))))</f>
        <v/>
      </c>
      <c r="BC225" s="953"/>
      <c r="BD225" s="955"/>
      <c r="BE225" s="219" t="str">
        <f t="shared" si="275"/>
        <v>n/a</v>
      </c>
      <c r="BF225" s="215" t="b">
        <f t="shared" si="276"/>
        <v>0</v>
      </c>
      <c r="BG225" s="145" t="b">
        <f t="shared" si="277"/>
        <v>0</v>
      </c>
      <c r="BH225" s="145" t="b">
        <f t="shared" si="278"/>
        <v>0</v>
      </c>
      <c r="BI225" s="216" t="b">
        <f t="shared" si="279"/>
        <v>0</v>
      </c>
      <c r="BJ225" s="215" t="b">
        <f t="shared" si="280"/>
        <v>0</v>
      </c>
      <c r="BK225" s="145" t="b">
        <f t="shared" si="281"/>
        <v>0</v>
      </c>
      <c r="BL225" s="216" t="b">
        <f t="shared" si="282"/>
        <v>0</v>
      </c>
      <c r="BM225" s="217" t="str">
        <f t="shared" ref="BM225:BM288" si="314">IF(AN225,AX225/ADIPLone,"")</f>
        <v/>
      </c>
      <c r="BN225" s="146" t="str">
        <f t="shared" ref="BN225:BN288" si="315">IF(AN225,percentage,"")</f>
        <v/>
      </c>
      <c r="BO225" s="147" t="str">
        <f t="shared" ref="BO225:BO288" si="316">IF(AN225,MIPDLONE&gt;=ADIPLone,"")</f>
        <v/>
      </c>
      <c r="BP225" s="148" t="str">
        <f t="shared" ref="BP225:BP288" si="317">IF(AND(AN225,AR225,AT225),TEXT(BM225,"0%")&amp;" of "&amp;TEXT(BN225*100,"General")&amp;"%","")</f>
        <v/>
      </c>
      <c r="BT225" s="50">
        <f t="shared" si="254"/>
        <v>202</v>
      </c>
      <c r="BU225" s="50" t="str">
        <f t="shared" si="256"/>
        <v>-</v>
      </c>
      <c r="BW225" s="333"/>
      <c r="BX225" s="333"/>
      <c r="BY225" s="333"/>
      <c r="BZ225" s="333"/>
      <c r="CA225" s="333"/>
      <c r="CB225" s="333"/>
      <c r="CC225" s="333"/>
      <c r="CD225" s="333"/>
      <c r="CE225" s="333"/>
      <c r="CF225" s="333"/>
      <c r="CG225" s="354">
        <f t="shared" si="283"/>
        <v>202</v>
      </c>
      <c r="CH225" s="613">
        <f t="shared" si="284"/>
        <v>0</v>
      </c>
      <c r="CI225" s="613">
        <f t="shared" si="285"/>
        <v>0</v>
      </c>
      <c r="CJ225" s="614" t="str">
        <f t="shared" si="286"/>
        <v/>
      </c>
      <c r="CK225" s="615" t="str">
        <f t="shared" si="287"/>
        <v/>
      </c>
      <c r="CL225" s="610" t="str">
        <f>IF(ISBLANK(H225),"",IF(AND(ISNUMBER(F225),ISNUMBER(G225),ISNUMBER(H225)),ROUND(F225/(H225*G225),2),ROUND(F225/(VALUE(LEFT(H225,SUM(LEN(H225)-LEN(SUBSTITUTE(H225,{"0","1","2","3","4","5","6","7","8","9","."},"")))))*G225),2)))</f>
        <v/>
      </c>
      <c r="CM225" s="616" t="str">
        <f t="shared" ref="CM225:CM288" si="318">IF(CL225&lt;1.5,ROUND(0.5+CL225/3,2),"")</f>
        <v/>
      </c>
      <c r="CN225" s="616" t="str">
        <f>IF(ISNUMBER(P225),MAX('Adjustment factors'!$S$16,(0.2+0.8*P225)),IF(ISTEXT(N225),VLOOKUP(N225,Afactors,2,FALSE),""))</f>
        <v/>
      </c>
      <c r="CO225" s="616" t="str">
        <f>IF(ISNUMBER(S225),MAX('Adjustment factors'!$S$16,0.2+0.8*S225),IF(ISTEXT(Q225),VLOOKUP(Q225,Afactors,2,FALSE),""))</f>
        <v/>
      </c>
      <c r="CP225" s="611" t="str">
        <f t="shared" si="305"/>
        <v/>
      </c>
      <c r="CQ225" s="612" t="str">
        <f t="shared" si="306"/>
        <v/>
      </c>
      <c r="CR225" s="340"/>
      <c r="CS225" s="340"/>
      <c r="CT225" s="340"/>
      <c r="CU225" s="340"/>
      <c r="CV225" s="333"/>
      <c r="CW225" s="333"/>
      <c r="CX225" s="333"/>
      <c r="CY225" s="333"/>
      <c r="DA225" s="313" t="str">
        <f t="shared" si="288"/>
        <v>OK</v>
      </c>
      <c r="DB225" s="313" t="str">
        <f t="shared" si="289"/>
        <v>OK</v>
      </c>
      <c r="DC225" s="313" t="str">
        <f t="shared" si="290"/>
        <v>OK</v>
      </c>
      <c r="DD225" s="313" t="str">
        <f t="shared" si="291"/>
        <v>OK</v>
      </c>
      <c r="DE225" s="153" t="str">
        <f t="shared" si="292"/>
        <v>OK</v>
      </c>
      <c r="DF225" s="314" t="str">
        <f t="shared" si="293"/>
        <v>OK</v>
      </c>
      <c r="DG225" s="482" t="str">
        <f t="shared" si="307"/>
        <v>OK</v>
      </c>
      <c r="DH225" s="482" t="str">
        <f>IF(OR(AND(T225='Adjustment factors'!$R$28,'Class 3, 5-9'!U225='Adjustment factors'!$R$29),AND('Class 3, 5-9'!T225='Adjustment factors'!$R$29,'Class 3, 5-9'!U225='Adjustment factors'!$R$28)),"Invalid combination of adjustment factors",IF(AND(T225=U225,NOT(ISBLANK(T225)),NOT(ISBLANK(U225))),"Same colour factor selected twice","OK"))</f>
        <v>OK</v>
      </c>
      <c r="DI225" s="313" t="str">
        <f t="shared" si="294"/>
        <v>OK</v>
      </c>
      <c r="DJ225" s="153" t="str">
        <f t="shared" ref="DJ225:DJ288" si="319">"OK"</f>
        <v>OK</v>
      </c>
      <c r="DK225" s="153" t="str">
        <f t="shared" si="295"/>
        <v>OK</v>
      </c>
      <c r="DL225" s="313" t="str">
        <f t="shared" si="296"/>
        <v>OK</v>
      </c>
      <c r="DM225" s="153" t="str">
        <f t="shared" si="297"/>
        <v>OK</v>
      </c>
      <c r="DN225" s="153" t="str">
        <f t="shared" ref="DN225:DN288" si="320">IF(ISNUMBER(FIND("NA",$N225)),"Adjustment Factor not applicable","OK")</f>
        <v>OK</v>
      </c>
      <c r="DO225" s="154" t="str">
        <f t="shared" ref="DO225:DO288" si="321">"OK"</f>
        <v>OK</v>
      </c>
      <c r="DP225" s="153" t="str">
        <f t="shared" si="298"/>
        <v>OK</v>
      </c>
      <c r="DQ225" s="313" t="str">
        <f t="shared" si="299"/>
        <v>OK</v>
      </c>
      <c r="DR225" s="153" t="str">
        <f t="shared" ref="DR225:DR288" si="322">"OK"</f>
        <v>OK</v>
      </c>
      <c r="DS225" s="153" t="str">
        <f t="shared" si="300"/>
        <v>OK</v>
      </c>
      <c r="DT225" s="313" t="str">
        <f t="shared" si="308"/>
        <v>OK</v>
      </c>
      <c r="DU225" s="153" t="str">
        <f t="shared" si="301"/>
        <v>OK</v>
      </c>
      <c r="DV225" s="153" t="str">
        <f t="shared" ref="DV225:DV288" si="323">IF(ISNUMBER(FIND("NA",$Q225)),"Adjustment Factor not applicable","OK")</f>
        <v>OK</v>
      </c>
      <c r="DW225" s="154" t="str">
        <f t="shared" ref="DW225:DW288" si="324">"OK"</f>
        <v>OK</v>
      </c>
      <c r="DX225" s="157">
        <f t="shared" ref="DX225:DX288" si="325">COUNTIF(DA225:DW225,"&lt;&gt;OK")</f>
        <v>0</v>
      </c>
      <c r="DY225" s="156" t="str">
        <f t="shared" ref="DY225:DY288" si="326">IF(AQ225,"ROW SKIPPED (OK if intentional)","OK")</f>
        <v>OK</v>
      </c>
    </row>
    <row r="226" spans="1:129" ht="13" hidden="1" x14ac:dyDescent="0.3">
      <c r="A226" s="333"/>
      <c r="B226" s="333"/>
      <c r="C226" s="331" t="str">
        <f t="shared" si="309"/>
        <v>-</v>
      </c>
      <c r="D226" s="584">
        <f t="shared" si="253"/>
        <v>203</v>
      </c>
      <c r="E226" s="585"/>
      <c r="F226" s="586"/>
      <c r="G226" s="600"/>
      <c r="H226" s="587"/>
      <c r="I226" s="601"/>
      <c r="J226" s="585"/>
      <c r="K226" s="617"/>
      <c r="L226" s="602"/>
      <c r="M226" s="603"/>
      <c r="N226" s="588"/>
      <c r="O226" s="604"/>
      <c r="P226" s="605"/>
      <c r="Q226" s="588"/>
      <c r="R226" s="604"/>
      <c r="S226" s="605"/>
      <c r="T226" s="606"/>
      <c r="U226" s="606"/>
      <c r="V226" s="429" t="str">
        <f t="shared" si="255"/>
        <v/>
      </c>
      <c r="W226" s="430" t="str">
        <f t="shared" si="310"/>
        <v/>
      </c>
      <c r="X226" s="66" t="str">
        <f>IF(AND(ISNUMBER(P226),N226=FixedDim),MAX('Adjustment factors'!$S$16,0.2+0.8*P226),IF(ISTEXT(N226),VLOOKUP(N226,Afactors,2,TRUE),""))</f>
        <v/>
      </c>
      <c r="Y226" s="17" t="str">
        <f>IF(AND(ISNUMBER(S226),Q226=FixedDim),MAX('Adjustment factors'!$S$16,0.2+0.8*S226),IF(ISTEXT(Q226),VLOOKUP(Q226,Afactors,2,TRUE),""))</f>
        <v/>
      </c>
      <c r="Z226" s="297" t="str">
        <f>IF(ISBLANK(T226),"",VLOOKUP(T226,'Adjustment factors'!$R$27:$S$30,2,TRUE))</f>
        <v/>
      </c>
      <c r="AA226" s="297" t="str">
        <f>IF(ISBLANK(U226),"",VLOOKUP(U226,'Adjustment factors'!$R$27:$S$30,2,TRUE))</f>
        <v/>
      </c>
      <c r="AB226" s="480">
        <f t="shared" si="302"/>
        <v>1</v>
      </c>
      <c r="AC226" s="18" t="b">
        <f t="shared" si="259"/>
        <v>0</v>
      </c>
      <c r="AD226" s="18" t="b">
        <f t="shared" si="260"/>
        <v>0</v>
      </c>
      <c r="AE226" s="18" t="b">
        <f t="shared" ref="AE226:AE289" si="327">ISNUMBER(CM226)</f>
        <v>0</v>
      </c>
      <c r="AF226" s="17" t="str">
        <f t="shared" si="261"/>
        <v/>
      </c>
      <c r="AG226" s="18" t="str">
        <f t="shared" si="262"/>
        <v/>
      </c>
      <c r="AH226" s="17" t="str">
        <f t="shared" ref="AH226:AH289" si="328">IF(AE226,CK226/CM226,"")</f>
        <v/>
      </c>
      <c r="AI226" s="297" t="e">
        <f t="shared" si="303"/>
        <v>#VALUE!</v>
      </c>
      <c r="AJ226" s="79" t="e">
        <f t="shared" si="263"/>
        <v>#VALUE!</v>
      </c>
      <c r="AK226" s="17" t="str">
        <f>IF(AD226,(AF226*(AG226+((1-AG226)/2))),"")</f>
        <v/>
      </c>
      <c r="AL226" s="80" t="e">
        <f t="shared" si="264"/>
        <v>#VALUE!</v>
      </c>
      <c r="AM226" s="139" t="b">
        <f t="shared" si="265"/>
        <v>1</v>
      </c>
      <c r="AN226" s="139" t="b">
        <f>AND(COUNTA(E226)&gt;0,ISNUMBER(F226),OR(COUNT(G226:H226)=0,COUNT(G226:H226)=2,AND(ISNUMBER(G226),ISNUMBER(VALUE(LEFT(H226,SUM(LEN(H226)-LEN(SUBSTITUTE(H226,{"0","1","2","3","4","5","6","7","8","9","."},"")))))))),ISNUMBER(I226),ISTEXT(J226))</f>
        <v>0</v>
      </c>
      <c r="AO226" s="19" t="b">
        <f t="shared" si="266"/>
        <v>0</v>
      </c>
      <c r="AP226" s="19" t="b">
        <f t="shared" si="267"/>
        <v>1</v>
      </c>
      <c r="AQ226" s="19" t="b">
        <f>IF(AND(COUNTBLANK(E226:J226)=6,OR(AN227:AN$523)),NOT(AN226))</f>
        <v>0</v>
      </c>
      <c r="AR226" s="19" t="str">
        <f t="shared" si="268"/>
        <v/>
      </c>
      <c r="AS226" s="19" t="b">
        <f t="shared" si="269"/>
        <v>1</v>
      </c>
      <c r="AT226" s="19" t="str">
        <f t="shared" si="270"/>
        <v/>
      </c>
      <c r="AU226" s="19" t="b">
        <f t="shared" si="271"/>
        <v>1</v>
      </c>
      <c r="AV226" s="140" t="str">
        <f t="shared" si="311"/>
        <v/>
      </c>
      <c r="AW226" s="19" t="str">
        <f t="shared" si="272"/>
        <v/>
      </c>
      <c r="AX226" s="81">
        <f t="shared" si="273"/>
        <v>0</v>
      </c>
      <c r="AY226" s="81" t="str">
        <f t="shared" si="274"/>
        <v/>
      </c>
      <c r="AZ226" s="307" t="str">
        <f t="shared" si="304"/>
        <v/>
      </c>
      <c r="BA226" s="281" t="str">
        <f t="shared" si="312"/>
        <v/>
      </c>
      <c r="BB226" s="281" t="str">
        <f t="shared" si="313"/>
        <v/>
      </c>
      <c r="BC226" s="953"/>
      <c r="BD226" s="955"/>
      <c r="BE226" s="219" t="str">
        <f t="shared" si="275"/>
        <v>n/a</v>
      </c>
      <c r="BF226" s="215" t="b">
        <f t="shared" si="276"/>
        <v>0</v>
      </c>
      <c r="BG226" s="145" t="b">
        <f t="shared" si="277"/>
        <v>0</v>
      </c>
      <c r="BH226" s="145" t="b">
        <f t="shared" si="278"/>
        <v>0</v>
      </c>
      <c r="BI226" s="216" t="b">
        <f t="shared" si="279"/>
        <v>0</v>
      </c>
      <c r="BJ226" s="215" t="b">
        <f t="shared" si="280"/>
        <v>0</v>
      </c>
      <c r="BK226" s="145" t="b">
        <f t="shared" si="281"/>
        <v>0</v>
      </c>
      <c r="BL226" s="216" t="b">
        <f t="shared" si="282"/>
        <v>0</v>
      </c>
      <c r="BM226" s="217" t="str">
        <f t="shared" si="314"/>
        <v/>
      </c>
      <c r="BN226" s="146" t="str">
        <f t="shared" si="315"/>
        <v/>
      </c>
      <c r="BO226" s="147" t="str">
        <f t="shared" si="316"/>
        <v/>
      </c>
      <c r="BP226" s="148" t="str">
        <f t="shared" si="317"/>
        <v/>
      </c>
      <c r="BT226" s="50">
        <f t="shared" si="254"/>
        <v>203</v>
      </c>
      <c r="BU226" s="50" t="str">
        <f t="shared" si="256"/>
        <v>-</v>
      </c>
      <c r="BW226" s="333"/>
      <c r="BX226" s="333"/>
      <c r="BY226" s="333"/>
      <c r="BZ226" s="333"/>
      <c r="CA226" s="333"/>
      <c r="CB226" s="333"/>
      <c r="CC226" s="333"/>
      <c r="CD226" s="333"/>
      <c r="CE226" s="333"/>
      <c r="CF226" s="333"/>
      <c r="CG226" s="354">
        <f t="shared" si="283"/>
        <v>203</v>
      </c>
      <c r="CH226" s="613">
        <f t="shared" si="284"/>
        <v>0</v>
      </c>
      <c r="CI226" s="613">
        <f t="shared" si="285"/>
        <v>0</v>
      </c>
      <c r="CJ226" s="614" t="str">
        <f t="shared" si="286"/>
        <v/>
      </c>
      <c r="CK226" s="615" t="str">
        <f t="shared" si="287"/>
        <v/>
      </c>
      <c r="CL226" s="610" t="str">
        <f>IF(ISBLANK(H226),"",IF(AND(ISNUMBER(F226),ISNUMBER(G226),ISNUMBER(H226)),ROUND(F226/(H226*G226),2),ROUND(F226/(VALUE(LEFT(H226,SUM(LEN(H226)-LEN(SUBSTITUTE(H226,{"0","1","2","3","4","5","6","7","8","9","."},"")))))*G226),2)))</f>
        <v/>
      </c>
      <c r="CM226" s="616" t="str">
        <f t="shared" si="318"/>
        <v/>
      </c>
      <c r="CN226" s="616" t="str">
        <f>IF(ISNUMBER(P226),MAX('Adjustment factors'!$S$16,(0.2+0.8*P226)),IF(ISTEXT(N226),VLOOKUP(N226,Afactors,2,FALSE),""))</f>
        <v/>
      </c>
      <c r="CO226" s="616" t="str">
        <f>IF(ISNUMBER(S226),MAX('Adjustment factors'!$S$16,0.2+0.8*S226),IF(ISTEXT(Q226),VLOOKUP(Q226,Afactors,2,FALSE),""))</f>
        <v/>
      </c>
      <c r="CP226" s="611" t="str">
        <f t="shared" si="305"/>
        <v/>
      </c>
      <c r="CQ226" s="612" t="str">
        <f t="shared" si="306"/>
        <v/>
      </c>
      <c r="CR226" s="340"/>
      <c r="CS226" s="340"/>
      <c r="CT226" s="340"/>
      <c r="CU226" s="340"/>
      <c r="CV226" s="333"/>
      <c r="CW226" s="333"/>
      <c r="CX226" s="333"/>
      <c r="CY226" s="333"/>
      <c r="DA226" s="313" t="str">
        <f t="shared" si="288"/>
        <v>OK</v>
      </c>
      <c r="DB226" s="313" t="str">
        <f t="shared" si="289"/>
        <v>OK</v>
      </c>
      <c r="DC226" s="313" t="str">
        <f t="shared" si="290"/>
        <v>OK</v>
      </c>
      <c r="DD226" s="313" t="str">
        <f t="shared" si="291"/>
        <v>OK</v>
      </c>
      <c r="DE226" s="153" t="str">
        <f t="shared" si="292"/>
        <v>OK</v>
      </c>
      <c r="DF226" s="314" t="str">
        <f t="shared" si="293"/>
        <v>OK</v>
      </c>
      <c r="DG226" s="482" t="str">
        <f t="shared" si="307"/>
        <v>OK</v>
      </c>
      <c r="DH226" s="482" t="str">
        <f>IF(OR(AND(T226='Adjustment factors'!$R$28,'Class 3, 5-9'!U226='Adjustment factors'!$R$29),AND('Class 3, 5-9'!T226='Adjustment factors'!$R$29,'Class 3, 5-9'!U226='Adjustment factors'!$R$28)),"Invalid combination of adjustment factors",IF(AND(T226=U226,NOT(ISBLANK(T226)),NOT(ISBLANK(U226))),"Same colour factor selected twice","OK"))</f>
        <v>OK</v>
      </c>
      <c r="DI226" s="313" t="str">
        <f t="shared" si="294"/>
        <v>OK</v>
      </c>
      <c r="DJ226" s="153" t="str">
        <f t="shared" si="319"/>
        <v>OK</v>
      </c>
      <c r="DK226" s="153" t="str">
        <f t="shared" si="295"/>
        <v>OK</v>
      </c>
      <c r="DL226" s="313" t="str">
        <f t="shared" si="296"/>
        <v>OK</v>
      </c>
      <c r="DM226" s="153" t="str">
        <f t="shared" si="297"/>
        <v>OK</v>
      </c>
      <c r="DN226" s="153" t="str">
        <f t="shared" si="320"/>
        <v>OK</v>
      </c>
      <c r="DO226" s="154" t="str">
        <f t="shared" si="321"/>
        <v>OK</v>
      </c>
      <c r="DP226" s="153" t="str">
        <f t="shared" si="298"/>
        <v>OK</v>
      </c>
      <c r="DQ226" s="313" t="str">
        <f t="shared" si="299"/>
        <v>OK</v>
      </c>
      <c r="DR226" s="153" t="str">
        <f t="shared" si="322"/>
        <v>OK</v>
      </c>
      <c r="DS226" s="153" t="str">
        <f t="shared" si="300"/>
        <v>OK</v>
      </c>
      <c r="DT226" s="313" t="str">
        <f t="shared" si="308"/>
        <v>OK</v>
      </c>
      <c r="DU226" s="153" t="str">
        <f t="shared" si="301"/>
        <v>OK</v>
      </c>
      <c r="DV226" s="153" t="str">
        <f t="shared" si="323"/>
        <v>OK</v>
      </c>
      <c r="DW226" s="154" t="str">
        <f t="shared" si="324"/>
        <v>OK</v>
      </c>
      <c r="DX226" s="157">
        <f t="shared" si="325"/>
        <v>0</v>
      </c>
      <c r="DY226" s="156" t="str">
        <f t="shared" si="326"/>
        <v>OK</v>
      </c>
    </row>
    <row r="227" spans="1:129" ht="13" hidden="1" x14ac:dyDescent="0.3">
      <c r="A227" s="333"/>
      <c r="B227" s="333"/>
      <c r="C227" s="331" t="str">
        <f t="shared" si="309"/>
        <v>-</v>
      </c>
      <c r="D227" s="584">
        <f t="shared" si="253"/>
        <v>204</v>
      </c>
      <c r="E227" s="585"/>
      <c r="F227" s="586"/>
      <c r="G227" s="600"/>
      <c r="H227" s="587"/>
      <c r="I227" s="601"/>
      <c r="J227" s="585"/>
      <c r="K227" s="617"/>
      <c r="L227" s="602"/>
      <c r="M227" s="603"/>
      <c r="N227" s="588"/>
      <c r="O227" s="604"/>
      <c r="P227" s="605"/>
      <c r="Q227" s="588"/>
      <c r="R227" s="604"/>
      <c r="S227" s="605"/>
      <c r="T227" s="606"/>
      <c r="U227" s="606"/>
      <c r="V227" s="429" t="str">
        <f t="shared" si="255"/>
        <v/>
      </c>
      <c r="W227" s="430" t="str">
        <f>AW227</f>
        <v/>
      </c>
      <c r="X227" s="66" t="str">
        <f>IF(AND(ISNUMBER(P227),N227=FixedDim),MAX('Adjustment factors'!$S$16,0.2+0.8*P227),IF(ISTEXT(N227),VLOOKUP(N227,Afactors,2,TRUE),""))</f>
        <v/>
      </c>
      <c r="Y227" s="17" t="str">
        <f>IF(AND(ISNUMBER(S227),Q227=FixedDim),MAX('Adjustment factors'!$S$16,0.2+0.8*S227),IF(ISTEXT(Q227),VLOOKUP(Q227,Afactors,2,TRUE),""))</f>
        <v/>
      </c>
      <c r="Z227" s="297" t="str">
        <f>IF(ISBLANK(T227),"",VLOOKUP(T227,'Adjustment factors'!$R$27:$S$30,2,TRUE))</f>
        <v/>
      </c>
      <c r="AA227" s="297" t="str">
        <f>IF(ISBLANK(U227),"",VLOOKUP(U227,'Adjustment factors'!$R$27:$S$30,2,TRUE))</f>
        <v/>
      </c>
      <c r="AB227" s="480">
        <f t="shared" si="302"/>
        <v>1</v>
      </c>
      <c r="AC227" s="18" t="b">
        <f t="shared" si="259"/>
        <v>0</v>
      </c>
      <c r="AD227" s="18" t="b">
        <f t="shared" si="260"/>
        <v>0</v>
      </c>
      <c r="AE227" s="18" t="b">
        <f t="shared" si="327"/>
        <v>0</v>
      </c>
      <c r="AF227" s="17" t="str">
        <f t="shared" si="261"/>
        <v/>
      </c>
      <c r="AG227" s="18" t="str">
        <f t="shared" si="262"/>
        <v/>
      </c>
      <c r="AH227" s="17" t="str">
        <f t="shared" si="328"/>
        <v/>
      </c>
      <c r="AI227" s="297" t="e">
        <f t="shared" si="303"/>
        <v>#VALUE!</v>
      </c>
      <c r="AJ227" s="79" t="e">
        <f t="shared" si="263"/>
        <v>#VALUE!</v>
      </c>
      <c r="AK227" s="17" t="str">
        <f t="shared" ref="AK227:AK290" si="329">IF(AD227,(AF227*(AG227+((1-AG227)/2))),"")</f>
        <v/>
      </c>
      <c r="AL227" s="80" t="e">
        <f t="shared" si="264"/>
        <v>#VALUE!</v>
      </c>
      <c r="AM227" s="139" t="b">
        <f t="shared" si="265"/>
        <v>1</v>
      </c>
      <c r="AN227" s="139" t="b">
        <f>AND(COUNTA(E227)&gt;0,ISNUMBER(F227),OR(COUNT(G227:H227)=0,COUNT(G227:H227)=2,AND(ISNUMBER(G227),ISNUMBER(VALUE(LEFT(H227,SUM(LEN(H227)-LEN(SUBSTITUTE(H227,{"0","1","2","3","4","5","6","7","8","9","."},"")))))))),ISNUMBER(I227),ISTEXT(J227))</f>
        <v>0</v>
      </c>
      <c r="AO227" s="19" t="b">
        <f t="shared" si="266"/>
        <v>0</v>
      </c>
      <c r="AP227" s="19" t="b">
        <f t="shared" si="267"/>
        <v>1</v>
      </c>
      <c r="AQ227" s="19" t="b">
        <f>IF(AND(COUNTBLANK(E227:J227)=6,OR(AN228:AN$523)),NOT(AN227))</f>
        <v>0</v>
      </c>
      <c r="AR227" s="19" t="str">
        <f t="shared" si="268"/>
        <v/>
      </c>
      <c r="AS227" s="19" t="b">
        <f t="shared" si="269"/>
        <v>1</v>
      </c>
      <c r="AT227" s="19" t="str">
        <f t="shared" si="270"/>
        <v/>
      </c>
      <c r="AU227" s="19" t="b">
        <f t="shared" si="271"/>
        <v>1</v>
      </c>
      <c r="AV227" s="140" t="str">
        <f t="shared" si="311"/>
        <v/>
      </c>
      <c r="AW227" s="19" t="str">
        <f t="shared" si="272"/>
        <v/>
      </c>
      <c r="AX227" s="81">
        <f t="shared" si="273"/>
        <v>0</v>
      </c>
      <c r="AY227" s="81" t="str">
        <f t="shared" si="274"/>
        <v/>
      </c>
      <c r="AZ227" s="307" t="str">
        <f t="shared" si="304"/>
        <v/>
      </c>
      <c r="BA227" s="281" t="str">
        <f t="shared" si="312"/>
        <v/>
      </c>
      <c r="BB227" s="281" t="str">
        <f t="shared" si="313"/>
        <v/>
      </c>
      <c r="BC227" s="953"/>
      <c r="BD227" s="955"/>
      <c r="BE227" s="219" t="str">
        <f t="shared" si="275"/>
        <v>n/a</v>
      </c>
      <c r="BF227" s="215" t="b">
        <f t="shared" si="276"/>
        <v>0</v>
      </c>
      <c r="BG227" s="145" t="b">
        <f t="shared" si="277"/>
        <v>0</v>
      </c>
      <c r="BH227" s="145" t="b">
        <f t="shared" si="278"/>
        <v>0</v>
      </c>
      <c r="BI227" s="216" t="b">
        <f t="shared" si="279"/>
        <v>0</v>
      </c>
      <c r="BJ227" s="215" t="b">
        <f t="shared" si="280"/>
        <v>0</v>
      </c>
      <c r="BK227" s="145" t="b">
        <f t="shared" si="281"/>
        <v>0</v>
      </c>
      <c r="BL227" s="216" t="b">
        <f t="shared" si="282"/>
        <v>0</v>
      </c>
      <c r="BM227" s="217" t="str">
        <f t="shared" si="314"/>
        <v/>
      </c>
      <c r="BN227" s="146" t="str">
        <f t="shared" si="315"/>
        <v/>
      </c>
      <c r="BO227" s="147" t="str">
        <f t="shared" si="316"/>
        <v/>
      </c>
      <c r="BP227" s="148" t="str">
        <f t="shared" si="317"/>
        <v/>
      </c>
      <c r="BT227" s="50">
        <f t="shared" si="254"/>
        <v>204</v>
      </c>
      <c r="BU227" s="50" t="str">
        <f t="shared" si="256"/>
        <v>-</v>
      </c>
      <c r="BW227" s="333"/>
      <c r="BX227" s="333"/>
      <c r="BY227" s="333"/>
      <c r="BZ227" s="333"/>
      <c r="CA227" s="333"/>
      <c r="CB227" s="333"/>
      <c r="CC227" s="333"/>
      <c r="CD227" s="333"/>
      <c r="CE227" s="333"/>
      <c r="CF227" s="333"/>
      <c r="CG227" s="354">
        <f t="shared" si="283"/>
        <v>204</v>
      </c>
      <c r="CH227" s="613">
        <f t="shared" si="284"/>
        <v>0</v>
      </c>
      <c r="CI227" s="613">
        <f t="shared" si="285"/>
        <v>0</v>
      </c>
      <c r="CJ227" s="614" t="str">
        <f t="shared" si="286"/>
        <v/>
      </c>
      <c r="CK227" s="615" t="str">
        <f t="shared" si="287"/>
        <v/>
      </c>
      <c r="CL227" s="610" t="str">
        <f>IF(ISBLANK(H227),"",IF(AND(ISNUMBER(F227),ISNUMBER(G227),ISNUMBER(H227)),ROUND(F227/(H227*G227),2),ROUND(F227/(VALUE(LEFT(H227,SUM(LEN(H227)-LEN(SUBSTITUTE(H227,{"0","1","2","3","4","5","6","7","8","9","."},"")))))*G227),2)))</f>
        <v/>
      </c>
      <c r="CM227" s="616" t="str">
        <f t="shared" si="318"/>
        <v/>
      </c>
      <c r="CN227" s="616" t="str">
        <f>IF(ISNUMBER(P227),MAX('Adjustment factors'!$S$16,(0.2+0.8*P227)),IF(ISTEXT(N227),VLOOKUP(N227,Afactors,2,FALSE),""))</f>
        <v/>
      </c>
      <c r="CO227" s="616" t="str">
        <f>IF(ISNUMBER(S227),MAX('Adjustment factors'!$S$16,0.2+0.8*S227),IF(ISTEXT(Q227),VLOOKUP(Q227,Afactors,2,FALSE),""))</f>
        <v/>
      </c>
      <c r="CP227" s="611" t="str">
        <f t="shared" si="305"/>
        <v/>
      </c>
      <c r="CQ227" s="612" t="str">
        <f t="shared" si="306"/>
        <v/>
      </c>
      <c r="CR227" s="340"/>
      <c r="CS227" s="340"/>
      <c r="CT227" s="340"/>
      <c r="CU227" s="340"/>
      <c r="CV227" s="333"/>
      <c r="CW227" s="333"/>
      <c r="CX227" s="333"/>
      <c r="CY227" s="333"/>
      <c r="DA227" s="313" t="str">
        <f t="shared" si="288"/>
        <v>OK</v>
      </c>
      <c r="DB227" s="313" t="str">
        <f t="shared" si="289"/>
        <v>OK</v>
      </c>
      <c r="DC227" s="313" t="str">
        <f t="shared" si="290"/>
        <v>OK</v>
      </c>
      <c r="DD227" s="313" t="str">
        <f t="shared" si="291"/>
        <v>OK</v>
      </c>
      <c r="DE227" s="153" t="str">
        <f t="shared" si="292"/>
        <v>OK</v>
      </c>
      <c r="DF227" s="314" t="str">
        <f t="shared" si="293"/>
        <v>OK</v>
      </c>
      <c r="DG227" s="482" t="str">
        <f t="shared" si="307"/>
        <v>OK</v>
      </c>
      <c r="DH227" s="482" t="str">
        <f>IF(OR(AND(T227='Adjustment factors'!$R$28,'Class 3, 5-9'!U227='Adjustment factors'!$R$29),AND('Class 3, 5-9'!T227='Adjustment factors'!$R$29,'Class 3, 5-9'!U227='Adjustment factors'!$R$28)),"Invalid combination of adjustment factors",IF(AND(T227=U227,NOT(ISBLANK(T227)),NOT(ISBLANK(U227))),"Same colour factor selected twice","OK"))</f>
        <v>OK</v>
      </c>
      <c r="DI227" s="313" t="str">
        <f t="shared" si="294"/>
        <v>OK</v>
      </c>
      <c r="DJ227" s="153" t="str">
        <f t="shared" si="319"/>
        <v>OK</v>
      </c>
      <c r="DK227" s="153" t="str">
        <f t="shared" si="295"/>
        <v>OK</v>
      </c>
      <c r="DL227" s="313" t="str">
        <f t="shared" si="296"/>
        <v>OK</v>
      </c>
      <c r="DM227" s="153" t="str">
        <f t="shared" si="297"/>
        <v>OK</v>
      </c>
      <c r="DN227" s="153" t="str">
        <f t="shared" si="320"/>
        <v>OK</v>
      </c>
      <c r="DO227" s="154" t="str">
        <f t="shared" si="321"/>
        <v>OK</v>
      </c>
      <c r="DP227" s="153" t="str">
        <f t="shared" si="298"/>
        <v>OK</v>
      </c>
      <c r="DQ227" s="313" t="str">
        <f t="shared" si="299"/>
        <v>OK</v>
      </c>
      <c r="DR227" s="153" t="str">
        <f t="shared" si="322"/>
        <v>OK</v>
      </c>
      <c r="DS227" s="153" t="str">
        <f t="shared" si="300"/>
        <v>OK</v>
      </c>
      <c r="DT227" s="313" t="str">
        <f t="shared" si="308"/>
        <v>OK</v>
      </c>
      <c r="DU227" s="153" t="str">
        <f t="shared" si="301"/>
        <v>OK</v>
      </c>
      <c r="DV227" s="153" t="str">
        <f t="shared" si="323"/>
        <v>OK</v>
      </c>
      <c r="DW227" s="154" t="str">
        <f t="shared" si="324"/>
        <v>OK</v>
      </c>
      <c r="DX227" s="157">
        <f t="shared" si="325"/>
        <v>0</v>
      </c>
      <c r="DY227" s="156" t="str">
        <f t="shared" si="326"/>
        <v>OK</v>
      </c>
    </row>
    <row r="228" spans="1:129" ht="13" hidden="1" x14ac:dyDescent="0.3">
      <c r="A228" s="333"/>
      <c r="B228" s="333"/>
      <c r="C228" s="331" t="str">
        <f t="shared" si="309"/>
        <v>-</v>
      </c>
      <c r="D228" s="584">
        <f t="shared" si="253"/>
        <v>205</v>
      </c>
      <c r="E228" s="585"/>
      <c r="F228" s="586"/>
      <c r="G228" s="600"/>
      <c r="H228" s="587"/>
      <c r="I228" s="601"/>
      <c r="J228" s="585"/>
      <c r="K228" s="617"/>
      <c r="L228" s="602"/>
      <c r="M228" s="603"/>
      <c r="N228" s="588"/>
      <c r="O228" s="604"/>
      <c r="P228" s="605"/>
      <c r="Q228" s="588"/>
      <c r="R228" s="604"/>
      <c r="S228" s="605"/>
      <c r="T228" s="606"/>
      <c r="U228" s="606"/>
      <c r="V228" s="429" t="str">
        <f t="shared" si="255"/>
        <v/>
      </c>
      <c r="W228" s="430" t="str">
        <f t="shared" ref="W228:W291" si="330">AW228</f>
        <v/>
      </c>
      <c r="X228" s="66" t="str">
        <f>IF(AND(ISNUMBER(P228),N228=FixedDim),MAX('Adjustment factors'!$S$16,0.2+0.8*P228),IF(ISTEXT(N228),VLOOKUP(N228,Afactors,2,TRUE),""))</f>
        <v/>
      </c>
      <c r="Y228" s="17" t="str">
        <f>IF(AND(ISNUMBER(S228),Q228=FixedDim),MAX('Adjustment factors'!$S$16,0.2+0.8*S228),IF(ISTEXT(Q228),VLOOKUP(Q228,Afactors,2,TRUE),""))</f>
        <v/>
      </c>
      <c r="Z228" s="297" t="str">
        <f>IF(ISBLANK(T228),"",VLOOKUP(T228,'Adjustment factors'!$R$27:$S$30,2,TRUE))</f>
        <v/>
      </c>
      <c r="AA228" s="297" t="str">
        <f>IF(ISBLANK(U228),"",VLOOKUP(U228,'Adjustment factors'!$R$27:$S$30,2,TRUE))</f>
        <v/>
      </c>
      <c r="AB228" s="480">
        <f t="shared" si="302"/>
        <v>1</v>
      </c>
      <c r="AC228" s="18" t="b">
        <f t="shared" si="259"/>
        <v>0</v>
      </c>
      <c r="AD228" s="18" t="b">
        <f t="shared" si="260"/>
        <v>0</v>
      </c>
      <c r="AE228" s="18" t="b">
        <f t="shared" si="327"/>
        <v>0</v>
      </c>
      <c r="AF228" s="17" t="str">
        <f t="shared" si="261"/>
        <v/>
      </c>
      <c r="AG228" s="18" t="str">
        <f t="shared" si="262"/>
        <v/>
      </c>
      <c r="AH228" s="17" t="str">
        <f t="shared" si="328"/>
        <v/>
      </c>
      <c r="AI228" s="297" t="e">
        <f t="shared" si="303"/>
        <v>#VALUE!</v>
      </c>
      <c r="AJ228" s="79" t="e">
        <f t="shared" si="263"/>
        <v>#VALUE!</v>
      </c>
      <c r="AK228" s="17" t="str">
        <f t="shared" si="329"/>
        <v/>
      </c>
      <c r="AL228" s="80" t="e">
        <f t="shared" si="264"/>
        <v>#VALUE!</v>
      </c>
      <c r="AM228" s="139" t="b">
        <f t="shared" si="265"/>
        <v>1</v>
      </c>
      <c r="AN228" s="139" t="b">
        <f>AND(COUNTA(E228)&gt;0,ISNUMBER(F228),OR(COUNT(G228:H228)=0,COUNT(G228:H228)=2,AND(ISNUMBER(G228),ISNUMBER(VALUE(LEFT(H228,SUM(LEN(H228)-LEN(SUBSTITUTE(H228,{"0","1","2","3","4","5","6","7","8","9","."},"")))))))),ISNUMBER(I228),ISTEXT(J228))</f>
        <v>0</v>
      </c>
      <c r="AO228" s="19" t="b">
        <f t="shared" si="266"/>
        <v>0</v>
      </c>
      <c r="AP228" s="19" t="b">
        <f t="shared" si="267"/>
        <v>1</v>
      </c>
      <c r="AQ228" s="19" t="b">
        <f>IF(AND(COUNTBLANK(E228:J228)=6,OR(AN229:AN$523)),NOT(AN228))</f>
        <v>0</v>
      </c>
      <c r="AR228" s="19" t="str">
        <f t="shared" si="268"/>
        <v/>
      </c>
      <c r="AS228" s="19" t="b">
        <f t="shared" si="269"/>
        <v>1</v>
      </c>
      <c r="AT228" s="19" t="str">
        <f t="shared" si="270"/>
        <v/>
      </c>
      <c r="AU228" s="19" t="b">
        <f t="shared" si="271"/>
        <v>1</v>
      </c>
      <c r="AV228" s="140" t="str">
        <f t="shared" si="311"/>
        <v/>
      </c>
      <c r="AW228" s="19" t="str">
        <f t="shared" si="272"/>
        <v/>
      </c>
      <c r="AX228" s="81">
        <f t="shared" si="273"/>
        <v>0</v>
      </c>
      <c r="AY228" s="81" t="str">
        <f t="shared" si="274"/>
        <v/>
      </c>
      <c r="AZ228" s="307" t="str">
        <f t="shared" si="304"/>
        <v/>
      </c>
      <c r="BA228" s="281" t="str">
        <f t="shared" si="312"/>
        <v/>
      </c>
      <c r="BB228" s="281" t="str">
        <f t="shared" si="313"/>
        <v/>
      </c>
      <c r="BC228" s="953"/>
      <c r="BD228" s="955"/>
      <c r="BE228" s="219" t="str">
        <f t="shared" si="275"/>
        <v>n/a</v>
      </c>
      <c r="BF228" s="215" t="b">
        <f t="shared" si="276"/>
        <v>0</v>
      </c>
      <c r="BG228" s="145" t="b">
        <f t="shared" si="277"/>
        <v>0</v>
      </c>
      <c r="BH228" s="145" t="b">
        <f t="shared" si="278"/>
        <v>0</v>
      </c>
      <c r="BI228" s="216" t="b">
        <f t="shared" si="279"/>
        <v>0</v>
      </c>
      <c r="BJ228" s="215" t="b">
        <f t="shared" si="280"/>
        <v>0</v>
      </c>
      <c r="BK228" s="145" t="b">
        <f t="shared" si="281"/>
        <v>0</v>
      </c>
      <c r="BL228" s="216" t="b">
        <f t="shared" si="282"/>
        <v>0</v>
      </c>
      <c r="BM228" s="217" t="str">
        <f t="shared" si="314"/>
        <v/>
      </c>
      <c r="BN228" s="146" t="str">
        <f t="shared" si="315"/>
        <v/>
      </c>
      <c r="BO228" s="147" t="str">
        <f t="shared" si="316"/>
        <v/>
      </c>
      <c r="BP228" s="148" t="str">
        <f t="shared" si="317"/>
        <v/>
      </c>
      <c r="BT228" s="50">
        <f t="shared" si="254"/>
        <v>205</v>
      </c>
      <c r="BU228" s="50" t="str">
        <f t="shared" si="256"/>
        <v>-</v>
      </c>
      <c r="BW228" s="333"/>
      <c r="BX228" s="333"/>
      <c r="BY228" s="333"/>
      <c r="BZ228" s="333"/>
      <c r="CA228" s="333"/>
      <c r="CB228" s="333"/>
      <c r="CC228" s="333"/>
      <c r="CD228" s="333"/>
      <c r="CE228" s="333"/>
      <c r="CF228" s="333"/>
      <c r="CG228" s="354">
        <f t="shared" si="283"/>
        <v>205</v>
      </c>
      <c r="CH228" s="613">
        <f t="shared" si="284"/>
        <v>0</v>
      </c>
      <c r="CI228" s="613">
        <f t="shared" si="285"/>
        <v>0</v>
      </c>
      <c r="CJ228" s="614" t="str">
        <f t="shared" si="286"/>
        <v/>
      </c>
      <c r="CK228" s="615" t="str">
        <f t="shared" si="287"/>
        <v/>
      </c>
      <c r="CL228" s="610" t="str">
        <f>IF(ISBLANK(H228),"",IF(AND(ISNUMBER(F228),ISNUMBER(G228),ISNUMBER(H228)),ROUND(F228/(H228*G228),2),ROUND(F228/(VALUE(LEFT(H228,SUM(LEN(H228)-LEN(SUBSTITUTE(H228,{"0","1","2","3","4","5","6","7","8","9","."},"")))))*G228),2)))</f>
        <v/>
      </c>
      <c r="CM228" s="616" t="str">
        <f t="shared" si="318"/>
        <v/>
      </c>
      <c r="CN228" s="616" t="str">
        <f>IF(ISNUMBER(P228),MAX('Adjustment factors'!$S$16,(0.2+0.8*P228)),IF(ISTEXT(N228),VLOOKUP(N228,Afactors,2,FALSE),""))</f>
        <v/>
      </c>
      <c r="CO228" s="616" t="str">
        <f>IF(ISNUMBER(S228),MAX('Adjustment factors'!$S$16,0.2+0.8*S228),IF(ISTEXT(Q228),VLOOKUP(Q228,Afactors,2,FALSE),""))</f>
        <v/>
      </c>
      <c r="CP228" s="611" t="str">
        <f t="shared" si="305"/>
        <v/>
      </c>
      <c r="CQ228" s="612" t="str">
        <f t="shared" si="306"/>
        <v/>
      </c>
      <c r="CR228" s="340"/>
      <c r="CS228" s="340"/>
      <c r="CT228" s="340"/>
      <c r="CU228" s="340"/>
      <c r="CV228" s="333"/>
      <c r="CW228" s="333"/>
      <c r="CX228" s="333"/>
      <c r="CY228" s="333"/>
      <c r="DA228" s="313" t="str">
        <f t="shared" si="288"/>
        <v>OK</v>
      </c>
      <c r="DB228" s="313" t="str">
        <f t="shared" si="289"/>
        <v>OK</v>
      </c>
      <c r="DC228" s="313" t="str">
        <f t="shared" si="290"/>
        <v>OK</v>
      </c>
      <c r="DD228" s="313" t="str">
        <f t="shared" si="291"/>
        <v>OK</v>
      </c>
      <c r="DE228" s="153" t="str">
        <f t="shared" si="292"/>
        <v>OK</v>
      </c>
      <c r="DF228" s="314" t="str">
        <f t="shared" si="293"/>
        <v>OK</v>
      </c>
      <c r="DG228" s="482" t="str">
        <f t="shared" si="307"/>
        <v>OK</v>
      </c>
      <c r="DH228" s="482" t="str">
        <f>IF(OR(AND(T228='Adjustment factors'!$R$28,'Class 3, 5-9'!U228='Adjustment factors'!$R$29),AND('Class 3, 5-9'!T228='Adjustment factors'!$R$29,'Class 3, 5-9'!U228='Adjustment factors'!$R$28)),"Invalid combination of adjustment factors",IF(AND(T228=U228,NOT(ISBLANK(T228)),NOT(ISBLANK(U228))),"Same colour factor selected twice","OK"))</f>
        <v>OK</v>
      </c>
      <c r="DI228" s="313" t="str">
        <f t="shared" si="294"/>
        <v>OK</v>
      </c>
      <c r="DJ228" s="153" t="str">
        <f t="shared" si="319"/>
        <v>OK</v>
      </c>
      <c r="DK228" s="153" t="str">
        <f t="shared" si="295"/>
        <v>OK</v>
      </c>
      <c r="DL228" s="313" t="str">
        <f t="shared" si="296"/>
        <v>OK</v>
      </c>
      <c r="DM228" s="153" t="str">
        <f t="shared" si="297"/>
        <v>OK</v>
      </c>
      <c r="DN228" s="153" t="str">
        <f t="shared" si="320"/>
        <v>OK</v>
      </c>
      <c r="DO228" s="154" t="str">
        <f t="shared" si="321"/>
        <v>OK</v>
      </c>
      <c r="DP228" s="153" t="str">
        <f t="shared" si="298"/>
        <v>OK</v>
      </c>
      <c r="DQ228" s="313" t="str">
        <f t="shared" si="299"/>
        <v>OK</v>
      </c>
      <c r="DR228" s="153" t="str">
        <f t="shared" si="322"/>
        <v>OK</v>
      </c>
      <c r="DS228" s="153" t="str">
        <f t="shared" si="300"/>
        <v>OK</v>
      </c>
      <c r="DT228" s="313" t="str">
        <f t="shared" si="308"/>
        <v>OK</v>
      </c>
      <c r="DU228" s="153" t="str">
        <f t="shared" si="301"/>
        <v>OK</v>
      </c>
      <c r="DV228" s="153" t="str">
        <f t="shared" si="323"/>
        <v>OK</v>
      </c>
      <c r="DW228" s="154" t="str">
        <f t="shared" si="324"/>
        <v>OK</v>
      </c>
      <c r="DX228" s="157">
        <f t="shared" si="325"/>
        <v>0</v>
      </c>
      <c r="DY228" s="156" t="str">
        <f t="shared" si="326"/>
        <v>OK</v>
      </c>
    </row>
    <row r="229" spans="1:129" ht="13" hidden="1" x14ac:dyDescent="0.3">
      <c r="A229" s="333"/>
      <c r="B229" s="333"/>
      <c r="C229" s="331" t="str">
        <f t="shared" si="309"/>
        <v>-</v>
      </c>
      <c r="D229" s="584">
        <f t="shared" si="253"/>
        <v>206</v>
      </c>
      <c r="E229" s="585"/>
      <c r="F229" s="586"/>
      <c r="G229" s="600"/>
      <c r="H229" s="587"/>
      <c r="I229" s="601"/>
      <c r="J229" s="585"/>
      <c r="K229" s="617"/>
      <c r="L229" s="602"/>
      <c r="M229" s="603"/>
      <c r="N229" s="588"/>
      <c r="O229" s="604"/>
      <c r="P229" s="605"/>
      <c r="Q229" s="588"/>
      <c r="R229" s="604"/>
      <c r="S229" s="605"/>
      <c r="T229" s="606"/>
      <c r="U229" s="606"/>
      <c r="V229" s="429" t="str">
        <f>AV229</f>
        <v/>
      </c>
      <c r="W229" s="430" t="str">
        <f t="shared" si="330"/>
        <v/>
      </c>
      <c r="X229" s="66" t="str">
        <f>IF(AND(ISNUMBER(P229),N229=FixedDim),MAX('Adjustment factors'!$S$16,0.2+0.8*P229),IF(ISTEXT(N229),VLOOKUP(N229,Afactors,2,TRUE),""))</f>
        <v/>
      </c>
      <c r="Y229" s="17" t="str">
        <f>IF(AND(ISNUMBER(S229),Q229=FixedDim),MAX('Adjustment factors'!$S$16,0.2+0.8*S229),IF(ISTEXT(Q229),VLOOKUP(Q229,Afactors,2,TRUE),""))</f>
        <v/>
      </c>
      <c r="Z229" s="297" t="str">
        <f>IF(ISBLANK(T229),"",VLOOKUP(T229,'Adjustment factors'!$R$27:$S$30,2,TRUE))</f>
        <v/>
      </c>
      <c r="AA229" s="297" t="str">
        <f>IF(ISBLANK(U229),"",VLOOKUP(U229,'Adjustment factors'!$R$27:$S$30,2,TRUE))</f>
        <v/>
      </c>
      <c r="AB229" s="480">
        <f t="shared" si="302"/>
        <v>1</v>
      </c>
      <c r="AC229" s="18" t="b">
        <f t="shared" si="259"/>
        <v>0</v>
      </c>
      <c r="AD229" s="18" t="b">
        <f t="shared" si="260"/>
        <v>0</v>
      </c>
      <c r="AE229" s="18" t="b">
        <f t="shared" si="327"/>
        <v>0</v>
      </c>
      <c r="AF229" s="17" t="str">
        <f t="shared" si="261"/>
        <v/>
      </c>
      <c r="AG229" s="18" t="str">
        <f t="shared" si="262"/>
        <v/>
      </c>
      <c r="AH229" s="17" t="str">
        <f t="shared" si="328"/>
        <v/>
      </c>
      <c r="AI229" s="297" t="e">
        <f t="shared" si="303"/>
        <v>#VALUE!</v>
      </c>
      <c r="AJ229" s="79" t="e">
        <f t="shared" si="263"/>
        <v>#VALUE!</v>
      </c>
      <c r="AK229" s="17" t="str">
        <f t="shared" si="329"/>
        <v/>
      </c>
      <c r="AL229" s="80" t="e">
        <f t="shared" si="264"/>
        <v>#VALUE!</v>
      </c>
      <c r="AM229" s="139" t="b">
        <f t="shared" si="265"/>
        <v>1</v>
      </c>
      <c r="AN229" s="139" t="b">
        <f>AND(COUNTA(E229)&gt;0,ISNUMBER(F229),OR(COUNT(G229:H229)=0,COUNT(G229:H229)=2,AND(ISNUMBER(G229),ISNUMBER(VALUE(LEFT(H229,SUM(LEN(H229)-LEN(SUBSTITUTE(H229,{"0","1","2","3","4","5","6","7","8","9","."},"")))))))),ISNUMBER(I229),ISTEXT(J229))</f>
        <v>0</v>
      </c>
      <c r="AO229" s="19" t="b">
        <f t="shared" si="266"/>
        <v>0</v>
      </c>
      <c r="AP229" s="19" t="b">
        <f t="shared" si="267"/>
        <v>1</v>
      </c>
      <c r="AQ229" s="19" t="b">
        <f>IF(AND(COUNTBLANK(E229:J229)=6,OR(AN230:AN$523)),NOT(AN229))</f>
        <v>0</v>
      </c>
      <c r="AR229" s="19" t="str">
        <f t="shared" si="268"/>
        <v/>
      </c>
      <c r="AS229" s="19" t="b">
        <f t="shared" si="269"/>
        <v>1</v>
      </c>
      <c r="AT229" s="19" t="str">
        <f t="shared" si="270"/>
        <v/>
      </c>
      <c r="AU229" s="19" t="b">
        <f t="shared" si="271"/>
        <v>1</v>
      </c>
      <c r="AV229" s="140" t="str">
        <f t="shared" si="311"/>
        <v/>
      </c>
      <c r="AW229" s="19" t="str">
        <f t="shared" si="272"/>
        <v/>
      </c>
      <c r="AX229" s="81">
        <f t="shared" si="273"/>
        <v>0</v>
      </c>
      <c r="AY229" s="81" t="str">
        <f t="shared" si="274"/>
        <v/>
      </c>
      <c r="AZ229" s="307" t="str">
        <f t="shared" si="304"/>
        <v/>
      </c>
      <c r="BA229" s="281" t="str">
        <f t="shared" si="312"/>
        <v/>
      </c>
      <c r="BB229" s="281" t="str">
        <f t="shared" si="313"/>
        <v/>
      </c>
      <c r="BC229" s="953"/>
      <c r="BD229" s="955"/>
      <c r="BE229" s="219" t="str">
        <f t="shared" si="275"/>
        <v>n/a</v>
      </c>
      <c r="BF229" s="215" t="b">
        <f t="shared" si="276"/>
        <v>0</v>
      </c>
      <c r="BG229" s="145" t="b">
        <f t="shared" si="277"/>
        <v>0</v>
      </c>
      <c r="BH229" s="145" t="b">
        <f t="shared" si="278"/>
        <v>0</v>
      </c>
      <c r="BI229" s="216" t="b">
        <f t="shared" si="279"/>
        <v>0</v>
      </c>
      <c r="BJ229" s="215" t="b">
        <f t="shared" si="280"/>
        <v>0</v>
      </c>
      <c r="BK229" s="145" t="b">
        <f t="shared" si="281"/>
        <v>0</v>
      </c>
      <c r="BL229" s="216" t="b">
        <f t="shared" si="282"/>
        <v>0</v>
      </c>
      <c r="BM229" s="217" t="str">
        <f t="shared" si="314"/>
        <v/>
      </c>
      <c r="BN229" s="146" t="str">
        <f t="shared" si="315"/>
        <v/>
      </c>
      <c r="BO229" s="147" t="str">
        <f t="shared" si="316"/>
        <v/>
      </c>
      <c r="BP229" s="148" t="str">
        <f t="shared" si="317"/>
        <v/>
      </c>
      <c r="BT229" s="50">
        <f t="shared" si="254"/>
        <v>206</v>
      </c>
      <c r="BU229" s="50" t="str">
        <f>IF(RowsPreferredOne&gt;=BT229,RowsPreferredOne,"-")</f>
        <v>-</v>
      </c>
      <c r="BW229" s="333"/>
      <c r="BX229" s="333"/>
      <c r="BY229" s="333"/>
      <c r="BZ229" s="333"/>
      <c r="CA229" s="333"/>
      <c r="CB229" s="333"/>
      <c r="CC229" s="333"/>
      <c r="CD229" s="333"/>
      <c r="CE229" s="333"/>
      <c r="CF229" s="333"/>
      <c r="CG229" s="354">
        <f t="shared" si="283"/>
        <v>206</v>
      </c>
      <c r="CH229" s="613">
        <f t="shared" si="284"/>
        <v>0</v>
      </c>
      <c r="CI229" s="613">
        <f t="shared" si="285"/>
        <v>0</v>
      </c>
      <c r="CJ229" s="614" t="str">
        <f t="shared" si="286"/>
        <v/>
      </c>
      <c r="CK229" s="615" t="str">
        <f t="shared" si="287"/>
        <v/>
      </c>
      <c r="CL229" s="610" t="str">
        <f>IF(ISBLANK(H229),"",IF(AND(ISNUMBER(F229),ISNUMBER(G229),ISNUMBER(H229)),ROUND(F229/(H229*G229),2),ROUND(F229/(VALUE(LEFT(H229,SUM(LEN(H229)-LEN(SUBSTITUTE(H229,{"0","1","2","3","4","5","6","7","8","9","."},"")))))*G229),2)))</f>
        <v/>
      </c>
      <c r="CM229" s="616" t="str">
        <f t="shared" si="318"/>
        <v/>
      </c>
      <c r="CN229" s="616" t="str">
        <f>IF(ISNUMBER(P229),MAX('Adjustment factors'!$S$16,(0.2+0.8*P229)),IF(ISTEXT(N229),VLOOKUP(N229,Afactors,2,FALSE),""))</f>
        <v/>
      </c>
      <c r="CO229" s="616" t="str">
        <f>IF(ISNUMBER(S229),MAX('Adjustment factors'!$S$16,0.2+0.8*S229),IF(ISTEXT(Q229),VLOOKUP(Q229,Afactors,2,FALSE),""))</f>
        <v/>
      </c>
      <c r="CP229" s="611" t="str">
        <f t="shared" si="305"/>
        <v/>
      </c>
      <c r="CQ229" s="612" t="str">
        <f t="shared" si="306"/>
        <v/>
      </c>
      <c r="CR229" s="340"/>
      <c r="CS229" s="416"/>
      <c r="CT229" s="416"/>
      <c r="CU229" s="340"/>
      <c r="CV229" s="333"/>
      <c r="CW229" s="333"/>
      <c r="CX229" s="333"/>
      <c r="CY229" s="333"/>
      <c r="DA229" s="313" t="str">
        <f t="shared" si="288"/>
        <v>OK</v>
      </c>
      <c r="DB229" s="313" t="str">
        <f t="shared" si="289"/>
        <v>OK</v>
      </c>
      <c r="DC229" s="313" t="str">
        <f t="shared" si="290"/>
        <v>OK</v>
      </c>
      <c r="DD229" s="313" t="str">
        <f t="shared" si="291"/>
        <v>OK</v>
      </c>
      <c r="DE229" s="153" t="str">
        <f t="shared" si="292"/>
        <v>OK</v>
      </c>
      <c r="DF229" s="314" t="str">
        <f t="shared" si="293"/>
        <v>OK</v>
      </c>
      <c r="DG229" s="482" t="str">
        <f t="shared" si="307"/>
        <v>OK</v>
      </c>
      <c r="DH229" s="482" t="str">
        <f>IF(OR(AND(T229='Adjustment factors'!$R$28,'Class 3, 5-9'!U229='Adjustment factors'!$R$29),AND('Class 3, 5-9'!T229='Adjustment factors'!$R$29,'Class 3, 5-9'!U229='Adjustment factors'!$R$28)),"Invalid combination of adjustment factors",IF(AND(T229=U229,NOT(ISBLANK(T229)),NOT(ISBLANK(U229))),"Same colour factor selected twice","OK"))</f>
        <v>OK</v>
      </c>
      <c r="DI229" s="313" t="str">
        <f t="shared" si="294"/>
        <v>OK</v>
      </c>
      <c r="DJ229" s="153" t="str">
        <f t="shared" si="319"/>
        <v>OK</v>
      </c>
      <c r="DK229" s="153" t="str">
        <f t="shared" si="295"/>
        <v>OK</v>
      </c>
      <c r="DL229" s="313" t="str">
        <f t="shared" si="296"/>
        <v>OK</v>
      </c>
      <c r="DM229" s="153" t="str">
        <f t="shared" si="297"/>
        <v>OK</v>
      </c>
      <c r="DN229" s="153" t="str">
        <f t="shared" si="320"/>
        <v>OK</v>
      </c>
      <c r="DO229" s="154" t="str">
        <f t="shared" si="321"/>
        <v>OK</v>
      </c>
      <c r="DP229" s="153" t="str">
        <f t="shared" si="298"/>
        <v>OK</v>
      </c>
      <c r="DQ229" s="313" t="str">
        <f t="shared" si="299"/>
        <v>OK</v>
      </c>
      <c r="DR229" s="153" t="str">
        <f t="shared" si="322"/>
        <v>OK</v>
      </c>
      <c r="DS229" s="153" t="str">
        <f t="shared" si="300"/>
        <v>OK</v>
      </c>
      <c r="DT229" s="313" t="str">
        <f t="shared" si="308"/>
        <v>OK</v>
      </c>
      <c r="DU229" s="153" t="str">
        <f t="shared" si="301"/>
        <v>OK</v>
      </c>
      <c r="DV229" s="153" t="str">
        <f t="shared" si="323"/>
        <v>OK</v>
      </c>
      <c r="DW229" s="154" t="str">
        <f t="shared" si="324"/>
        <v>OK</v>
      </c>
      <c r="DX229" s="157">
        <f t="shared" si="325"/>
        <v>0</v>
      </c>
      <c r="DY229" s="156" t="str">
        <f t="shared" si="326"/>
        <v>OK</v>
      </c>
    </row>
    <row r="230" spans="1:129" ht="13" hidden="1" x14ac:dyDescent="0.3">
      <c r="A230" s="333"/>
      <c r="B230" s="333"/>
      <c r="C230" s="331" t="str">
        <f t="shared" si="309"/>
        <v>-</v>
      </c>
      <c r="D230" s="584">
        <f t="shared" si="253"/>
        <v>207</v>
      </c>
      <c r="E230" s="585"/>
      <c r="F230" s="586"/>
      <c r="G230" s="600"/>
      <c r="H230" s="587"/>
      <c r="I230" s="601"/>
      <c r="J230" s="585"/>
      <c r="K230" s="617"/>
      <c r="L230" s="602"/>
      <c r="M230" s="603"/>
      <c r="N230" s="588"/>
      <c r="O230" s="604"/>
      <c r="P230" s="605"/>
      <c r="Q230" s="588"/>
      <c r="R230" s="604"/>
      <c r="S230" s="605"/>
      <c r="T230" s="606"/>
      <c r="U230" s="606"/>
      <c r="V230" s="429" t="str">
        <f t="shared" ref="V230:V293" si="331">AV230</f>
        <v/>
      </c>
      <c r="W230" s="430" t="str">
        <f t="shared" si="330"/>
        <v/>
      </c>
      <c r="X230" s="66" t="str">
        <f>IF(AND(ISNUMBER(P230),N230=FixedDim),MAX('Adjustment factors'!$S$16,0.2+0.8*P230),IF(ISTEXT(N230),VLOOKUP(N230,Afactors,2,TRUE),""))</f>
        <v/>
      </c>
      <c r="Y230" s="17" t="str">
        <f>IF(AND(ISNUMBER(S230),Q230=FixedDim),MAX('Adjustment factors'!$S$16,0.2+0.8*S230),IF(ISTEXT(Q230),VLOOKUP(Q230,Afactors,2,TRUE),""))</f>
        <v/>
      </c>
      <c r="Z230" s="297" t="str">
        <f>IF(ISBLANK(T230),"",VLOOKUP(T230,'Adjustment factors'!$R$27:$S$30,2,TRUE))</f>
        <v/>
      </c>
      <c r="AA230" s="297" t="str">
        <f>IF(ISBLANK(U230),"",VLOOKUP(U230,'Adjustment factors'!$R$27:$S$30,2,TRUE))</f>
        <v/>
      </c>
      <c r="AB230" s="480">
        <f t="shared" si="302"/>
        <v>1</v>
      </c>
      <c r="AC230" s="18" t="b">
        <f t="shared" si="259"/>
        <v>0</v>
      </c>
      <c r="AD230" s="18" t="b">
        <f t="shared" si="260"/>
        <v>0</v>
      </c>
      <c r="AE230" s="18" t="b">
        <f t="shared" si="327"/>
        <v>0</v>
      </c>
      <c r="AF230" s="17" t="str">
        <f t="shared" si="261"/>
        <v/>
      </c>
      <c r="AG230" s="18" t="str">
        <f t="shared" si="262"/>
        <v/>
      </c>
      <c r="AH230" s="17" t="str">
        <f t="shared" si="328"/>
        <v/>
      </c>
      <c r="AI230" s="297" t="e">
        <f t="shared" si="303"/>
        <v>#VALUE!</v>
      </c>
      <c r="AJ230" s="79" t="e">
        <f t="shared" si="263"/>
        <v>#VALUE!</v>
      </c>
      <c r="AK230" s="17" t="str">
        <f t="shared" si="329"/>
        <v/>
      </c>
      <c r="AL230" s="80" t="e">
        <f t="shared" si="264"/>
        <v>#VALUE!</v>
      </c>
      <c r="AM230" s="139" t="b">
        <f t="shared" si="265"/>
        <v>1</v>
      </c>
      <c r="AN230" s="139" t="b">
        <f>AND(COUNTA(E230)&gt;0,ISNUMBER(F230),OR(COUNT(G230:H230)=0,COUNT(G230:H230)=2,AND(ISNUMBER(G230),ISNUMBER(VALUE(LEFT(H230,SUM(LEN(H230)-LEN(SUBSTITUTE(H230,{"0","1","2","3","4","5","6","7","8","9","."},"")))))))),ISNUMBER(I230),ISTEXT(J230))</f>
        <v>0</v>
      </c>
      <c r="AO230" s="19" t="b">
        <f t="shared" si="266"/>
        <v>0</v>
      </c>
      <c r="AP230" s="19" t="b">
        <f t="shared" si="267"/>
        <v>1</v>
      </c>
      <c r="AQ230" s="19" t="b">
        <f>IF(AND(COUNTBLANK(E230:J230)=6,OR(AN231:AN$523)),NOT(AN230))</f>
        <v>0</v>
      </c>
      <c r="AR230" s="19" t="str">
        <f t="shared" si="268"/>
        <v/>
      </c>
      <c r="AS230" s="19" t="b">
        <f t="shared" si="269"/>
        <v>1</v>
      </c>
      <c r="AT230" s="19" t="str">
        <f t="shared" si="270"/>
        <v/>
      </c>
      <c r="AU230" s="19" t="b">
        <f t="shared" si="271"/>
        <v>1</v>
      </c>
      <c r="AV230" s="140" t="str">
        <f t="shared" si="311"/>
        <v/>
      </c>
      <c r="AW230" s="19" t="str">
        <f t="shared" si="272"/>
        <v/>
      </c>
      <c r="AX230" s="81">
        <f t="shared" si="273"/>
        <v>0</v>
      </c>
      <c r="AY230" s="81" t="str">
        <f t="shared" si="274"/>
        <v/>
      </c>
      <c r="AZ230" s="307" t="str">
        <f t="shared" si="304"/>
        <v/>
      </c>
      <c r="BA230" s="281" t="str">
        <f t="shared" si="312"/>
        <v/>
      </c>
      <c r="BB230" s="281" t="str">
        <f t="shared" si="313"/>
        <v/>
      </c>
      <c r="BC230" s="953"/>
      <c r="BD230" s="955"/>
      <c r="BE230" s="219" t="str">
        <f t="shared" si="275"/>
        <v>n/a</v>
      </c>
      <c r="BF230" s="215" t="b">
        <f t="shared" si="276"/>
        <v>0</v>
      </c>
      <c r="BG230" s="145" t="b">
        <f t="shared" si="277"/>
        <v>0</v>
      </c>
      <c r="BH230" s="145" t="b">
        <f t="shared" si="278"/>
        <v>0</v>
      </c>
      <c r="BI230" s="216" t="b">
        <f t="shared" si="279"/>
        <v>0</v>
      </c>
      <c r="BJ230" s="215" t="b">
        <f t="shared" si="280"/>
        <v>0</v>
      </c>
      <c r="BK230" s="145" t="b">
        <f t="shared" si="281"/>
        <v>0</v>
      </c>
      <c r="BL230" s="216" t="b">
        <f t="shared" si="282"/>
        <v>0</v>
      </c>
      <c r="BM230" s="217" t="str">
        <f t="shared" si="314"/>
        <v/>
      </c>
      <c r="BN230" s="146" t="str">
        <f t="shared" si="315"/>
        <v/>
      </c>
      <c r="BO230" s="147" t="str">
        <f t="shared" si="316"/>
        <v/>
      </c>
      <c r="BP230" s="148" t="str">
        <f t="shared" si="317"/>
        <v/>
      </c>
      <c r="BT230" s="50">
        <f t="shared" si="254"/>
        <v>207</v>
      </c>
      <c r="BU230" s="50" t="str">
        <f t="shared" ref="BU230:BU232" si="332">IF(RowsPreferredOne&gt;=BT230,RowsPreferredOne,"-")</f>
        <v>-</v>
      </c>
      <c r="BW230" s="333"/>
      <c r="BX230" s="333"/>
      <c r="BY230" s="333"/>
      <c r="BZ230" s="333"/>
      <c r="CA230" s="333"/>
      <c r="CB230" s="333"/>
      <c r="CC230" s="333"/>
      <c r="CD230" s="333"/>
      <c r="CE230" s="333"/>
      <c r="CF230" s="333"/>
      <c r="CG230" s="354">
        <f t="shared" si="283"/>
        <v>207</v>
      </c>
      <c r="CH230" s="613">
        <f t="shared" si="284"/>
        <v>0</v>
      </c>
      <c r="CI230" s="613">
        <f t="shared" si="285"/>
        <v>0</v>
      </c>
      <c r="CJ230" s="614" t="str">
        <f t="shared" si="286"/>
        <v/>
      </c>
      <c r="CK230" s="615" t="str">
        <f t="shared" si="287"/>
        <v/>
      </c>
      <c r="CL230" s="610" t="str">
        <f>IF(ISBLANK(H230),"",IF(AND(ISNUMBER(F230),ISNUMBER(G230),ISNUMBER(H230)),ROUND(F230/(H230*G230),2),ROUND(F230/(VALUE(LEFT(H230,SUM(LEN(H230)-LEN(SUBSTITUTE(H230,{"0","1","2","3","4","5","6","7","8","9","."},"")))))*G230),2)))</f>
        <v/>
      </c>
      <c r="CM230" s="616" t="str">
        <f t="shared" si="318"/>
        <v/>
      </c>
      <c r="CN230" s="616" t="str">
        <f>IF(ISNUMBER(P230),MAX('Adjustment factors'!$S$16,(0.2+0.8*P230)),IF(ISTEXT(N230),VLOOKUP(N230,Afactors,2,FALSE),""))</f>
        <v/>
      </c>
      <c r="CO230" s="616" t="str">
        <f>IF(ISNUMBER(S230),MAX('Adjustment factors'!$S$16,0.2+0.8*S230),IF(ISTEXT(Q230),VLOOKUP(Q230,Afactors,2,FALSE),""))</f>
        <v/>
      </c>
      <c r="CP230" s="611" t="str">
        <f t="shared" si="305"/>
        <v/>
      </c>
      <c r="CQ230" s="612" t="str">
        <f t="shared" si="306"/>
        <v/>
      </c>
      <c r="CR230" s="340"/>
      <c r="CS230" s="340"/>
      <c r="CT230" s="340"/>
      <c r="CU230" s="340"/>
      <c r="CV230" s="333"/>
      <c r="CW230" s="333"/>
      <c r="CX230" s="333"/>
      <c r="CY230" s="333"/>
      <c r="DA230" s="313" t="str">
        <f t="shared" si="288"/>
        <v>OK</v>
      </c>
      <c r="DB230" s="313" t="str">
        <f t="shared" si="289"/>
        <v>OK</v>
      </c>
      <c r="DC230" s="313" t="str">
        <f t="shared" si="290"/>
        <v>OK</v>
      </c>
      <c r="DD230" s="313" t="str">
        <f t="shared" si="291"/>
        <v>OK</v>
      </c>
      <c r="DE230" s="153" t="str">
        <f t="shared" si="292"/>
        <v>OK</v>
      </c>
      <c r="DF230" s="314" t="str">
        <f t="shared" si="293"/>
        <v>OK</v>
      </c>
      <c r="DG230" s="482" t="str">
        <f t="shared" si="307"/>
        <v>OK</v>
      </c>
      <c r="DH230" s="482" t="str">
        <f>IF(OR(AND(T230='Adjustment factors'!$R$28,'Class 3, 5-9'!U230='Adjustment factors'!$R$29),AND('Class 3, 5-9'!T230='Adjustment factors'!$R$29,'Class 3, 5-9'!U230='Adjustment factors'!$R$28)),"Invalid combination of adjustment factors",IF(AND(T230=U230,NOT(ISBLANK(T230)),NOT(ISBLANK(U230))),"Same colour factor selected twice","OK"))</f>
        <v>OK</v>
      </c>
      <c r="DI230" s="313" t="str">
        <f t="shared" si="294"/>
        <v>OK</v>
      </c>
      <c r="DJ230" s="153" t="str">
        <f t="shared" si="319"/>
        <v>OK</v>
      </c>
      <c r="DK230" s="153" t="str">
        <f t="shared" si="295"/>
        <v>OK</v>
      </c>
      <c r="DL230" s="313" t="str">
        <f t="shared" si="296"/>
        <v>OK</v>
      </c>
      <c r="DM230" s="153" t="str">
        <f t="shared" si="297"/>
        <v>OK</v>
      </c>
      <c r="DN230" s="153" t="str">
        <f t="shared" si="320"/>
        <v>OK</v>
      </c>
      <c r="DO230" s="154" t="str">
        <f t="shared" si="321"/>
        <v>OK</v>
      </c>
      <c r="DP230" s="153" t="str">
        <f t="shared" si="298"/>
        <v>OK</v>
      </c>
      <c r="DQ230" s="313" t="str">
        <f t="shared" si="299"/>
        <v>OK</v>
      </c>
      <c r="DR230" s="153" t="str">
        <f t="shared" si="322"/>
        <v>OK</v>
      </c>
      <c r="DS230" s="153" t="str">
        <f t="shared" si="300"/>
        <v>OK</v>
      </c>
      <c r="DT230" s="313" t="str">
        <f t="shared" si="308"/>
        <v>OK</v>
      </c>
      <c r="DU230" s="153" t="str">
        <f t="shared" si="301"/>
        <v>OK</v>
      </c>
      <c r="DV230" s="153" t="str">
        <f t="shared" si="323"/>
        <v>OK</v>
      </c>
      <c r="DW230" s="154" t="str">
        <f t="shared" si="324"/>
        <v>OK</v>
      </c>
      <c r="DX230" s="157">
        <f t="shared" si="325"/>
        <v>0</v>
      </c>
      <c r="DY230" s="156" t="str">
        <f t="shared" si="326"/>
        <v>OK</v>
      </c>
    </row>
    <row r="231" spans="1:129" ht="13" hidden="1" x14ac:dyDescent="0.3">
      <c r="A231" s="333"/>
      <c r="B231" s="333"/>
      <c r="C231" s="331" t="str">
        <f t="shared" si="309"/>
        <v>-</v>
      </c>
      <c r="D231" s="584">
        <f t="shared" si="253"/>
        <v>208</v>
      </c>
      <c r="E231" s="585"/>
      <c r="F231" s="586"/>
      <c r="G231" s="600"/>
      <c r="H231" s="587"/>
      <c r="I231" s="601"/>
      <c r="J231" s="585"/>
      <c r="K231" s="617"/>
      <c r="L231" s="602"/>
      <c r="M231" s="603"/>
      <c r="N231" s="588"/>
      <c r="O231" s="604"/>
      <c r="P231" s="605"/>
      <c r="Q231" s="588"/>
      <c r="R231" s="604"/>
      <c r="S231" s="605"/>
      <c r="T231" s="606"/>
      <c r="U231" s="606"/>
      <c r="V231" s="429" t="str">
        <f t="shared" si="331"/>
        <v/>
      </c>
      <c r="W231" s="430" t="str">
        <f t="shared" si="330"/>
        <v/>
      </c>
      <c r="X231" s="66" t="str">
        <f>IF(AND(ISNUMBER(P231),N231=FixedDim),MAX('Adjustment factors'!$S$16,0.2+0.8*P231),IF(ISTEXT(N231),VLOOKUP(N231,Afactors,2,TRUE),""))</f>
        <v/>
      </c>
      <c r="Y231" s="17" t="str">
        <f>IF(AND(ISNUMBER(S231),Q231=FixedDim),MAX('Adjustment factors'!$S$16,0.2+0.8*S231),IF(ISTEXT(Q231),VLOOKUP(Q231,Afactors,2,TRUE),""))</f>
        <v/>
      </c>
      <c r="Z231" s="297" t="str">
        <f>IF(ISBLANK(T231),"",VLOOKUP(T231,'Adjustment factors'!$R$27:$S$30,2,TRUE))</f>
        <v/>
      </c>
      <c r="AA231" s="297" t="str">
        <f>IF(ISBLANK(U231),"",VLOOKUP(U231,'Adjustment factors'!$R$27:$S$30,2,TRUE))</f>
        <v/>
      </c>
      <c r="AB231" s="480">
        <f t="shared" si="302"/>
        <v>1</v>
      </c>
      <c r="AC231" s="18" t="b">
        <f t="shared" si="259"/>
        <v>0</v>
      </c>
      <c r="AD231" s="18" t="b">
        <f t="shared" si="260"/>
        <v>0</v>
      </c>
      <c r="AE231" s="18" t="b">
        <f t="shared" si="327"/>
        <v>0</v>
      </c>
      <c r="AF231" s="17" t="str">
        <f t="shared" si="261"/>
        <v/>
      </c>
      <c r="AG231" s="18" t="str">
        <f t="shared" si="262"/>
        <v/>
      </c>
      <c r="AH231" s="17" t="str">
        <f t="shared" si="328"/>
        <v/>
      </c>
      <c r="AI231" s="297" t="e">
        <f t="shared" si="303"/>
        <v>#VALUE!</v>
      </c>
      <c r="AJ231" s="79" t="e">
        <f t="shared" si="263"/>
        <v>#VALUE!</v>
      </c>
      <c r="AK231" s="17" t="str">
        <f t="shared" si="329"/>
        <v/>
      </c>
      <c r="AL231" s="80" t="e">
        <f t="shared" si="264"/>
        <v>#VALUE!</v>
      </c>
      <c r="AM231" s="139" t="b">
        <f t="shared" si="265"/>
        <v>1</v>
      </c>
      <c r="AN231" s="139" t="b">
        <f>AND(COUNTA(E231)&gt;0,ISNUMBER(F231),OR(COUNT(G231:H231)=0,COUNT(G231:H231)=2,AND(ISNUMBER(G231),ISNUMBER(VALUE(LEFT(H231,SUM(LEN(H231)-LEN(SUBSTITUTE(H231,{"0","1","2","3","4","5","6","7","8","9","."},"")))))))),ISNUMBER(I231),ISTEXT(J231))</f>
        <v>0</v>
      </c>
      <c r="AO231" s="19" t="b">
        <f t="shared" si="266"/>
        <v>0</v>
      </c>
      <c r="AP231" s="19" t="b">
        <f t="shared" si="267"/>
        <v>1</v>
      </c>
      <c r="AQ231" s="19" t="b">
        <f>IF(AND(COUNTBLANK(E231:J231)=6,OR(AN232:AN$523)),NOT(AN231))</f>
        <v>0</v>
      </c>
      <c r="AR231" s="19" t="str">
        <f t="shared" si="268"/>
        <v/>
      </c>
      <c r="AS231" s="19" t="b">
        <f t="shared" si="269"/>
        <v>1</v>
      </c>
      <c r="AT231" s="19" t="str">
        <f t="shared" si="270"/>
        <v/>
      </c>
      <c r="AU231" s="19" t="b">
        <f t="shared" si="271"/>
        <v>1</v>
      </c>
      <c r="AV231" s="140" t="str">
        <f t="shared" si="311"/>
        <v/>
      </c>
      <c r="AW231" s="19" t="str">
        <f t="shared" si="272"/>
        <v/>
      </c>
      <c r="AX231" s="81">
        <f t="shared" si="273"/>
        <v>0</v>
      </c>
      <c r="AY231" s="81" t="str">
        <f t="shared" si="274"/>
        <v/>
      </c>
      <c r="AZ231" s="307" t="str">
        <f t="shared" si="304"/>
        <v/>
      </c>
      <c r="BA231" s="281" t="str">
        <f t="shared" si="312"/>
        <v/>
      </c>
      <c r="BB231" s="281" t="str">
        <f t="shared" si="313"/>
        <v/>
      </c>
      <c r="BC231" s="953"/>
      <c r="BD231" s="955"/>
      <c r="BE231" s="219" t="str">
        <f t="shared" si="275"/>
        <v>n/a</v>
      </c>
      <c r="BF231" s="215" t="b">
        <f t="shared" si="276"/>
        <v>0</v>
      </c>
      <c r="BG231" s="145" t="b">
        <f t="shared" si="277"/>
        <v>0</v>
      </c>
      <c r="BH231" s="145" t="b">
        <f t="shared" si="278"/>
        <v>0</v>
      </c>
      <c r="BI231" s="216" t="b">
        <f t="shared" si="279"/>
        <v>0</v>
      </c>
      <c r="BJ231" s="215" t="b">
        <f t="shared" si="280"/>
        <v>0</v>
      </c>
      <c r="BK231" s="145" t="b">
        <f t="shared" si="281"/>
        <v>0</v>
      </c>
      <c r="BL231" s="216" t="b">
        <f t="shared" si="282"/>
        <v>0</v>
      </c>
      <c r="BM231" s="217" t="str">
        <f t="shared" si="314"/>
        <v/>
      </c>
      <c r="BN231" s="146" t="str">
        <f t="shared" si="315"/>
        <v/>
      </c>
      <c r="BO231" s="147" t="str">
        <f t="shared" si="316"/>
        <v/>
      </c>
      <c r="BP231" s="148" t="str">
        <f t="shared" si="317"/>
        <v/>
      </c>
      <c r="BT231" s="50">
        <f t="shared" si="254"/>
        <v>208</v>
      </c>
      <c r="BU231" s="50" t="str">
        <f t="shared" si="332"/>
        <v>-</v>
      </c>
      <c r="BW231" s="333"/>
      <c r="BX231" s="333"/>
      <c r="BY231" s="333"/>
      <c r="BZ231" s="333"/>
      <c r="CA231" s="333"/>
      <c r="CB231" s="333"/>
      <c r="CC231" s="333"/>
      <c r="CD231" s="333"/>
      <c r="CE231" s="333"/>
      <c r="CF231" s="333"/>
      <c r="CG231" s="354">
        <f t="shared" si="283"/>
        <v>208</v>
      </c>
      <c r="CH231" s="613">
        <f t="shared" si="284"/>
        <v>0</v>
      </c>
      <c r="CI231" s="613">
        <f t="shared" si="285"/>
        <v>0</v>
      </c>
      <c r="CJ231" s="614" t="str">
        <f t="shared" si="286"/>
        <v/>
      </c>
      <c r="CK231" s="615" t="str">
        <f t="shared" si="287"/>
        <v/>
      </c>
      <c r="CL231" s="610" t="str">
        <f>IF(ISBLANK(H231),"",IF(AND(ISNUMBER(F231),ISNUMBER(G231),ISNUMBER(H231)),ROUND(F231/(H231*G231),2),ROUND(F231/(VALUE(LEFT(H231,SUM(LEN(H231)-LEN(SUBSTITUTE(H231,{"0","1","2","3","4","5","6","7","8","9","."},"")))))*G231),2)))</f>
        <v/>
      </c>
      <c r="CM231" s="616" t="str">
        <f t="shared" si="318"/>
        <v/>
      </c>
      <c r="CN231" s="616" t="str">
        <f>IF(ISNUMBER(P231),MAX('Adjustment factors'!$S$16,(0.2+0.8*P231)),IF(ISTEXT(N231),VLOOKUP(N231,Afactors,2,FALSE),""))</f>
        <v/>
      </c>
      <c r="CO231" s="616" t="str">
        <f>IF(ISNUMBER(S231),MAX('Adjustment factors'!$S$16,0.2+0.8*S231),IF(ISTEXT(Q231),VLOOKUP(Q231,Afactors,2,FALSE),""))</f>
        <v/>
      </c>
      <c r="CP231" s="611" t="str">
        <f t="shared" si="305"/>
        <v/>
      </c>
      <c r="CQ231" s="612" t="str">
        <f t="shared" si="306"/>
        <v/>
      </c>
      <c r="CR231" s="340"/>
      <c r="CS231" s="340"/>
      <c r="CT231" s="340"/>
      <c r="CU231" s="340"/>
      <c r="CV231" s="333"/>
      <c r="CW231" s="333"/>
      <c r="CX231" s="333"/>
      <c r="CY231" s="333"/>
      <c r="DA231" s="313" t="str">
        <f t="shared" si="288"/>
        <v>OK</v>
      </c>
      <c r="DB231" s="313" t="str">
        <f t="shared" si="289"/>
        <v>OK</v>
      </c>
      <c r="DC231" s="313" t="str">
        <f t="shared" si="290"/>
        <v>OK</v>
      </c>
      <c r="DD231" s="313" t="str">
        <f t="shared" si="291"/>
        <v>OK</v>
      </c>
      <c r="DE231" s="153" t="str">
        <f t="shared" si="292"/>
        <v>OK</v>
      </c>
      <c r="DF231" s="314" t="str">
        <f t="shared" si="293"/>
        <v>OK</v>
      </c>
      <c r="DG231" s="482" t="str">
        <f t="shared" si="307"/>
        <v>OK</v>
      </c>
      <c r="DH231" s="482" t="str">
        <f>IF(OR(AND(T231='Adjustment factors'!$R$28,'Class 3, 5-9'!U231='Adjustment factors'!$R$29),AND('Class 3, 5-9'!T231='Adjustment factors'!$R$29,'Class 3, 5-9'!U231='Adjustment factors'!$R$28)),"Invalid combination of adjustment factors",IF(AND(T231=U231,NOT(ISBLANK(T231)),NOT(ISBLANK(U231))),"Same colour factor selected twice","OK"))</f>
        <v>OK</v>
      </c>
      <c r="DI231" s="313" t="str">
        <f t="shared" si="294"/>
        <v>OK</v>
      </c>
      <c r="DJ231" s="153" t="str">
        <f t="shared" si="319"/>
        <v>OK</v>
      </c>
      <c r="DK231" s="153" t="str">
        <f t="shared" si="295"/>
        <v>OK</v>
      </c>
      <c r="DL231" s="313" t="str">
        <f t="shared" si="296"/>
        <v>OK</v>
      </c>
      <c r="DM231" s="153" t="str">
        <f t="shared" si="297"/>
        <v>OK</v>
      </c>
      <c r="DN231" s="153" t="str">
        <f t="shared" si="320"/>
        <v>OK</v>
      </c>
      <c r="DO231" s="154" t="str">
        <f t="shared" si="321"/>
        <v>OK</v>
      </c>
      <c r="DP231" s="153" t="str">
        <f t="shared" si="298"/>
        <v>OK</v>
      </c>
      <c r="DQ231" s="313" t="str">
        <f t="shared" si="299"/>
        <v>OK</v>
      </c>
      <c r="DR231" s="153" t="str">
        <f t="shared" si="322"/>
        <v>OK</v>
      </c>
      <c r="DS231" s="153" t="str">
        <f t="shared" si="300"/>
        <v>OK</v>
      </c>
      <c r="DT231" s="313" t="str">
        <f t="shared" si="308"/>
        <v>OK</v>
      </c>
      <c r="DU231" s="153" t="str">
        <f t="shared" si="301"/>
        <v>OK</v>
      </c>
      <c r="DV231" s="153" t="str">
        <f t="shared" si="323"/>
        <v>OK</v>
      </c>
      <c r="DW231" s="154" t="str">
        <f t="shared" si="324"/>
        <v>OK</v>
      </c>
      <c r="DX231" s="157">
        <f t="shared" si="325"/>
        <v>0</v>
      </c>
      <c r="DY231" s="156" t="str">
        <f t="shared" si="326"/>
        <v>OK</v>
      </c>
    </row>
    <row r="232" spans="1:129" ht="13" hidden="1" x14ac:dyDescent="0.3">
      <c r="A232" s="333"/>
      <c r="B232" s="333"/>
      <c r="C232" s="331" t="str">
        <f t="shared" si="309"/>
        <v>-</v>
      </c>
      <c r="D232" s="584">
        <f t="shared" si="253"/>
        <v>209</v>
      </c>
      <c r="E232" s="585"/>
      <c r="F232" s="586"/>
      <c r="G232" s="600"/>
      <c r="H232" s="587"/>
      <c r="I232" s="601"/>
      <c r="J232" s="585"/>
      <c r="K232" s="617"/>
      <c r="L232" s="602"/>
      <c r="M232" s="603"/>
      <c r="N232" s="588"/>
      <c r="O232" s="604"/>
      <c r="P232" s="605"/>
      <c r="Q232" s="588"/>
      <c r="R232" s="604"/>
      <c r="S232" s="605"/>
      <c r="T232" s="606"/>
      <c r="U232" s="606"/>
      <c r="V232" s="429" t="str">
        <f t="shared" si="331"/>
        <v/>
      </c>
      <c r="W232" s="430" t="str">
        <f t="shared" si="330"/>
        <v/>
      </c>
      <c r="X232" s="66" t="str">
        <f>IF(AND(ISNUMBER(P232),N232=FixedDim),MAX('Adjustment factors'!$S$16,0.2+0.8*P232),IF(ISTEXT(N232),VLOOKUP(N232,Afactors,2,TRUE),""))</f>
        <v/>
      </c>
      <c r="Y232" s="17" t="str">
        <f>IF(AND(ISNUMBER(S232),Q232=FixedDim),MAX('Adjustment factors'!$S$16,0.2+0.8*S232),IF(ISTEXT(Q232),VLOOKUP(Q232,Afactors,2,TRUE),""))</f>
        <v/>
      </c>
      <c r="Z232" s="297" t="str">
        <f>IF(ISBLANK(T232),"",VLOOKUP(T232,'Adjustment factors'!$R$27:$S$30,2,TRUE))</f>
        <v/>
      </c>
      <c r="AA232" s="297" t="str">
        <f>IF(ISBLANK(U232),"",VLOOKUP(U232,'Adjustment factors'!$R$27:$S$30,2,TRUE))</f>
        <v/>
      </c>
      <c r="AB232" s="480">
        <f t="shared" si="302"/>
        <v>1</v>
      </c>
      <c r="AC232" s="18" t="b">
        <f t="shared" si="259"/>
        <v>0</v>
      </c>
      <c r="AD232" s="18" t="b">
        <f t="shared" si="260"/>
        <v>0</v>
      </c>
      <c r="AE232" s="18" t="b">
        <f t="shared" si="327"/>
        <v>0</v>
      </c>
      <c r="AF232" s="17" t="str">
        <f t="shared" si="261"/>
        <v/>
      </c>
      <c r="AG232" s="18" t="str">
        <f t="shared" si="262"/>
        <v/>
      </c>
      <c r="AH232" s="17" t="str">
        <f t="shared" si="328"/>
        <v/>
      </c>
      <c r="AI232" s="297" t="e">
        <f t="shared" si="303"/>
        <v>#VALUE!</v>
      </c>
      <c r="AJ232" s="79" t="e">
        <f t="shared" si="263"/>
        <v>#VALUE!</v>
      </c>
      <c r="AK232" s="17" t="str">
        <f t="shared" si="329"/>
        <v/>
      </c>
      <c r="AL232" s="80" t="e">
        <f t="shared" si="264"/>
        <v>#VALUE!</v>
      </c>
      <c r="AM232" s="139" t="b">
        <f t="shared" si="265"/>
        <v>1</v>
      </c>
      <c r="AN232" s="139" t="b">
        <f>AND(COUNTA(E232)&gt;0,ISNUMBER(F232),OR(COUNT(G232:H232)=0,COUNT(G232:H232)=2,AND(ISNUMBER(G232),ISNUMBER(VALUE(LEFT(H232,SUM(LEN(H232)-LEN(SUBSTITUTE(H232,{"0","1","2","3","4","5","6","7","8","9","."},"")))))))),ISNUMBER(I232),ISTEXT(J232))</f>
        <v>0</v>
      </c>
      <c r="AO232" s="19" t="b">
        <f t="shared" si="266"/>
        <v>0</v>
      </c>
      <c r="AP232" s="19" t="b">
        <f t="shared" si="267"/>
        <v>1</v>
      </c>
      <c r="AQ232" s="19" t="b">
        <f>IF(AND(COUNTBLANK(E232:J232)=6,OR(AN233:AN$523)),NOT(AN232))</f>
        <v>0</v>
      </c>
      <c r="AR232" s="19" t="str">
        <f t="shared" si="268"/>
        <v/>
      </c>
      <c r="AS232" s="19" t="b">
        <f t="shared" si="269"/>
        <v>1</v>
      </c>
      <c r="AT232" s="19" t="str">
        <f t="shared" si="270"/>
        <v/>
      </c>
      <c r="AU232" s="19" t="b">
        <f t="shared" si="271"/>
        <v>1</v>
      </c>
      <c r="AV232" s="140" t="str">
        <f t="shared" si="311"/>
        <v/>
      </c>
      <c r="AW232" s="19" t="str">
        <f t="shared" si="272"/>
        <v/>
      </c>
      <c r="AX232" s="81">
        <f t="shared" si="273"/>
        <v>0</v>
      </c>
      <c r="AY232" s="81" t="str">
        <f t="shared" si="274"/>
        <v/>
      </c>
      <c r="AZ232" s="307" t="str">
        <f t="shared" si="304"/>
        <v/>
      </c>
      <c r="BA232" s="281" t="str">
        <f t="shared" si="312"/>
        <v/>
      </c>
      <c r="BB232" s="281" t="str">
        <f t="shared" si="313"/>
        <v/>
      </c>
      <c r="BC232" s="953"/>
      <c r="BD232" s="955"/>
      <c r="BE232" s="219" t="str">
        <f t="shared" si="275"/>
        <v>n/a</v>
      </c>
      <c r="BF232" s="215" t="b">
        <f t="shared" si="276"/>
        <v>0</v>
      </c>
      <c r="BG232" s="145" t="b">
        <f t="shared" si="277"/>
        <v>0</v>
      </c>
      <c r="BH232" s="145" t="b">
        <f t="shared" si="278"/>
        <v>0</v>
      </c>
      <c r="BI232" s="216" t="b">
        <f t="shared" si="279"/>
        <v>0</v>
      </c>
      <c r="BJ232" s="215" t="b">
        <f t="shared" si="280"/>
        <v>0</v>
      </c>
      <c r="BK232" s="145" t="b">
        <f t="shared" si="281"/>
        <v>0</v>
      </c>
      <c r="BL232" s="216" t="b">
        <f t="shared" si="282"/>
        <v>0</v>
      </c>
      <c r="BM232" s="217" t="str">
        <f t="shared" si="314"/>
        <v/>
      </c>
      <c r="BN232" s="146" t="str">
        <f t="shared" si="315"/>
        <v/>
      </c>
      <c r="BO232" s="147" t="str">
        <f t="shared" si="316"/>
        <v/>
      </c>
      <c r="BP232" s="148" t="str">
        <f t="shared" si="317"/>
        <v/>
      </c>
      <c r="BT232" s="50">
        <f t="shared" si="254"/>
        <v>209</v>
      </c>
      <c r="BU232" s="50" t="str">
        <f t="shared" si="332"/>
        <v>-</v>
      </c>
      <c r="BW232" s="333"/>
      <c r="BX232" s="333"/>
      <c r="BY232" s="333"/>
      <c r="BZ232" s="333"/>
      <c r="CA232" s="333"/>
      <c r="CB232" s="333"/>
      <c r="CC232" s="333"/>
      <c r="CD232" s="333"/>
      <c r="CE232" s="333"/>
      <c r="CF232" s="333"/>
      <c r="CG232" s="354">
        <f t="shared" si="283"/>
        <v>209</v>
      </c>
      <c r="CH232" s="613">
        <f t="shared" si="284"/>
        <v>0</v>
      </c>
      <c r="CI232" s="613">
        <f t="shared" si="285"/>
        <v>0</v>
      </c>
      <c r="CJ232" s="614" t="str">
        <f t="shared" si="286"/>
        <v/>
      </c>
      <c r="CK232" s="615" t="str">
        <f t="shared" si="287"/>
        <v/>
      </c>
      <c r="CL232" s="610" t="str">
        <f>IF(ISBLANK(H232),"",IF(AND(ISNUMBER(F232),ISNUMBER(G232),ISNUMBER(H232)),ROUND(F232/(H232*G232),2),ROUND(F232/(VALUE(LEFT(H232,SUM(LEN(H232)-LEN(SUBSTITUTE(H232,{"0","1","2","3","4","5","6","7","8","9","."},"")))))*G232),2)))</f>
        <v/>
      </c>
      <c r="CM232" s="616" t="str">
        <f t="shared" si="318"/>
        <v/>
      </c>
      <c r="CN232" s="616" t="str">
        <f>IF(ISNUMBER(P232),MAX('Adjustment factors'!$S$16,(0.2+0.8*P232)),IF(ISTEXT(N232),VLOOKUP(N232,Afactors,2,FALSE),""))</f>
        <v/>
      </c>
      <c r="CO232" s="616" t="str">
        <f>IF(ISNUMBER(S232),MAX('Adjustment factors'!$S$16,0.2+0.8*S232),IF(ISTEXT(Q232),VLOOKUP(Q232,Afactors,2,FALSE),""))</f>
        <v/>
      </c>
      <c r="CP232" s="611" t="str">
        <f t="shared" si="305"/>
        <v/>
      </c>
      <c r="CQ232" s="612" t="str">
        <f t="shared" si="306"/>
        <v/>
      </c>
      <c r="CR232" s="340"/>
      <c r="CS232" s="340"/>
      <c r="CT232" s="340"/>
      <c r="CU232" s="340"/>
      <c r="CV232" s="333"/>
      <c r="CW232" s="333"/>
      <c r="CX232" s="333"/>
      <c r="CY232" s="333"/>
      <c r="DA232" s="313" t="str">
        <f t="shared" si="288"/>
        <v>OK</v>
      </c>
      <c r="DB232" s="313" t="str">
        <f t="shared" si="289"/>
        <v>OK</v>
      </c>
      <c r="DC232" s="313" t="str">
        <f t="shared" si="290"/>
        <v>OK</v>
      </c>
      <c r="DD232" s="313" t="str">
        <f t="shared" si="291"/>
        <v>OK</v>
      </c>
      <c r="DE232" s="153" t="str">
        <f t="shared" si="292"/>
        <v>OK</v>
      </c>
      <c r="DF232" s="314" t="str">
        <f t="shared" si="293"/>
        <v>OK</v>
      </c>
      <c r="DG232" s="482" t="str">
        <f t="shared" si="307"/>
        <v>OK</v>
      </c>
      <c r="DH232" s="482" t="str">
        <f>IF(OR(AND(T232='Adjustment factors'!$R$28,'Class 3, 5-9'!U232='Adjustment factors'!$R$29),AND('Class 3, 5-9'!T232='Adjustment factors'!$R$29,'Class 3, 5-9'!U232='Adjustment factors'!$R$28)),"Invalid combination of adjustment factors",IF(AND(T232=U232,NOT(ISBLANK(T232)),NOT(ISBLANK(U232))),"Same colour factor selected twice","OK"))</f>
        <v>OK</v>
      </c>
      <c r="DI232" s="313" t="str">
        <f t="shared" si="294"/>
        <v>OK</v>
      </c>
      <c r="DJ232" s="153" t="str">
        <f t="shared" si="319"/>
        <v>OK</v>
      </c>
      <c r="DK232" s="153" t="str">
        <f t="shared" si="295"/>
        <v>OK</v>
      </c>
      <c r="DL232" s="313" t="str">
        <f t="shared" si="296"/>
        <v>OK</v>
      </c>
      <c r="DM232" s="153" t="str">
        <f t="shared" si="297"/>
        <v>OK</v>
      </c>
      <c r="DN232" s="153" t="str">
        <f t="shared" si="320"/>
        <v>OK</v>
      </c>
      <c r="DO232" s="154" t="str">
        <f t="shared" si="321"/>
        <v>OK</v>
      </c>
      <c r="DP232" s="153" t="str">
        <f t="shared" si="298"/>
        <v>OK</v>
      </c>
      <c r="DQ232" s="313" t="str">
        <f t="shared" si="299"/>
        <v>OK</v>
      </c>
      <c r="DR232" s="153" t="str">
        <f t="shared" si="322"/>
        <v>OK</v>
      </c>
      <c r="DS232" s="153" t="str">
        <f t="shared" si="300"/>
        <v>OK</v>
      </c>
      <c r="DT232" s="313" t="str">
        <f t="shared" si="308"/>
        <v>OK</v>
      </c>
      <c r="DU232" s="153" t="str">
        <f t="shared" si="301"/>
        <v>OK</v>
      </c>
      <c r="DV232" s="153" t="str">
        <f t="shared" si="323"/>
        <v>OK</v>
      </c>
      <c r="DW232" s="154" t="str">
        <f t="shared" si="324"/>
        <v>OK</v>
      </c>
      <c r="DX232" s="157">
        <f t="shared" si="325"/>
        <v>0</v>
      </c>
      <c r="DY232" s="156" t="str">
        <f t="shared" si="326"/>
        <v>OK</v>
      </c>
    </row>
    <row r="233" spans="1:129" ht="13" hidden="1" x14ac:dyDescent="0.3">
      <c r="A233" s="333"/>
      <c r="B233" s="333"/>
      <c r="C233" s="331" t="str">
        <f t="shared" si="309"/>
        <v>-</v>
      </c>
      <c r="D233" s="584">
        <f t="shared" si="253"/>
        <v>210</v>
      </c>
      <c r="E233" s="585"/>
      <c r="F233" s="586"/>
      <c r="G233" s="600"/>
      <c r="H233" s="587"/>
      <c r="I233" s="601"/>
      <c r="J233" s="585"/>
      <c r="K233" s="617"/>
      <c r="L233" s="602"/>
      <c r="M233" s="603"/>
      <c r="N233" s="588"/>
      <c r="O233" s="604"/>
      <c r="P233" s="605"/>
      <c r="Q233" s="588"/>
      <c r="R233" s="604"/>
      <c r="S233" s="605"/>
      <c r="T233" s="606"/>
      <c r="U233" s="606"/>
      <c r="V233" s="429" t="str">
        <f t="shared" si="331"/>
        <v/>
      </c>
      <c r="W233" s="430" t="str">
        <f t="shared" si="330"/>
        <v/>
      </c>
      <c r="X233" s="66" t="str">
        <f>IF(AND(ISNUMBER(P233),N233=FixedDim),MAX('Adjustment factors'!$S$16,0.2+0.8*P233),IF(ISTEXT(N233),VLOOKUP(N233,Afactors,2,TRUE),""))</f>
        <v/>
      </c>
      <c r="Y233" s="17" t="str">
        <f>IF(AND(ISNUMBER(S233),Q233=FixedDim),MAX('Adjustment factors'!$S$16,0.2+0.8*S233),IF(ISTEXT(Q233),VLOOKUP(Q233,Afactors,2,TRUE),""))</f>
        <v/>
      </c>
      <c r="Z233" s="297" t="str">
        <f>IF(ISBLANK(T233),"",VLOOKUP(T233,'Adjustment factors'!$R$27:$S$30,2,TRUE))</f>
        <v/>
      </c>
      <c r="AA233" s="297" t="str">
        <f>IF(ISBLANK(U233),"",VLOOKUP(U233,'Adjustment factors'!$R$27:$S$30,2,TRUE))</f>
        <v/>
      </c>
      <c r="AB233" s="480">
        <f t="shared" si="302"/>
        <v>1</v>
      </c>
      <c r="AC233" s="18" t="b">
        <f t="shared" si="259"/>
        <v>0</v>
      </c>
      <c r="AD233" s="18" t="b">
        <f t="shared" si="260"/>
        <v>0</v>
      </c>
      <c r="AE233" s="18" t="b">
        <f t="shared" si="327"/>
        <v>0</v>
      </c>
      <c r="AF233" s="17" t="str">
        <f t="shared" si="261"/>
        <v/>
      </c>
      <c r="AG233" s="18" t="str">
        <f t="shared" si="262"/>
        <v/>
      </c>
      <c r="AH233" s="17" t="str">
        <f t="shared" si="328"/>
        <v/>
      </c>
      <c r="AI233" s="297" t="e">
        <f t="shared" si="303"/>
        <v>#VALUE!</v>
      </c>
      <c r="AJ233" s="79" t="e">
        <f t="shared" si="263"/>
        <v>#VALUE!</v>
      </c>
      <c r="AK233" s="17" t="str">
        <f t="shared" si="329"/>
        <v/>
      </c>
      <c r="AL233" s="80" t="e">
        <f t="shared" si="264"/>
        <v>#VALUE!</v>
      </c>
      <c r="AM233" s="139" t="b">
        <f t="shared" si="265"/>
        <v>1</v>
      </c>
      <c r="AN233" s="139" t="b">
        <f>AND(COUNTA(E233)&gt;0,ISNUMBER(F233),OR(COUNT(G233:H233)=0,COUNT(G233:H233)=2,AND(ISNUMBER(G233),ISNUMBER(VALUE(LEFT(H233,SUM(LEN(H233)-LEN(SUBSTITUTE(H233,{"0","1","2","3","4","5","6","7","8","9","."},"")))))))),ISNUMBER(I233),ISTEXT(J233))</f>
        <v>0</v>
      </c>
      <c r="AO233" s="19" t="b">
        <f t="shared" si="266"/>
        <v>0</v>
      </c>
      <c r="AP233" s="19" t="b">
        <f t="shared" si="267"/>
        <v>1</v>
      </c>
      <c r="AQ233" s="19" t="b">
        <f>IF(AND(COUNTBLANK(E233:J233)=6,OR(AN234:AN$523)),NOT(AN233))</f>
        <v>0</v>
      </c>
      <c r="AR233" s="19" t="str">
        <f t="shared" si="268"/>
        <v/>
      </c>
      <c r="AS233" s="19" t="b">
        <f t="shared" si="269"/>
        <v>1</v>
      </c>
      <c r="AT233" s="19" t="str">
        <f t="shared" si="270"/>
        <v/>
      </c>
      <c r="AU233" s="19" t="b">
        <f t="shared" si="271"/>
        <v>1</v>
      </c>
      <c r="AV233" s="140" t="str">
        <f t="shared" si="311"/>
        <v/>
      </c>
      <c r="AW233" s="19" t="str">
        <f t="shared" si="272"/>
        <v/>
      </c>
      <c r="AX233" s="81">
        <f t="shared" si="273"/>
        <v>0</v>
      </c>
      <c r="AY233" s="81" t="str">
        <f t="shared" si="274"/>
        <v/>
      </c>
      <c r="AZ233" s="307" t="str">
        <f t="shared" si="304"/>
        <v/>
      </c>
      <c r="BA233" s="281" t="str">
        <f t="shared" si="312"/>
        <v/>
      </c>
      <c r="BB233" s="281" t="str">
        <f t="shared" si="313"/>
        <v/>
      </c>
      <c r="BC233" s="953"/>
      <c r="BD233" s="955"/>
      <c r="BE233" s="219" t="str">
        <f t="shared" si="275"/>
        <v>n/a</v>
      </c>
      <c r="BF233" s="215" t="b">
        <f t="shared" si="276"/>
        <v>0</v>
      </c>
      <c r="BG233" s="145" t="b">
        <f t="shared" si="277"/>
        <v>0</v>
      </c>
      <c r="BH233" s="145" t="b">
        <f t="shared" si="278"/>
        <v>0</v>
      </c>
      <c r="BI233" s="216" t="b">
        <f t="shared" si="279"/>
        <v>0</v>
      </c>
      <c r="BJ233" s="215" t="b">
        <f t="shared" si="280"/>
        <v>0</v>
      </c>
      <c r="BK233" s="145" t="b">
        <f t="shared" si="281"/>
        <v>0</v>
      </c>
      <c r="BL233" s="216" t="b">
        <f t="shared" si="282"/>
        <v>0</v>
      </c>
      <c r="BM233" s="217" t="str">
        <f t="shared" si="314"/>
        <v/>
      </c>
      <c r="BN233" s="146" t="str">
        <f t="shared" si="315"/>
        <v/>
      </c>
      <c r="BO233" s="147" t="str">
        <f t="shared" si="316"/>
        <v/>
      </c>
      <c r="BP233" s="148" t="str">
        <f t="shared" si="317"/>
        <v/>
      </c>
      <c r="BT233" s="50">
        <f t="shared" si="254"/>
        <v>210</v>
      </c>
      <c r="BU233" s="50" t="str">
        <f>IF(RowsPreferredOne&gt;=BT233,RowsPreferredOne,"-")</f>
        <v>-</v>
      </c>
      <c r="BW233" s="333"/>
      <c r="BX233" s="333"/>
      <c r="BY233" s="333"/>
      <c r="BZ233" s="333"/>
      <c r="CA233" s="333"/>
      <c r="CB233" s="333"/>
      <c r="CC233" s="333"/>
      <c r="CD233" s="333"/>
      <c r="CE233" s="333"/>
      <c r="CF233" s="333"/>
      <c r="CG233" s="354">
        <f t="shared" si="283"/>
        <v>210</v>
      </c>
      <c r="CH233" s="613">
        <f t="shared" si="284"/>
        <v>0</v>
      </c>
      <c r="CI233" s="613">
        <f t="shared" si="285"/>
        <v>0</v>
      </c>
      <c r="CJ233" s="614" t="str">
        <f t="shared" si="286"/>
        <v/>
      </c>
      <c r="CK233" s="615" t="str">
        <f t="shared" si="287"/>
        <v/>
      </c>
      <c r="CL233" s="610" t="str">
        <f>IF(ISBLANK(H233),"",IF(AND(ISNUMBER(F233),ISNUMBER(G233),ISNUMBER(H233)),ROUND(F233/(H233*G233),2),ROUND(F233/(VALUE(LEFT(H233,SUM(LEN(H233)-LEN(SUBSTITUTE(H233,{"0","1","2","3","4","5","6","7","8","9","."},"")))))*G233),2)))</f>
        <v/>
      </c>
      <c r="CM233" s="616" t="str">
        <f t="shared" si="318"/>
        <v/>
      </c>
      <c r="CN233" s="616" t="str">
        <f>IF(ISNUMBER(P233),MAX('Adjustment factors'!$S$16,(0.2+0.8*P233)),IF(ISTEXT(N233),VLOOKUP(N233,Afactors,2,FALSE),""))</f>
        <v/>
      </c>
      <c r="CO233" s="616" t="str">
        <f>IF(ISNUMBER(S233),MAX('Adjustment factors'!$S$16,0.2+0.8*S233),IF(ISTEXT(Q233),VLOOKUP(Q233,Afactors,2,FALSE),""))</f>
        <v/>
      </c>
      <c r="CP233" s="611" t="str">
        <f t="shared" si="305"/>
        <v/>
      </c>
      <c r="CQ233" s="612" t="str">
        <f t="shared" si="306"/>
        <v/>
      </c>
      <c r="CR233" s="340"/>
      <c r="CS233" s="340"/>
      <c r="CT233" s="340"/>
      <c r="CU233" s="340"/>
      <c r="CV233" s="333"/>
      <c r="CW233" s="333"/>
      <c r="CX233" s="333"/>
      <c r="CY233" s="333"/>
      <c r="DA233" s="313" t="str">
        <f t="shared" si="288"/>
        <v>OK</v>
      </c>
      <c r="DB233" s="313" t="str">
        <f t="shared" si="289"/>
        <v>OK</v>
      </c>
      <c r="DC233" s="313" t="str">
        <f t="shared" si="290"/>
        <v>OK</v>
      </c>
      <c r="DD233" s="313" t="str">
        <f t="shared" si="291"/>
        <v>OK</v>
      </c>
      <c r="DE233" s="153" t="str">
        <f t="shared" si="292"/>
        <v>OK</v>
      </c>
      <c r="DF233" s="314" t="str">
        <f t="shared" si="293"/>
        <v>OK</v>
      </c>
      <c r="DG233" s="482" t="str">
        <f t="shared" si="307"/>
        <v>OK</v>
      </c>
      <c r="DH233" s="482" t="str">
        <f>IF(OR(AND(T233='Adjustment factors'!$R$28,'Class 3, 5-9'!U233='Adjustment factors'!$R$29),AND('Class 3, 5-9'!T233='Adjustment factors'!$R$29,'Class 3, 5-9'!U233='Adjustment factors'!$R$28)),"Invalid combination of adjustment factors",IF(AND(T233=U233,NOT(ISBLANK(T233)),NOT(ISBLANK(U233))),"Same colour factor selected twice","OK"))</f>
        <v>OK</v>
      </c>
      <c r="DI233" s="313" t="str">
        <f t="shared" si="294"/>
        <v>OK</v>
      </c>
      <c r="DJ233" s="153" t="str">
        <f t="shared" si="319"/>
        <v>OK</v>
      </c>
      <c r="DK233" s="153" t="str">
        <f t="shared" si="295"/>
        <v>OK</v>
      </c>
      <c r="DL233" s="313" t="str">
        <f t="shared" si="296"/>
        <v>OK</v>
      </c>
      <c r="DM233" s="153" t="str">
        <f t="shared" si="297"/>
        <v>OK</v>
      </c>
      <c r="DN233" s="153" t="str">
        <f t="shared" si="320"/>
        <v>OK</v>
      </c>
      <c r="DO233" s="154" t="str">
        <f t="shared" si="321"/>
        <v>OK</v>
      </c>
      <c r="DP233" s="153" t="str">
        <f t="shared" si="298"/>
        <v>OK</v>
      </c>
      <c r="DQ233" s="313" t="str">
        <f t="shared" si="299"/>
        <v>OK</v>
      </c>
      <c r="DR233" s="153" t="str">
        <f t="shared" si="322"/>
        <v>OK</v>
      </c>
      <c r="DS233" s="153" t="str">
        <f t="shared" si="300"/>
        <v>OK</v>
      </c>
      <c r="DT233" s="313" t="str">
        <f t="shared" si="308"/>
        <v>OK</v>
      </c>
      <c r="DU233" s="153" t="str">
        <f t="shared" si="301"/>
        <v>OK</v>
      </c>
      <c r="DV233" s="153" t="str">
        <f t="shared" si="323"/>
        <v>OK</v>
      </c>
      <c r="DW233" s="154" t="str">
        <f t="shared" si="324"/>
        <v>OK</v>
      </c>
      <c r="DX233" s="157">
        <f t="shared" si="325"/>
        <v>0</v>
      </c>
      <c r="DY233" s="156" t="str">
        <f t="shared" si="326"/>
        <v>OK</v>
      </c>
    </row>
    <row r="234" spans="1:129" ht="13" hidden="1" x14ac:dyDescent="0.3">
      <c r="A234" s="333"/>
      <c r="B234" s="333"/>
      <c r="C234" s="331" t="str">
        <f t="shared" si="309"/>
        <v>-</v>
      </c>
      <c r="D234" s="584">
        <f t="shared" si="253"/>
        <v>211</v>
      </c>
      <c r="E234" s="585"/>
      <c r="F234" s="586"/>
      <c r="G234" s="600"/>
      <c r="H234" s="587"/>
      <c r="I234" s="601"/>
      <c r="J234" s="585"/>
      <c r="K234" s="617"/>
      <c r="L234" s="602"/>
      <c r="M234" s="603"/>
      <c r="N234" s="588"/>
      <c r="O234" s="604"/>
      <c r="P234" s="605"/>
      <c r="Q234" s="588"/>
      <c r="R234" s="604"/>
      <c r="S234" s="605"/>
      <c r="T234" s="606"/>
      <c r="U234" s="606"/>
      <c r="V234" s="429" t="str">
        <f t="shared" si="331"/>
        <v/>
      </c>
      <c r="W234" s="430" t="str">
        <f t="shared" si="330"/>
        <v/>
      </c>
      <c r="X234" s="66" t="str">
        <f>IF(AND(ISNUMBER(P234),N234=FixedDim),MAX('Adjustment factors'!$S$16,0.2+0.8*P234),IF(ISTEXT(N234),VLOOKUP(N234,Afactors,2,TRUE),""))</f>
        <v/>
      </c>
      <c r="Y234" s="17" t="str">
        <f>IF(AND(ISNUMBER(S234),Q234=FixedDim),MAX('Adjustment factors'!$S$16,0.2+0.8*S234),IF(ISTEXT(Q234),VLOOKUP(Q234,Afactors,2,TRUE),""))</f>
        <v/>
      </c>
      <c r="Z234" s="297" t="str">
        <f>IF(ISBLANK(T234),"",VLOOKUP(T234,'Adjustment factors'!$R$27:$S$30,2,TRUE))</f>
        <v/>
      </c>
      <c r="AA234" s="297" t="str">
        <f>IF(ISBLANK(U234),"",VLOOKUP(U234,'Adjustment factors'!$R$27:$S$30,2,TRUE))</f>
        <v/>
      </c>
      <c r="AB234" s="480">
        <f t="shared" si="302"/>
        <v>1</v>
      </c>
      <c r="AC234" s="18" t="b">
        <f t="shared" si="259"/>
        <v>0</v>
      </c>
      <c r="AD234" s="18" t="b">
        <f t="shared" si="260"/>
        <v>0</v>
      </c>
      <c r="AE234" s="18" t="b">
        <f t="shared" si="327"/>
        <v>0</v>
      </c>
      <c r="AF234" s="17" t="str">
        <f t="shared" si="261"/>
        <v/>
      </c>
      <c r="AG234" s="18" t="str">
        <f t="shared" si="262"/>
        <v/>
      </c>
      <c r="AH234" s="17" t="str">
        <f t="shared" si="328"/>
        <v/>
      </c>
      <c r="AI234" s="297" t="e">
        <f t="shared" si="303"/>
        <v>#VALUE!</v>
      </c>
      <c r="AJ234" s="79" t="e">
        <f t="shared" si="263"/>
        <v>#VALUE!</v>
      </c>
      <c r="AK234" s="17" t="str">
        <f t="shared" si="329"/>
        <v/>
      </c>
      <c r="AL234" s="80" t="e">
        <f t="shared" si="264"/>
        <v>#VALUE!</v>
      </c>
      <c r="AM234" s="139" t="b">
        <f t="shared" si="265"/>
        <v>1</v>
      </c>
      <c r="AN234" s="139" t="b">
        <f>AND(COUNTA(E234)&gt;0,ISNUMBER(F234),OR(COUNT(G234:H234)=0,COUNT(G234:H234)=2,AND(ISNUMBER(G234),ISNUMBER(VALUE(LEFT(H234,SUM(LEN(H234)-LEN(SUBSTITUTE(H234,{"0","1","2","3","4","5","6","7","8","9","."},"")))))))),ISNUMBER(I234),ISTEXT(J234))</f>
        <v>0</v>
      </c>
      <c r="AO234" s="19" t="b">
        <f t="shared" si="266"/>
        <v>0</v>
      </c>
      <c r="AP234" s="19" t="b">
        <f t="shared" si="267"/>
        <v>1</v>
      </c>
      <c r="AQ234" s="19" t="b">
        <f>IF(AND(COUNTBLANK(E234:J234)=6,OR(AN235:AN$523)),NOT(AN234))</f>
        <v>0</v>
      </c>
      <c r="AR234" s="19" t="str">
        <f t="shared" si="268"/>
        <v/>
      </c>
      <c r="AS234" s="19" t="b">
        <f t="shared" si="269"/>
        <v>1</v>
      </c>
      <c r="AT234" s="19" t="str">
        <f t="shared" si="270"/>
        <v/>
      </c>
      <c r="AU234" s="19" t="b">
        <f t="shared" si="271"/>
        <v>1</v>
      </c>
      <c r="AV234" s="140" t="str">
        <f t="shared" si="311"/>
        <v/>
      </c>
      <c r="AW234" s="19" t="str">
        <f t="shared" si="272"/>
        <v/>
      </c>
      <c r="AX234" s="81">
        <f t="shared" si="273"/>
        <v>0</v>
      </c>
      <c r="AY234" s="81" t="str">
        <f t="shared" si="274"/>
        <v/>
      </c>
      <c r="AZ234" s="307" t="str">
        <f t="shared" si="304"/>
        <v/>
      </c>
      <c r="BA234" s="281" t="str">
        <f t="shared" si="312"/>
        <v/>
      </c>
      <c r="BB234" s="281" t="str">
        <f t="shared" si="313"/>
        <v/>
      </c>
      <c r="BC234" s="953"/>
      <c r="BD234" s="955"/>
      <c r="BE234" s="219" t="str">
        <f t="shared" si="275"/>
        <v>n/a</v>
      </c>
      <c r="BF234" s="215" t="b">
        <f t="shared" si="276"/>
        <v>0</v>
      </c>
      <c r="BG234" s="145" t="b">
        <f t="shared" si="277"/>
        <v>0</v>
      </c>
      <c r="BH234" s="145" t="b">
        <f t="shared" si="278"/>
        <v>0</v>
      </c>
      <c r="BI234" s="216" t="b">
        <f t="shared" si="279"/>
        <v>0</v>
      </c>
      <c r="BJ234" s="215" t="b">
        <f t="shared" si="280"/>
        <v>0</v>
      </c>
      <c r="BK234" s="145" t="b">
        <f t="shared" si="281"/>
        <v>0</v>
      </c>
      <c r="BL234" s="216" t="b">
        <f t="shared" si="282"/>
        <v>0</v>
      </c>
      <c r="BM234" s="217" t="str">
        <f t="shared" si="314"/>
        <v/>
      </c>
      <c r="BN234" s="146" t="str">
        <f t="shared" si="315"/>
        <v/>
      </c>
      <c r="BO234" s="147" t="str">
        <f t="shared" si="316"/>
        <v/>
      </c>
      <c r="BP234" s="148" t="str">
        <f t="shared" si="317"/>
        <v/>
      </c>
      <c r="BT234" s="50">
        <f t="shared" si="254"/>
        <v>211</v>
      </c>
      <c r="BU234" s="50" t="str">
        <f t="shared" ref="BU234:BU297" si="333">IF(RowsPreferredOne&gt;=BT234,RowsPreferredOne,"-")</f>
        <v>-</v>
      </c>
      <c r="BW234" s="333"/>
      <c r="BX234" s="333"/>
      <c r="BY234" s="333"/>
      <c r="BZ234" s="333"/>
      <c r="CA234" s="333"/>
      <c r="CB234" s="333"/>
      <c r="CC234" s="333"/>
      <c r="CD234" s="333"/>
      <c r="CE234" s="333"/>
      <c r="CF234" s="333"/>
      <c r="CG234" s="354">
        <f t="shared" si="283"/>
        <v>211</v>
      </c>
      <c r="CH234" s="613">
        <f t="shared" si="284"/>
        <v>0</v>
      </c>
      <c r="CI234" s="613">
        <f t="shared" si="285"/>
        <v>0</v>
      </c>
      <c r="CJ234" s="614" t="str">
        <f t="shared" si="286"/>
        <v/>
      </c>
      <c r="CK234" s="615" t="str">
        <f t="shared" si="287"/>
        <v/>
      </c>
      <c r="CL234" s="610" t="str">
        <f>IF(ISBLANK(H234),"",IF(AND(ISNUMBER(F234),ISNUMBER(G234),ISNUMBER(H234)),ROUND(F234/(H234*G234),2),ROUND(F234/(VALUE(LEFT(H234,SUM(LEN(H234)-LEN(SUBSTITUTE(H234,{"0","1","2","3","4","5","6","7","8","9","."},"")))))*G234),2)))</f>
        <v/>
      </c>
      <c r="CM234" s="616" t="str">
        <f t="shared" si="318"/>
        <v/>
      </c>
      <c r="CN234" s="616" t="str">
        <f>IF(ISNUMBER(P234),MAX('Adjustment factors'!$S$16,(0.2+0.8*P234)),IF(ISTEXT(N234),VLOOKUP(N234,Afactors,2,FALSE),""))</f>
        <v/>
      </c>
      <c r="CO234" s="616" t="str">
        <f>IF(ISNUMBER(S234),MAX('Adjustment factors'!$S$16,0.2+0.8*S234),IF(ISTEXT(Q234),VLOOKUP(Q234,Afactors,2,FALSE),""))</f>
        <v/>
      </c>
      <c r="CP234" s="611" t="str">
        <f t="shared" si="305"/>
        <v/>
      </c>
      <c r="CQ234" s="612" t="str">
        <f t="shared" si="306"/>
        <v/>
      </c>
      <c r="CR234" s="340"/>
      <c r="CS234" s="340"/>
      <c r="CT234" s="340"/>
      <c r="CU234" s="340"/>
      <c r="CV234" s="333"/>
      <c r="CW234" s="333"/>
      <c r="CX234" s="333"/>
      <c r="CY234" s="333"/>
      <c r="DA234" s="313" t="str">
        <f t="shared" si="288"/>
        <v>OK</v>
      </c>
      <c r="DB234" s="313" t="str">
        <f t="shared" si="289"/>
        <v>OK</v>
      </c>
      <c r="DC234" s="313" t="str">
        <f t="shared" si="290"/>
        <v>OK</v>
      </c>
      <c r="DD234" s="313" t="str">
        <f t="shared" si="291"/>
        <v>OK</v>
      </c>
      <c r="DE234" s="153" t="str">
        <f t="shared" si="292"/>
        <v>OK</v>
      </c>
      <c r="DF234" s="314" t="str">
        <f t="shared" si="293"/>
        <v>OK</v>
      </c>
      <c r="DG234" s="482" t="str">
        <f t="shared" si="307"/>
        <v>OK</v>
      </c>
      <c r="DH234" s="482" t="str">
        <f>IF(OR(AND(T234='Adjustment factors'!$R$28,'Class 3, 5-9'!U234='Adjustment factors'!$R$29),AND('Class 3, 5-9'!T234='Adjustment factors'!$R$29,'Class 3, 5-9'!U234='Adjustment factors'!$R$28)),"Invalid combination of adjustment factors",IF(AND(T234=U234,NOT(ISBLANK(T234)),NOT(ISBLANK(U234))),"Same colour factor selected twice","OK"))</f>
        <v>OK</v>
      </c>
      <c r="DI234" s="313" t="str">
        <f t="shared" si="294"/>
        <v>OK</v>
      </c>
      <c r="DJ234" s="153" t="str">
        <f t="shared" si="319"/>
        <v>OK</v>
      </c>
      <c r="DK234" s="153" t="str">
        <f t="shared" si="295"/>
        <v>OK</v>
      </c>
      <c r="DL234" s="313" t="str">
        <f t="shared" si="296"/>
        <v>OK</v>
      </c>
      <c r="DM234" s="153" t="str">
        <f t="shared" si="297"/>
        <v>OK</v>
      </c>
      <c r="DN234" s="153" t="str">
        <f t="shared" si="320"/>
        <v>OK</v>
      </c>
      <c r="DO234" s="154" t="str">
        <f t="shared" si="321"/>
        <v>OK</v>
      </c>
      <c r="DP234" s="153" t="str">
        <f t="shared" si="298"/>
        <v>OK</v>
      </c>
      <c r="DQ234" s="313" t="str">
        <f t="shared" si="299"/>
        <v>OK</v>
      </c>
      <c r="DR234" s="153" t="str">
        <f t="shared" si="322"/>
        <v>OK</v>
      </c>
      <c r="DS234" s="153" t="str">
        <f t="shared" si="300"/>
        <v>OK</v>
      </c>
      <c r="DT234" s="313" t="str">
        <f t="shared" si="308"/>
        <v>OK</v>
      </c>
      <c r="DU234" s="153" t="str">
        <f t="shared" si="301"/>
        <v>OK</v>
      </c>
      <c r="DV234" s="153" t="str">
        <f t="shared" si="323"/>
        <v>OK</v>
      </c>
      <c r="DW234" s="154" t="str">
        <f t="shared" si="324"/>
        <v>OK</v>
      </c>
      <c r="DX234" s="157">
        <f t="shared" si="325"/>
        <v>0</v>
      </c>
      <c r="DY234" s="156" t="str">
        <f t="shared" si="326"/>
        <v>OK</v>
      </c>
    </row>
    <row r="235" spans="1:129" ht="13" hidden="1" x14ac:dyDescent="0.3">
      <c r="A235" s="333"/>
      <c r="B235" s="333"/>
      <c r="C235" s="331" t="str">
        <f>BU235</f>
        <v>-</v>
      </c>
      <c r="D235" s="584">
        <f t="shared" si="253"/>
        <v>212</v>
      </c>
      <c r="E235" s="585"/>
      <c r="F235" s="586"/>
      <c r="G235" s="600"/>
      <c r="H235" s="587"/>
      <c r="I235" s="601"/>
      <c r="J235" s="585"/>
      <c r="K235" s="617"/>
      <c r="L235" s="602"/>
      <c r="M235" s="603"/>
      <c r="N235" s="588"/>
      <c r="O235" s="604"/>
      <c r="P235" s="605"/>
      <c r="Q235" s="588"/>
      <c r="R235" s="604"/>
      <c r="S235" s="605"/>
      <c r="T235" s="606"/>
      <c r="U235" s="606"/>
      <c r="V235" s="429" t="str">
        <f t="shared" si="331"/>
        <v/>
      </c>
      <c r="W235" s="430" t="str">
        <f t="shared" si="330"/>
        <v/>
      </c>
      <c r="X235" s="66" t="str">
        <f>IF(AND(ISNUMBER(P235),N235=FixedDim),MAX('Adjustment factors'!$S$16,0.2+0.8*P235),IF(ISTEXT(N235),VLOOKUP(N235,Afactors,2,TRUE),""))</f>
        <v/>
      </c>
      <c r="Y235" s="17" t="str">
        <f>IF(AND(ISNUMBER(S235),Q235=FixedDim),MAX('Adjustment factors'!$S$16,0.2+0.8*S235),IF(ISTEXT(Q235),VLOOKUP(Q235,Afactors,2,TRUE),""))</f>
        <v/>
      </c>
      <c r="Z235" s="297" t="str">
        <f>IF(ISBLANK(T235),"",VLOOKUP(T235,'Adjustment factors'!$R$27:$S$30,2,TRUE))</f>
        <v/>
      </c>
      <c r="AA235" s="297" t="str">
        <f>IF(ISBLANK(U235),"",VLOOKUP(U235,'Adjustment factors'!$R$27:$S$30,2,TRUE))</f>
        <v/>
      </c>
      <c r="AB235" s="480">
        <f t="shared" si="302"/>
        <v>1</v>
      </c>
      <c r="AC235" s="18" t="b">
        <f t="shared" si="259"/>
        <v>0</v>
      </c>
      <c r="AD235" s="18" t="b">
        <f t="shared" si="260"/>
        <v>0</v>
      </c>
      <c r="AE235" s="18" t="b">
        <f t="shared" si="327"/>
        <v>0</v>
      </c>
      <c r="AF235" s="17" t="str">
        <f t="shared" si="261"/>
        <v/>
      </c>
      <c r="AG235" s="18" t="str">
        <f t="shared" si="262"/>
        <v/>
      </c>
      <c r="AH235" s="17" t="str">
        <f t="shared" si="328"/>
        <v/>
      </c>
      <c r="AI235" s="297" t="e">
        <f t="shared" si="303"/>
        <v>#VALUE!</v>
      </c>
      <c r="AJ235" s="79" t="e">
        <f t="shared" si="263"/>
        <v>#VALUE!</v>
      </c>
      <c r="AK235" s="17" t="str">
        <f t="shared" si="329"/>
        <v/>
      </c>
      <c r="AL235" s="80" t="e">
        <f t="shared" si="264"/>
        <v>#VALUE!</v>
      </c>
      <c r="AM235" s="139" t="b">
        <f t="shared" si="265"/>
        <v>1</v>
      </c>
      <c r="AN235" s="139" t="b">
        <f>AND(COUNTA(E235)&gt;0,ISNUMBER(F235),OR(COUNT(G235:H235)=0,COUNT(G235:H235)=2,AND(ISNUMBER(G235),ISNUMBER(VALUE(LEFT(H235,SUM(LEN(H235)-LEN(SUBSTITUTE(H235,{"0","1","2","3","4","5","6","7","8","9","."},"")))))))),ISNUMBER(I235),ISTEXT(J235))</f>
        <v>0</v>
      </c>
      <c r="AO235" s="19" t="b">
        <f t="shared" si="266"/>
        <v>0</v>
      </c>
      <c r="AP235" s="19" t="b">
        <f t="shared" si="267"/>
        <v>1</v>
      </c>
      <c r="AQ235" s="19" t="b">
        <f>IF(AND(COUNTBLANK(E235:J235)=6,OR(AN236:AN$523)),NOT(AN235))</f>
        <v>0</v>
      </c>
      <c r="AR235" s="19" t="str">
        <f t="shared" si="268"/>
        <v/>
      </c>
      <c r="AS235" s="19" t="b">
        <f t="shared" si="269"/>
        <v>1</v>
      </c>
      <c r="AT235" s="19" t="str">
        <f t="shared" si="270"/>
        <v/>
      </c>
      <c r="AU235" s="19" t="b">
        <f t="shared" si="271"/>
        <v>1</v>
      </c>
      <c r="AV235" s="140" t="str">
        <f t="shared" si="311"/>
        <v/>
      </c>
      <c r="AW235" s="19" t="str">
        <f t="shared" si="272"/>
        <v/>
      </c>
      <c r="AX235" s="81">
        <f t="shared" si="273"/>
        <v>0</v>
      </c>
      <c r="AY235" s="81" t="str">
        <f t="shared" si="274"/>
        <v/>
      </c>
      <c r="AZ235" s="307" t="str">
        <f t="shared" si="304"/>
        <v/>
      </c>
      <c r="BA235" s="281" t="str">
        <f t="shared" si="312"/>
        <v/>
      </c>
      <c r="BB235" s="281" t="str">
        <f t="shared" si="313"/>
        <v/>
      </c>
      <c r="BC235" s="953"/>
      <c r="BD235" s="955"/>
      <c r="BE235" s="219" t="str">
        <f t="shared" si="275"/>
        <v>n/a</v>
      </c>
      <c r="BF235" s="215" t="b">
        <f t="shared" si="276"/>
        <v>0</v>
      </c>
      <c r="BG235" s="145" t="b">
        <f t="shared" si="277"/>
        <v>0</v>
      </c>
      <c r="BH235" s="145" t="b">
        <f t="shared" si="278"/>
        <v>0</v>
      </c>
      <c r="BI235" s="216" t="b">
        <f t="shared" si="279"/>
        <v>0</v>
      </c>
      <c r="BJ235" s="215" t="b">
        <f t="shared" si="280"/>
        <v>0</v>
      </c>
      <c r="BK235" s="145" t="b">
        <f t="shared" si="281"/>
        <v>0</v>
      </c>
      <c r="BL235" s="216" t="b">
        <f t="shared" si="282"/>
        <v>0</v>
      </c>
      <c r="BM235" s="217" t="str">
        <f t="shared" si="314"/>
        <v/>
      </c>
      <c r="BN235" s="146" t="str">
        <f t="shared" si="315"/>
        <v/>
      </c>
      <c r="BO235" s="147" t="str">
        <f t="shared" si="316"/>
        <v/>
      </c>
      <c r="BP235" s="148" t="str">
        <f t="shared" si="317"/>
        <v/>
      </c>
      <c r="BT235" s="50">
        <f t="shared" si="254"/>
        <v>212</v>
      </c>
      <c r="BU235" s="50" t="str">
        <f t="shared" si="333"/>
        <v>-</v>
      </c>
      <c r="BW235" s="333"/>
      <c r="BX235" s="333"/>
      <c r="BY235" s="333"/>
      <c r="BZ235" s="333"/>
      <c r="CA235" s="333"/>
      <c r="CB235" s="333"/>
      <c r="CC235" s="333"/>
      <c r="CD235" s="333"/>
      <c r="CE235" s="333"/>
      <c r="CF235" s="333"/>
      <c r="CG235" s="354">
        <f t="shared" si="283"/>
        <v>212</v>
      </c>
      <c r="CH235" s="613">
        <f t="shared" si="284"/>
        <v>0</v>
      </c>
      <c r="CI235" s="613">
        <f t="shared" si="285"/>
        <v>0</v>
      </c>
      <c r="CJ235" s="614" t="str">
        <f t="shared" si="286"/>
        <v/>
      </c>
      <c r="CK235" s="615" t="str">
        <f t="shared" si="287"/>
        <v/>
      </c>
      <c r="CL235" s="610" t="str">
        <f>IF(ISBLANK(H235),"",IF(AND(ISNUMBER(F235),ISNUMBER(G235),ISNUMBER(H235)),ROUND(F235/(H235*G235),2),ROUND(F235/(VALUE(LEFT(H235,SUM(LEN(H235)-LEN(SUBSTITUTE(H235,{"0","1","2","3","4","5","6","7","8","9","."},"")))))*G235),2)))</f>
        <v/>
      </c>
      <c r="CM235" s="616" t="str">
        <f t="shared" si="318"/>
        <v/>
      </c>
      <c r="CN235" s="616" t="str">
        <f>IF(ISNUMBER(P235),MAX('Adjustment factors'!$S$16,(0.2+0.8*P235)),IF(ISTEXT(N235),VLOOKUP(N235,Afactors,2,FALSE),""))</f>
        <v/>
      </c>
      <c r="CO235" s="616" t="str">
        <f>IF(ISNUMBER(S235),MAX('Adjustment factors'!$S$16,0.2+0.8*S235),IF(ISTEXT(Q235),VLOOKUP(Q235,Afactors,2,FALSE),""))</f>
        <v/>
      </c>
      <c r="CP235" s="611" t="str">
        <f t="shared" si="305"/>
        <v/>
      </c>
      <c r="CQ235" s="612" t="str">
        <f t="shared" si="306"/>
        <v/>
      </c>
      <c r="CR235" s="340"/>
      <c r="CS235" s="340"/>
      <c r="CT235" s="340"/>
      <c r="CU235" s="340"/>
      <c r="CV235" s="333"/>
      <c r="CW235" s="333"/>
      <c r="CX235" s="333"/>
      <c r="CY235" s="333"/>
      <c r="DA235" s="313" t="str">
        <f t="shared" si="288"/>
        <v>OK</v>
      </c>
      <c r="DB235" s="313" t="str">
        <f t="shared" si="289"/>
        <v>OK</v>
      </c>
      <c r="DC235" s="313" t="str">
        <f t="shared" si="290"/>
        <v>OK</v>
      </c>
      <c r="DD235" s="313" t="str">
        <f t="shared" si="291"/>
        <v>OK</v>
      </c>
      <c r="DE235" s="153" t="str">
        <f t="shared" si="292"/>
        <v>OK</v>
      </c>
      <c r="DF235" s="314" t="str">
        <f t="shared" si="293"/>
        <v>OK</v>
      </c>
      <c r="DG235" s="482" t="str">
        <f t="shared" si="307"/>
        <v>OK</v>
      </c>
      <c r="DH235" s="482" t="str">
        <f>IF(OR(AND(T235='Adjustment factors'!$R$28,'Class 3, 5-9'!U235='Adjustment factors'!$R$29),AND('Class 3, 5-9'!T235='Adjustment factors'!$R$29,'Class 3, 5-9'!U235='Adjustment factors'!$R$28)),"Invalid combination of adjustment factors",IF(AND(T235=U235,NOT(ISBLANK(T235)),NOT(ISBLANK(U235))),"Same colour factor selected twice","OK"))</f>
        <v>OK</v>
      </c>
      <c r="DI235" s="313" t="str">
        <f t="shared" si="294"/>
        <v>OK</v>
      </c>
      <c r="DJ235" s="153" t="str">
        <f t="shared" si="319"/>
        <v>OK</v>
      </c>
      <c r="DK235" s="153" t="str">
        <f t="shared" si="295"/>
        <v>OK</v>
      </c>
      <c r="DL235" s="313" t="str">
        <f t="shared" si="296"/>
        <v>OK</v>
      </c>
      <c r="DM235" s="153" t="str">
        <f t="shared" si="297"/>
        <v>OK</v>
      </c>
      <c r="DN235" s="153" t="str">
        <f t="shared" si="320"/>
        <v>OK</v>
      </c>
      <c r="DO235" s="154" t="str">
        <f t="shared" si="321"/>
        <v>OK</v>
      </c>
      <c r="DP235" s="153" t="str">
        <f t="shared" si="298"/>
        <v>OK</v>
      </c>
      <c r="DQ235" s="313" t="str">
        <f t="shared" si="299"/>
        <v>OK</v>
      </c>
      <c r="DR235" s="153" t="str">
        <f t="shared" si="322"/>
        <v>OK</v>
      </c>
      <c r="DS235" s="153" t="str">
        <f t="shared" si="300"/>
        <v>OK</v>
      </c>
      <c r="DT235" s="313" t="str">
        <f t="shared" si="308"/>
        <v>OK</v>
      </c>
      <c r="DU235" s="153" t="str">
        <f t="shared" si="301"/>
        <v>OK</v>
      </c>
      <c r="DV235" s="153" t="str">
        <f t="shared" si="323"/>
        <v>OK</v>
      </c>
      <c r="DW235" s="154" t="str">
        <f t="shared" si="324"/>
        <v>OK</v>
      </c>
      <c r="DX235" s="157">
        <f t="shared" si="325"/>
        <v>0</v>
      </c>
      <c r="DY235" s="156" t="str">
        <f t="shared" si="326"/>
        <v>OK</v>
      </c>
    </row>
    <row r="236" spans="1:129" ht="13" hidden="1" x14ac:dyDescent="0.3">
      <c r="A236" s="333"/>
      <c r="B236" s="333"/>
      <c r="C236" s="331" t="str">
        <f t="shared" ref="C236:C299" si="334">BU236</f>
        <v>-</v>
      </c>
      <c r="D236" s="584">
        <f t="shared" si="253"/>
        <v>213</v>
      </c>
      <c r="E236" s="585"/>
      <c r="F236" s="586"/>
      <c r="G236" s="600"/>
      <c r="H236" s="587"/>
      <c r="I236" s="601"/>
      <c r="J236" s="585"/>
      <c r="K236" s="617"/>
      <c r="L236" s="602"/>
      <c r="M236" s="603"/>
      <c r="N236" s="588"/>
      <c r="O236" s="604"/>
      <c r="P236" s="605"/>
      <c r="Q236" s="588"/>
      <c r="R236" s="604"/>
      <c r="S236" s="605"/>
      <c r="T236" s="606"/>
      <c r="U236" s="606"/>
      <c r="V236" s="429" t="str">
        <f t="shared" si="331"/>
        <v/>
      </c>
      <c r="W236" s="430" t="str">
        <f t="shared" si="330"/>
        <v/>
      </c>
      <c r="X236" s="66" t="str">
        <f>IF(AND(ISNUMBER(P236),N236=FixedDim),MAX('Adjustment factors'!$S$16,0.2+0.8*P236),IF(ISTEXT(N236),VLOOKUP(N236,Afactors,2,TRUE),""))</f>
        <v/>
      </c>
      <c r="Y236" s="17" t="str">
        <f>IF(AND(ISNUMBER(S236),Q236=FixedDim),MAX('Adjustment factors'!$S$16,0.2+0.8*S236),IF(ISTEXT(Q236),VLOOKUP(Q236,Afactors,2,TRUE),""))</f>
        <v/>
      </c>
      <c r="Z236" s="297" t="str">
        <f>IF(ISBLANK(T236),"",VLOOKUP(T236,'Adjustment factors'!$R$27:$S$30,2,TRUE))</f>
        <v/>
      </c>
      <c r="AA236" s="297" t="str">
        <f>IF(ISBLANK(U236),"",VLOOKUP(U236,'Adjustment factors'!$R$27:$S$30,2,TRUE))</f>
        <v/>
      </c>
      <c r="AB236" s="480">
        <f t="shared" si="302"/>
        <v>1</v>
      </c>
      <c r="AC236" s="18" t="b">
        <f t="shared" si="259"/>
        <v>0</v>
      </c>
      <c r="AD236" s="18" t="b">
        <f t="shared" si="260"/>
        <v>0</v>
      </c>
      <c r="AE236" s="18" t="b">
        <f t="shared" si="327"/>
        <v>0</v>
      </c>
      <c r="AF236" s="17" t="str">
        <f t="shared" si="261"/>
        <v/>
      </c>
      <c r="AG236" s="18" t="str">
        <f t="shared" si="262"/>
        <v/>
      </c>
      <c r="AH236" s="17" t="str">
        <f t="shared" si="328"/>
        <v/>
      </c>
      <c r="AI236" s="297" t="e">
        <f t="shared" si="303"/>
        <v>#VALUE!</v>
      </c>
      <c r="AJ236" s="79" t="e">
        <f t="shared" si="263"/>
        <v>#VALUE!</v>
      </c>
      <c r="AK236" s="17" t="str">
        <f t="shared" si="329"/>
        <v/>
      </c>
      <c r="AL236" s="80" t="e">
        <f t="shared" si="264"/>
        <v>#VALUE!</v>
      </c>
      <c r="AM236" s="139" t="b">
        <f t="shared" si="265"/>
        <v>1</v>
      </c>
      <c r="AN236" s="139" t="b">
        <f>AND(COUNTA(E236)&gt;0,ISNUMBER(F236),OR(COUNT(G236:H236)=0,COUNT(G236:H236)=2,AND(ISNUMBER(G236),ISNUMBER(VALUE(LEFT(H236,SUM(LEN(H236)-LEN(SUBSTITUTE(H236,{"0","1","2","3","4","5","6","7","8","9","."},"")))))))),ISNUMBER(I236),ISTEXT(J236))</f>
        <v>0</v>
      </c>
      <c r="AO236" s="19" t="b">
        <f t="shared" si="266"/>
        <v>0</v>
      </c>
      <c r="AP236" s="19" t="b">
        <f t="shared" si="267"/>
        <v>1</v>
      </c>
      <c r="AQ236" s="19" t="b">
        <f>IF(AND(COUNTBLANK(E236:J236)=6,OR(AN237:AN$523)),NOT(AN236))</f>
        <v>0</v>
      </c>
      <c r="AR236" s="19" t="str">
        <f t="shared" si="268"/>
        <v/>
      </c>
      <c r="AS236" s="19" t="b">
        <f t="shared" si="269"/>
        <v>1</v>
      </c>
      <c r="AT236" s="19" t="str">
        <f t="shared" si="270"/>
        <v/>
      </c>
      <c r="AU236" s="19" t="b">
        <f t="shared" si="271"/>
        <v>1</v>
      </c>
      <c r="AV236" s="140" t="str">
        <f t="shared" si="311"/>
        <v/>
      </c>
      <c r="AW236" s="19" t="str">
        <f t="shared" si="272"/>
        <v/>
      </c>
      <c r="AX236" s="81">
        <f t="shared" si="273"/>
        <v>0</v>
      </c>
      <c r="AY236" s="81" t="str">
        <f t="shared" si="274"/>
        <v/>
      </c>
      <c r="AZ236" s="307" t="str">
        <f t="shared" si="304"/>
        <v/>
      </c>
      <c r="BA236" s="281" t="str">
        <f t="shared" si="312"/>
        <v/>
      </c>
      <c r="BB236" s="281" t="str">
        <f t="shared" si="313"/>
        <v/>
      </c>
      <c r="BC236" s="953"/>
      <c r="BD236" s="955"/>
      <c r="BE236" s="219" t="str">
        <f t="shared" si="275"/>
        <v>n/a</v>
      </c>
      <c r="BF236" s="215" t="b">
        <f t="shared" si="276"/>
        <v>0</v>
      </c>
      <c r="BG236" s="145" t="b">
        <f t="shared" si="277"/>
        <v>0</v>
      </c>
      <c r="BH236" s="145" t="b">
        <f t="shared" si="278"/>
        <v>0</v>
      </c>
      <c r="BI236" s="216" t="b">
        <f t="shared" si="279"/>
        <v>0</v>
      </c>
      <c r="BJ236" s="215" t="b">
        <f t="shared" si="280"/>
        <v>0</v>
      </c>
      <c r="BK236" s="145" t="b">
        <f t="shared" si="281"/>
        <v>0</v>
      </c>
      <c r="BL236" s="216" t="b">
        <f t="shared" si="282"/>
        <v>0</v>
      </c>
      <c r="BM236" s="217" t="str">
        <f t="shared" si="314"/>
        <v/>
      </c>
      <c r="BN236" s="146" t="str">
        <f t="shared" si="315"/>
        <v/>
      </c>
      <c r="BO236" s="147" t="str">
        <f t="shared" si="316"/>
        <v/>
      </c>
      <c r="BP236" s="148" t="str">
        <f t="shared" si="317"/>
        <v/>
      </c>
      <c r="BT236" s="50">
        <f t="shared" si="254"/>
        <v>213</v>
      </c>
      <c r="BU236" s="50" t="str">
        <f t="shared" si="333"/>
        <v>-</v>
      </c>
      <c r="BW236" s="333"/>
      <c r="BX236" s="333"/>
      <c r="BY236" s="333"/>
      <c r="BZ236" s="333"/>
      <c r="CA236" s="333"/>
      <c r="CB236" s="333"/>
      <c r="CC236" s="333"/>
      <c r="CD236" s="333"/>
      <c r="CE236" s="333"/>
      <c r="CF236" s="333"/>
      <c r="CG236" s="354">
        <f t="shared" si="283"/>
        <v>213</v>
      </c>
      <c r="CH236" s="613">
        <f t="shared" si="284"/>
        <v>0</v>
      </c>
      <c r="CI236" s="613">
        <f t="shared" si="285"/>
        <v>0</v>
      </c>
      <c r="CJ236" s="614" t="str">
        <f t="shared" si="286"/>
        <v/>
      </c>
      <c r="CK236" s="615" t="str">
        <f t="shared" si="287"/>
        <v/>
      </c>
      <c r="CL236" s="610" t="str">
        <f>IF(ISBLANK(H236),"",IF(AND(ISNUMBER(F236),ISNUMBER(G236),ISNUMBER(H236)),ROUND(F236/(H236*G236),2),ROUND(F236/(VALUE(LEFT(H236,SUM(LEN(H236)-LEN(SUBSTITUTE(H236,{"0","1","2","3","4","5","6","7","8","9","."},"")))))*G236),2)))</f>
        <v/>
      </c>
      <c r="CM236" s="616" t="str">
        <f t="shared" si="318"/>
        <v/>
      </c>
      <c r="CN236" s="616" t="str">
        <f>IF(ISNUMBER(P236),MAX('Adjustment factors'!$S$16,(0.2+0.8*P236)),IF(ISTEXT(N236),VLOOKUP(N236,Afactors,2,FALSE),""))</f>
        <v/>
      </c>
      <c r="CO236" s="616" t="str">
        <f>IF(ISNUMBER(S236),MAX('Adjustment factors'!$S$16,0.2+0.8*S236),IF(ISTEXT(Q236),VLOOKUP(Q236,Afactors,2,FALSE),""))</f>
        <v/>
      </c>
      <c r="CP236" s="611" t="str">
        <f t="shared" si="305"/>
        <v/>
      </c>
      <c r="CQ236" s="612" t="str">
        <f t="shared" si="306"/>
        <v/>
      </c>
      <c r="CR236" s="340"/>
      <c r="CS236" s="340"/>
      <c r="CT236" s="340"/>
      <c r="CU236" s="340"/>
      <c r="CV236" s="333"/>
      <c r="CW236" s="333"/>
      <c r="CX236" s="333"/>
      <c r="CY236" s="333"/>
      <c r="DA236" s="313" t="str">
        <f t="shared" si="288"/>
        <v>OK</v>
      </c>
      <c r="DB236" s="313" t="str">
        <f t="shared" si="289"/>
        <v>OK</v>
      </c>
      <c r="DC236" s="313" t="str">
        <f t="shared" si="290"/>
        <v>OK</v>
      </c>
      <c r="DD236" s="313" t="str">
        <f t="shared" si="291"/>
        <v>OK</v>
      </c>
      <c r="DE236" s="153" t="str">
        <f t="shared" si="292"/>
        <v>OK</v>
      </c>
      <c r="DF236" s="314" t="str">
        <f t="shared" si="293"/>
        <v>OK</v>
      </c>
      <c r="DG236" s="482" t="str">
        <f t="shared" si="307"/>
        <v>OK</v>
      </c>
      <c r="DH236" s="482" t="str">
        <f>IF(OR(AND(T236='Adjustment factors'!$R$28,'Class 3, 5-9'!U236='Adjustment factors'!$R$29),AND('Class 3, 5-9'!T236='Adjustment factors'!$R$29,'Class 3, 5-9'!U236='Adjustment factors'!$R$28)),"Invalid combination of adjustment factors",IF(AND(T236=U236,NOT(ISBLANK(T236)),NOT(ISBLANK(U236))),"Same colour factor selected twice","OK"))</f>
        <v>OK</v>
      </c>
      <c r="DI236" s="313" t="str">
        <f t="shared" si="294"/>
        <v>OK</v>
      </c>
      <c r="DJ236" s="153" t="str">
        <f t="shared" si="319"/>
        <v>OK</v>
      </c>
      <c r="DK236" s="153" t="str">
        <f t="shared" si="295"/>
        <v>OK</v>
      </c>
      <c r="DL236" s="313" t="str">
        <f t="shared" si="296"/>
        <v>OK</v>
      </c>
      <c r="DM236" s="153" t="str">
        <f t="shared" si="297"/>
        <v>OK</v>
      </c>
      <c r="DN236" s="153" t="str">
        <f t="shared" si="320"/>
        <v>OK</v>
      </c>
      <c r="DO236" s="154" t="str">
        <f t="shared" si="321"/>
        <v>OK</v>
      </c>
      <c r="DP236" s="153" t="str">
        <f t="shared" si="298"/>
        <v>OK</v>
      </c>
      <c r="DQ236" s="313" t="str">
        <f t="shared" si="299"/>
        <v>OK</v>
      </c>
      <c r="DR236" s="153" t="str">
        <f t="shared" si="322"/>
        <v>OK</v>
      </c>
      <c r="DS236" s="153" t="str">
        <f t="shared" si="300"/>
        <v>OK</v>
      </c>
      <c r="DT236" s="313" t="str">
        <f t="shared" si="308"/>
        <v>OK</v>
      </c>
      <c r="DU236" s="153" t="str">
        <f t="shared" si="301"/>
        <v>OK</v>
      </c>
      <c r="DV236" s="153" t="str">
        <f t="shared" si="323"/>
        <v>OK</v>
      </c>
      <c r="DW236" s="154" t="str">
        <f t="shared" si="324"/>
        <v>OK</v>
      </c>
      <c r="DX236" s="157">
        <f t="shared" si="325"/>
        <v>0</v>
      </c>
      <c r="DY236" s="156" t="str">
        <f t="shared" si="326"/>
        <v>OK</v>
      </c>
    </row>
    <row r="237" spans="1:129" ht="13" hidden="1" x14ac:dyDescent="0.3">
      <c r="A237" s="333"/>
      <c r="B237" s="333"/>
      <c r="C237" s="331" t="str">
        <f t="shared" si="334"/>
        <v>-</v>
      </c>
      <c r="D237" s="584">
        <f t="shared" si="253"/>
        <v>214</v>
      </c>
      <c r="E237" s="585"/>
      <c r="F237" s="586"/>
      <c r="G237" s="600"/>
      <c r="H237" s="587"/>
      <c r="I237" s="601"/>
      <c r="J237" s="585"/>
      <c r="K237" s="617"/>
      <c r="L237" s="602"/>
      <c r="M237" s="603"/>
      <c r="N237" s="588"/>
      <c r="O237" s="604"/>
      <c r="P237" s="605"/>
      <c r="Q237" s="588"/>
      <c r="R237" s="604"/>
      <c r="S237" s="605"/>
      <c r="T237" s="606"/>
      <c r="U237" s="606"/>
      <c r="V237" s="429" t="str">
        <f t="shared" si="331"/>
        <v/>
      </c>
      <c r="W237" s="430" t="str">
        <f t="shared" si="330"/>
        <v/>
      </c>
      <c r="X237" s="66" t="str">
        <f>IF(AND(ISNUMBER(P237),N237=FixedDim),MAX('Adjustment factors'!$S$16,0.2+0.8*P237),IF(ISTEXT(N237),VLOOKUP(N237,Afactors,2,TRUE),""))</f>
        <v/>
      </c>
      <c r="Y237" s="17" t="str">
        <f>IF(AND(ISNUMBER(S237),Q237=FixedDim),MAX('Adjustment factors'!$S$16,0.2+0.8*S237),IF(ISTEXT(Q237),VLOOKUP(Q237,Afactors,2,TRUE),""))</f>
        <v/>
      </c>
      <c r="Z237" s="297" t="str">
        <f>IF(ISBLANK(T237),"",VLOOKUP(T237,'Adjustment factors'!$R$27:$S$30,2,TRUE))</f>
        <v/>
      </c>
      <c r="AA237" s="297" t="str">
        <f>IF(ISBLANK(U237),"",VLOOKUP(U237,'Adjustment factors'!$R$27:$S$30,2,TRUE))</f>
        <v/>
      </c>
      <c r="AB237" s="480">
        <f t="shared" si="302"/>
        <v>1</v>
      </c>
      <c r="AC237" s="18" t="b">
        <f t="shared" si="259"/>
        <v>0</v>
      </c>
      <c r="AD237" s="18" t="b">
        <f t="shared" si="260"/>
        <v>0</v>
      </c>
      <c r="AE237" s="18" t="b">
        <f t="shared" si="327"/>
        <v>0</v>
      </c>
      <c r="AF237" s="17" t="str">
        <f t="shared" si="261"/>
        <v/>
      </c>
      <c r="AG237" s="18" t="str">
        <f t="shared" si="262"/>
        <v/>
      </c>
      <c r="AH237" s="17" t="str">
        <f t="shared" si="328"/>
        <v/>
      </c>
      <c r="AI237" s="297" t="e">
        <f t="shared" si="303"/>
        <v>#VALUE!</v>
      </c>
      <c r="AJ237" s="79" t="e">
        <f t="shared" si="263"/>
        <v>#VALUE!</v>
      </c>
      <c r="AK237" s="17" t="str">
        <f t="shared" si="329"/>
        <v/>
      </c>
      <c r="AL237" s="80" t="e">
        <f t="shared" si="264"/>
        <v>#VALUE!</v>
      </c>
      <c r="AM237" s="139" t="b">
        <f t="shared" si="265"/>
        <v>1</v>
      </c>
      <c r="AN237" s="139" t="b">
        <f>AND(COUNTA(E237)&gt;0,ISNUMBER(F237),OR(COUNT(G237:H237)=0,COUNT(G237:H237)=2,AND(ISNUMBER(G237),ISNUMBER(VALUE(LEFT(H237,SUM(LEN(H237)-LEN(SUBSTITUTE(H237,{"0","1","2","3","4","5","6","7","8","9","."},"")))))))),ISNUMBER(I237),ISTEXT(J237))</f>
        <v>0</v>
      </c>
      <c r="AO237" s="19" t="b">
        <f t="shared" si="266"/>
        <v>0</v>
      </c>
      <c r="AP237" s="19" t="b">
        <f t="shared" si="267"/>
        <v>1</v>
      </c>
      <c r="AQ237" s="19" t="b">
        <f>IF(AND(COUNTBLANK(E237:J237)=6,OR(AN238:AN$523)),NOT(AN237))</f>
        <v>0</v>
      </c>
      <c r="AR237" s="19" t="str">
        <f t="shared" si="268"/>
        <v/>
      </c>
      <c r="AS237" s="19" t="b">
        <f t="shared" si="269"/>
        <v>1</v>
      </c>
      <c r="AT237" s="19" t="str">
        <f t="shared" si="270"/>
        <v/>
      </c>
      <c r="AU237" s="19" t="b">
        <f t="shared" si="271"/>
        <v>1</v>
      </c>
      <c r="AV237" s="140" t="str">
        <f t="shared" si="311"/>
        <v/>
      </c>
      <c r="AW237" s="19" t="str">
        <f t="shared" si="272"/>
        <v/>
      </c>
      <c r="AX237" s="81">
        <f t="shared" si="273"/>
        <v>0</v>
      </c>
      <c r="AY237" s="81" t="str">
        <f t="shared" si="274"/>
        <v/>
      </c>
      <c r="AZ237" s="307" t="str">
        <f t="shared" si="304"/>
        <v/>
      </c>
      <c r="BA237" s="281" t="str">
        <f t="shared" si="312"/>
        <v/>
      </c>
      <c r="BB237" s="281" t="str">
        <f t="shared" si="313"/>
        <v/>
      </c>
      <c r="BC237" s="953"/>
      <c r="BD237" s="955"/>
      <c r="BE237" s="219" t="str">
        <f t="shared" si="275"/>
        <v>n/a</v>
      </c>
      <c r="BF237" s="215" t="b">
        <f t="shared" si="276"/>
        <v>0</v>
      </c>
      <c r="BG237" s="145" t="b">
        <f t="shared" si="277"/>
        <v>0</v>
      </c>
      <c r="BH237" s="145" t="b">
        <f t="shared" si="278"/>
        <v>0</v>
      </c>
      <c r="BI237" s="216" t="b">
        <f t="shared" si="279"/>
        <v>0</v>
      </c>
      <c r="BJ237" s="215" t="b">
        <f t="shared" si="280"/>
        <v>0</v>
      </c>
      <c r="BK237" s="145" t="b">
        <f t="shared" si="281"/>
        <v>0</v>
      </c>
      <c r="BL237" s="216" t="b">
        <f t="shared" si="282"/>
        <v>0</v>
      </c>
      <c r="BM237" s="217" t="str">
        <f t="shared" si="314"/>
        <v/>
      </c>
      <c r="BN237" s="146" t="str">
        <f t="shared" si="315"/>
        <v/>
      </c>
      <c r="BO237" s="147" t="str">
        <f t="shared" si="316"/>
        <v/>
      </c>
      <c r="BP237" s="148" t="str">
        <f t="shared" si="317"/>
        <v/>
      </c>
      <c r="BT237" s="50">
        <f t="shared" si="254"/>
        <v>214</v>
      </c>
      <c r="BU237" s="50" t="str">
        <f t="shared" si="333"/>
        <v>-</v>
      </c>
      <c r="BW237" s="333"/>
      <c r="BX237" s="333"/>
      <c r="BY237" s="333"/>
      <c r="BZ237" s="333"/>
      <c r="CA237" s="333"/>
      <c r="CB237" s="333"/>
      <c r="CC237" s="333"/>
      <c r="CD237" s="333"/>
      <c r="CE237" s="333"/>
      <c r="CF237" s="333"/>
      <c r="CG237" s="354">
        <f t="shared" si="283"/>
        <v>214</v>
      </c>
      <c r="CH237" s="613">
        <f t="shared" si="284"/>
        <v>0</v>
      </c>
      <c r="CI237" s="613">
        <f t="shared" si="285"/>
        <v>0</v>
      </c>
      <c r="CJ237" s="614" t="str">
        <f t="shared" si="286"/>
        <v/>
      </c>
      <c r="CK237" s="615" t="str">
        <f t="shared" si="287"/>
        <v/>
      </c>
      <c r="CL237" s="610" t="str">
        <f>IF(ISBLANK(H237),"",IF(AND(ISNUMBER(F237),ISNUMBER(G237),ISNUMBER(H237)),ROUND(F237/(H237*G237),2),ROUND(F237/(VALUE(LEFT(H237,SUM(LEN(H237)-LEN(SUBSTITUTE(H237,{"0","1","2","3","4","5","6","7","8","9","."},"")))))*G237),2)))</f>
        <v/>
      </c>
      <c r="CM237" s="616" t="str">
        <f t="shared" si="318"/>
        <v/>
      </c>
      <c r="CN237" s="616" t="str">
        <f>IF(ISNUMBER(P237),MAX('Adjustment factors'!$S$16,(0.2+0.8*P237)),IF(ISTEXT(N237),VLOOKUP(N237,Afactors,2,FALSE),""))</f>
        <v/>
      </c>
      <c r="CO237" s="616" t="str">
        <f>IF(ISNUMBER(S237),MAX('Adjustment factors'!$S$16,0.2+0.8*S237),IF(ISTEXT(Q237),VLOOKUP(Q237,Afactors,2,FALSE),""))</f>
        <v/>
      </c>
      <c r="CP237" s="611" t="str">
        <f t="shared" si="305"/>
        <v/>
      </c>
      <c r="CQ237" s="612" t="str">
        <f t="shared" si="306"/>
        <v/>
      </c>
      <c r="CR237" s="340"/>
      <c r="CS237" s="340"/>
      <c r="CT237" s="340"/>
      <c r="CU237" s="340"/>
      <c r="CV237" s="333"/>
      <c r="CW237" s="333"/>
      <c r="CX237" s="333"/>
      <c r="CY237" s="333"/>
      <c r="DA237" s="313" t="str">
        <f t="shared" si="288"/>
        <v>OK</v>
      </c>
      <c r="DB237" s="313" t="str">
        <f t="shared" si="289"/>
        <v>OK</v>
      </c>
      <c r="DC237" s="313" t="str">
        <f t="shared" si="290"/>
        <v>OK</v>
      </c>
      <c r="DD237" s="313" t="str">
        <f t="shared" si="291"/>
        <v>OK</v>
      </c>
      <c r="DE237" s="153" t="str">
        <f t="shared" si="292"/>
        <v>OK</v>
      </c>
      <c r="DF237" s="314" t="str">
        <f t="shared" si="293"/>
        <v>OK</v>
      </c>
      <c r="DG237" s="482" t="str">
        <f t="shared" si="307"/>
        <v>OK</v>
      </c>
      <c r="DH237" s="482" t="str">
        <f>IF(OR(AND(T237='Adjustment factors'!$R$28,'Class 3, 5-9'!U237='Adjustment factors'!$R$29),AND('Class 3, 5-9'!T237='Adjustment factors'!$R$29,'Class 3, 5-9'!U237='Adjustment factors'!$R$28)),"Invalid combination of adjustment factors",IF(AND(T237=U237,NOT(ISBLANK(T237)),NOT(ISBLANK(U237))),"Same colour factor selected twice","OK"))</f>
        <v>OK</v>
      </c>
      <c r="DI237" s="313" t="str">
        <f t="shared" si="294"/>
        <v>OK</v>
      </c>
      <c r="DJ237" s="153" t="str">
        <f t="shared" si="319"/>
        <v>OK</v>
      </c>
      <c r="DK237" s="153" t="str">
        <f t="shared" si="295"/>
        <v>OK</v>
      </c>
      <c r="DL237" s="313" t="str">
        <f t="shared" si="296"/>
        <v>OK</v>
      </c>
      <c r="DM237" s="153" t="str">
        <f t="shared" si="297"/>
        <v>OK</v>
      </c>
      <c r="DN237" s="153" t="str">
        <f t="shared" si="320"/>
        <v>OK</v>
      </c>
      <c r="DO237" s="154" t="str">
        <f t="shared" si="321"/>
        <v>OK</v>
      </c>
      <c r="DP237" s="153" t="str">
        <f t="shared" si="298"/>
        <v>OK</v>
      </c>
      <c r="DQ237" s="313" t="str">
        <f t="shared" si="299"/>
        <v>OK</v>
      </c>
      <c r="DR237" s="153" t="str">
        <f t="shared" si="322"/>
        <v>OK</v>
      </c>
      <c r="DS237" s="153" t="str">
        <f t="shared" si="300"/>
        <v>OK</v>
      </c>
      <c r="DT237" s="313" t="str">
        <f t="shared" si="308"/>
        <v>OK</v>
      </c>
      <c r="DU237" s="153" t="str">
        <f t="shared" si="301"/>
        <v>OK</v>
      </c>
      <c r="DV237" s="153" t="str">
        <f t="shared" si="323"/>
        <v>OK</v>
      </c>
      <c r="DW237" s="154" t="str">
        <f t="shared" si="324"/>
        <v>OK</v>
      </c>
      <c r="DX237" s="157">
        <f t="shared" si="325"/>
        <v>0</v>
      </c>
      <c r="DY237" s="156" t="str">
        <f t="shared" si="326"/>
        <v>OK</v>
      </c>
    </row>
    <row r="238" spans="1:129" ht="13" hidden="1" x14ac:dyDescent="0.3">
      <c r="A238" s="333"/>
      <c r="B238" s="333"/>
      <c r="C238" s="331" t="str">
        <f t="shared" si="334"/>
        <v>-</v>
      </c>
      <c r="D238" s="584">
        <f t="shared" si="253"/>
        <v>215</v>
      </c>
      <c r="E238" s="585"/>
      <c r="F238" s="586"/>
      <c r="G238" s="600"/>
      <c r="H238" s="587"/>
      <c r="I238" s="601"/>
      <c r="J238" s="585"/>
      <c r="K238" s="617"/>
      <c r="L238" s="602"/>
      <c r="M238" s="603"/>
      <c r="N238" s="588"/>
      <c r="O238" s="604"/>
      <c r="P238" s="605"/>
      <c r="Q238" s="588"/>
      <c r="R238" s="604"/>
      <c r="S238" s="605"/>
      <c r="T238" s="606"/>
      <c r="U238" s="606"/>
      <c r="V238" s="429" t="str">
        <f t="shared" si="331"/>
        <v/>
      </c>
      <c r="W238" s="430" t="str">
        <f t="shared" si="330"/>
        <v/>
      </c>
      <c r="X238" s="66" t="str">
        <f>IF(AND(ISNUMBER(P238),N238=FixedDim),MAX('Adjustment factors'!$S$16,0.2+0.8*P238),IF(ISTEXT(N238),VLOOKUP(N238,Afactors,2,TRUE),""))</f>
        <v/>
      </c>
      <c r="Y238" s="17" t="str">
        <f>IF(AND(ISNUMBER(S238),Q238=FixedDim),MAX('Adjustment factors'!$S$16,0.2+0.8*S238),IF(ISTEXT(Q238),VLOOKUP(Q238,Afactors,2,TRUE),""))</f>
        <v/>
      </c>
      <c r="Z238" s="297" t="str">
        <f>IF(ISBLANK(T238),"",VLOOKUP(T238,'Adjustment factors'!$R$27:$S$30,2,TRUE))</f>
        <v/>
      </c>
      <c r="AA238" s="297" t="str">
        <f>IF(ISBLANK(U238),"",VLOOKUP(U238,'Adjustment factors'!$R$27:$S$30,2,TRUE))</f>
        <v/>
      </c>
      <c r="AB238" s="480">
        <f t="shared" si="302"/>
        <v>1</v>
      </c>
      <c r="AC238" s="18" t="b">
        <f t="shared" si="259"/>
        <v>0</v>
      </c>
      <c r="AD238" s="18" t="b">
        <f t="shared" si="260"/>
        <v>0</v>
      </c>
      <c r="AE238" s="18" t="b">
        <f t="shared" si="327"/>
        <v>0</v>
      </c>
      <c r="AF238" s="17" t="str">
        <f t="shared" si="261"/>
        <v/>
      </c>
      <c r="AG238" s="18" t="str">
        <f t="shared" si="262"/>
        <v/>
      </c>
      <c r="AH238" s="17" t="str">
        <f t="shared" si="328"/>
        <v/>
      </c>
      <c r="AI238" s="297" t="e">
        <f t="shared" si="303"/>
        <v>#VALUE!</v>
      </c>
      <c r="AJ238" s="79" t="e">
        <f t="shared" si="263"/>
        <v>#VALUE!</v>
      </c>
      <c r="AK238" s="17" t="str">
        <f t="shared" si="329"/>
        <v/>
      </c>
      <c r="AL238" s="80" t="e">
        <f t="shared" si="264"/>
        <v>#VALUE!</v>
      </c>
      <c r="AM238" s="139" t="b">
        <f t="shared" si="265"/>
        <v>1</v>
      </c>
      <c r="AN238" s="139" t="b">
        <f>AND(COUNTA(E238)&gt;0,ISNUMBER(F238),OR(COUNT(G238:H238)=0,COUNT(G238:H238)=2,AND(ISNUMBER(G238),ISNUMBER(VALUE(LEFT(H238,SUM(LEN(H238)-LEN(SUBSTITUTE(H238,{"0","1","2","3","4","5","6","7","8","9","."},"")))))))),ISNUMBER(I238),ISTEXT(J238))</f>
        <v>0</v>
      </c>
      <c r="AO238" s="19" t="b">
        <f t="shared" si="266"/>
        <v>0</v>
      </c>
      <c r="AP238" s="19" t="b">
        <f t="shared" si="267"/>
        <v>1</v>
      </c>
      <c r="AQ238" s="19" t="b">
        <f>IF(AND(COUNTBLANK(E238:J238)=6,OR(AN239:AN$523)),NOT(AN238))</f>
        <v>0</v>
      </c>
      <c r="AR238" s="19" t="str">
        <f t="shared" si="268"/>
        <v/>
      </c>
      <c r="AS238" s="19" t="b">
        <f t="shared" si="269"/>
        <v>1</v>
      </c>
      <c r="AT238" s="19" t="str">
        <f t="shared" si="270"/>
        <v/>
      </c>
      <c r="AU238" s="19" t="b">
        <f t="shared" si="271"/>
        <v>1</v>
      </c>
      <c r="AV238" s="140" t="str">
        <f t="shared" si="311"/>
        <v/>
      </c>
      <c r="AW238" s="19" t="str">
        <f t="shared" si="272"/>
        <v/>
      </c>
      <c r="AX238" s="81">
        <f t="shared" si="273"/>
        <v>0</v>
      </c>
      <c r="AY238" s="81" t="str">
        <f t="shared" si="274"/>
        <v/>
      </c>
      <c r="AZ238" s="307" t="str">
        <f t="shared" si="304"/>
        <v/>
      </c>
      <c r="BA238" s="281" t="str">
        <f t="shared" si="312"/>
        <v/>
      </c>
      <c r="BB238" s="281" t="str">
        <f t="shared" si="313"/>
        <v/>
      </c>
      <c r="BC238" s="953"/>
      <c r="BD238" s="955"/>
      <c r="BE238" s="219" t="str">
        <f t="shared" si="275"/>
        <v>n/a</v>
      </c>
      <c r="BF238" s="215" t="b">
        <f t="shared" si="276"/>
        <v>0</v>
      </c>
      <c r="BG238" s="145" t="b">
        <f t="shared" si="277"/>
        <v>0</v>
      </c>
      <c r="BH238" s="145" t="b">
        <f t="shared" si="278"/>
        <v>0</v>
      </c>
      <c r="BI238" s="216" t="b">
        <f t="shared" si="279"/>
        <v>0</v>
      </c>
      <c r="BJ238" s="215" t="b">
        <f t="shared" si="280"/>
        <v>0</v>
      </c>
      <c r="BK238" s="145" t="b">
        <f t="shared" si="281"/>
        <v>0</v>
      </c>
      <c r="BL238" s="216" t="b">
        <f t="shared" si="282"/>
        <v>0</v>
      </c>
      <c r="BM238" s="217" t="str">
        <f t="shared" si="314"/>
        <v/>
      </c>
      <c r="BN238" s="146" t="str">
        <f t="shared" si="315"/>
        <v/>
      </c>
      <c r="BO238" s="147" t="str">
        <f t="shared" si="316"/>
        <v/>
      </c>
      <c r="BP238" s="148" t="str">
        <f t="shared" si="317"/>
        <v/>
      </c>
      <c r="BT238" s="50">
        <f t="shared" si="254"/>
        <v>215</v>
      </c>
      <c r="BU238" s="50" t="str">
        <f t="shared" si="333"/>
        <v>-</v>
      </c>
      <c r="BW238" s="333"/>
      <c r="BX238" s="333"/>
      <c r="BY238" s="333"/>
      <c r="BZ238" s="333"/>
      <c r="CA238" s="333"/>
      <c r="CB238" s="333"/>
      <c r="CC238" s="333"/>
      <c r="CD238" s="333"/>
      <c r="CE238" s="333"/>
      <c r="CF238" s="333"/>
      <c r="CG238" s="354">
        <f t="shared" si="283"/>
        <v>215</v>
      </c>
      <c r="CH238" s="613">
        <f t="shared" si="284"/>
        <v>0</v>
      </c>
      <c r="CI238" s="613">
        <f t="shared" si="285"/>
        <v>0</v>
      </c>
      <c r="CJ238" s="614" t="str">
        <f t="shared" si="286"/>
        <v/>
      </c>
      <c r="CK238" s="615" t="str">
        <f t="shared" si="287"/>
        <v/>
      </c>
      <c r="CL238" s="610" t="str">
        <f>IF(ISBLANK(H238),"",IF(AND(ISNUMBER(F238),ISNUMBER(G238),ISNUMBER(H238)),ROUND(F238/(H238*G238),2),ROUND(F238/(VALUE(LEFT(H238,SUM(LEN(H238)-LEN(SUBSTITUTE(H238,{"0","1","2","3","4","5","6","7","8","9","."},"")))))*G238),2)))</f>
        <v/>
      </c>
      <c r="CM238" s="616" t="str">
        <f t="shared" si="318"/>
        <v/>
      </c>
      <c r="CN238" s="616" t="str">
        <f>IF(ISNUMBER(P238),MAX('Adjustment factors'!$S$16,(0.2+0.8*P238)),IF(ISTEXT(N238),VLOOKUP(N238,Afactors,2,FALSE),""))</f>
        <v/>
      </c>
      <c r="CO238" s="616" t="str">
        <f>IF(ISNUMBER(S238),MAX('Adjustment factors'!$S$16,0.2+0.8*S238),IF(ISTEXT(Q238),VLOOKUP(Q238,Afactors,2,FALSE),""))</f>
        <v/>
      </c>
      <c r="CP238" s="611" t="str">
        <f t="shared" si="305"/>
        <v/>
      </c>
      <c r="CQ238" s="612" t="str">
        <f t="shared" si="306"/>
        <v/>
      </c>
      <c r="CR238" s="340"/>
      <c r="CS238" s="340"/>
      <c r="CT238" s="340"/>
      <c r="CU238" s="340"/>
      <c r="CV238" s="333"/>
      <c r="CW238" s="333"/>
      <c r="CX238" s="333"/>
      <c r="CY238" s="333"/>
      <c r="DA238" s="313" t="str">
        <f t="shared" si="288"/>
        <v>OK</v>
      </c>
      <c r="DB238" s="313" t="str">
        <f t="shared" si="289"/>
        <v>OK</v>
      </c>
      <c r="DC238" s="313" t="str">
        <f t="shared" si="290"/>
        <v>OK</v>
      </c>
      <c r="DD238" s="313" t="str">
        <f t="shared" si="291"/>
        <v>OK</v>
      </c>
      <c r="DE238" s="153" t="str">
        <f t="shared" si="292"/>
        <v>OK</v>
      </c>
      <c r="DF238" s="314" t="str">
        <f t="shared" si="293"/>
        <v>OK</v>
      </c>
      <c r="DG238" s="482" t="str">
        <f t="shared" si="307"/>
        <v>OK</v>
      </c>
      <c r="DH238" s="482" t="str">
        <f>IF(OR(AND(T238='Adjustment factors'!$R$28,'Class 3, 5-9'!U238='Adjustment factors'!$R$29),AND('Class 3, 5-9'!T238='Adjustment factors'!$R$29,'Class 3, 5-9'!U238='Adjustment factors'!$R$28)),"Invalid combination of adjustment factors",IF(AND(T238=U238,NOT(ISBLANK(T238)),NOT(ISBLANK(U238))),"Same colour factor selected twice","OK"))</f>
        <v>OK</v>
      </c>
      <c r="DI238" s="313" t="str">
        <f t="shared" si="294"/>
        <v>OK</v>
      </c>
      <c r="DJ238" s="153" t="str">
        <f t="shared" si="319"/>
        <v>OK</v>
      </c>
      <c r="DK238" s="153" t="str">
        <f t="shared" si="295"/>
        <v>OK</v>
      </c>
      <c r="DL238" s="313" t="str">
        <f t="shared" si="296"/>
        <v>OK</v>
      </c>
      <c r="DM238" s="153" t="str">
        <f t="shared" si="297"/>
        <v>OK</v>
      </c>
      <c r="DN238" s="153" t="str">
        <f t="shared" si="320"/>
        <v>OK</v>
      </c>
      <c r="DO238" s="154" t="str">
        <f t="shared" si="321"/>
        <v>OK</v>
      </c>
      <c r="DP238" s="153" t="str">
        <f t="shared" si="298"/>
        <v>OK</v>
      </c>
      <c r="DQ238" s="313" t="str">
        <f t="shared" si="299"/>
        <v>OK</v>
      </c>
      <c r="DR238" s="153" t="str">
        <f t="shared" si="322"/>
        <v>OK</v>
      </c>
      <c r="DS238" s="153" t="str">
        <f t="shared" si="300"/>
        <v>OK</v>
      </c>
      <c r="DT238" s="313" t="str">
        <f t="shared" si="308"/>
        <v>OK</v>
      </c>
      <c r="DU238" s="153" t="str">
        <f t="shared" si="301"/>
        <v>OK</v>
      </c>
      <c r="DV238" s="153" t="str">
        <f t="shared" si="323"/>
        <v>OK</v>
      </c>
      <c r="DW238" s="154" t="str">
        <f t="shared" si="324"/>
        <v>OK</v>
      </c>
      <c r="DX238" s="157">
        <f t="shared" si="325"/>
        <v>0</v>
      </c>
      <c r="DY238" s="156" t="str">
        <f t="shared" si="326"/>
        <v>OK</v>
      </c>
    </row>
    <row r="239" spans="1:129" ht="13" hidden="1" x14ac:dyDescent="0.3">
      <c r="A239" s="333"/>
      <c r="B239" s="333"/>
      <c r="C239" s="331" t="str">
        <f t="shared" si="334"/>
        <v>-</v>
      </c>
      <c r="D239" s="584">
        <f t="shared" si="253"/>
        <v>216</v>
      </c>
      <c r="E239" s="585"/>
      <c r="F239" s="586"/>
      <c r="G239" s="600"/>
      <c r="H239" s="587"/>
      <c r="I239" s="601"/>
      <c r="J239" s="585"/>
      <c r="K239" s="617"/>
      <c r="L239" s="602"/>
      <c r="M239" s="603"/>
      <c r="N239" s="588"/>
      <c r="O239" s="604"/>
      <c r="P239" s="605"/>
      <c r="Q239" s="588"/>
      <c r="R239" s="604"/>
      <c r="S239" s="605"/>
      <c r="T239" s="606"/>
      <c r="U239" s="606"/>
      <c r="V239" s="429" t="str">
        <f t="shared" si="331"/>
        <v/>
      </c>
      <c r="W239" s="430" t="str">
        <f t="shared" si="330"/>
        <v/>
      </c>
      <c r="X239" s="66" t="str">
        <f>IF(AND(ISNUMBER(P239),N239=FixedDim),MAX('Adjustment factors'!$S$16,0.2+0.8*P239),IF(ISTEXT(N239),VLOOKUP(N239,Afactors,2,TRUE),""))</f>
        <v/>
      </c>
      <c r="Y239" s="17" t="str">
        <f>IF(AND(ISNUMBER(S239),Q239=FixedDim),MAX('Adjustment factors'!$S$16,0.2+0.8*S239),IF(ISTEXT(Q239),VLOOKUP(Q239,Afactors,2,TRUE),""))</f>
        <v/>
      </c>
      <c r="Z239" s="297" t="str">
        <f>IF(ISBLANK(T239),"",VLOOKUP(T239,'Adjustment factors'!$R$27:$S$30,2,TRUE))</f>
        <v/>
      </c>
      <c r="AA239" s="297" t="str">
        <f>IF(ISBLANK(U239),"",VLOOKUP(U239,'Adjustment factors'!$R$27:$S$30,2,TRUE))</f>
        <v/>
      </c>
      <c r="AB239" s="480">
        <f t="shared" si="302"/>
        <v>1</v>
      </c>
      <c r="AC239" s="18" t="b">
        <f t="shared" si="259"/>
        <v>0</v>
      </c>
      <c r="AD239" s="18" t="b">
        <f t="shared" si="260"/>
        <v>0</v>
      </c>
      <c r="AE239" s="18" t="b">
        <f t="shared" si="327"/>
        <v>0</v>
      </c>
      <c r="AF239" s="17" t="str">
        <f t="shared" si="261"/>
        <v/>
      </c>
      <c r="AG239" s="18" t="str">
        <f t="shared" si="262"/>
        <v/>
      </c>
      <c r="AH239" s="17" t="str">
        <f t="shared" si="328"/>
        <v/>
      </c>
      <c r="AI239" s="297" t="e">
        <f t="shared" si="303"/>
        <v>#VALUE!</v>
      </c>
      <c r="AJ239" s="79" t="e">
        <f t="shared" si="263"/>
        <v>#VALUE!</v>
      </c>
      <c r="AK239" s="17" t="str">
        <f t="shared" si="329"/>
        <v/>
      </c>
      <c r="AL239" s="80" t="e">
        <f t="shared" si="264"/>
        <v>#VALUE!</v>
      </c>
      <c r="AM239" s="139" t="b">
        <f t="shared" si="265"/>
        <v>1</v>
      </c>
      <c r="AN239" s="139" t="b">
        <f>AND(COUNTA(E239)&gt;0,ISNUMBER(F239),OR(COUNT(G239:H239)=0,COUNT(G239:H239)=2,AND(ISNUMBER(G239),ISNUMBER(VALUE(LEFT(H239,SUM(LEN(H239)-LEN(SUBSTITUTE(H239,{"0","1","2","3","4","5","6","7","8","9","."},"")))))))),ISNUMBER(I239),ISTEXT(J239))</f>
        <v>0</v>
      </c>
      <c r="AO239" s="19" t="b">
        <f t="shared" si="266"/>
        <v>0</v>
      </c>
      <c r="AP239" s="19" t="b">
        <f t="shared" si="267"/>
        <v>1</v>
      </c>
      <c r="AQ239" s="19" t="b">
        <f>IF(AND(COUNTBLANK(E239:J239)=6,OR(AN240:AN$523)),NOT(AN239))</f>
        <v>0</v>
      </c>
      <c r="AR239" s="19" t="str">
        <f t="shared" si="268"/>
        <v/>
      </c>
      <c r="AS239" s="19" t="b">
        <f t="shared" si="269"/>
        <v>1</v>
      </c>
      <c r="AT239" s="19" t="str">
        <f t="shared" si="270"/>
        <v/>
      </c>
      <c r="AU239" s="19" t="b">
        <f t="shared" si="271"/>
        <v>1</v>
      </c>
      <c r="AV239" s="140" t="str">
        <f t="shared" si="311"/>
        <v/>
      </c>
      <c r="AW239" s="19" t="str">
        <f t="shared" si="272"/>
        <v/>
      </c>
      <c r="AX239" s="81">
        <f t="shared" si="273"/>
        <v>0</v>
      </c>
      <c r="AY239" s="81" t="str">
        <f t="shared" si="274"/>
        <v/>
      </c>
      <c r="AZ239" s="307" t="str">
        <f t="shared" si="304"/>
        <v/>
      </c>
      <c r="BA239" s="281" t="str">
        <f t="shared" si="312"/>
        <v/>
      </c>
      <c r="BB239" s="281" t="str">
        <f t="shared" si="313"/>
        <v/>
      </c>
      <c r="BC239" s="953"/>
      <c r="BD239" s="955"/>
      <c r="BE239" s="219" t="str">
        <f t="shared" si="275"/>
        <v>n/a</v>
      </c>
      <c r="BF239" s="215" t="b">
        <f t="shared" si="276"/>
        <v>0</v>
      </c>
      <c r="BG239" s="145" t="b">
        <f t="shared" si="277"/>
        <v>0</v>
      </c>
      <c r="BH239" s="145" t="b">
        <f t="shared" si="278"/>
        <v>0</v>
      </c>
      <c r="BI239" s="216" t="b">
        <f t="shared" si="279"/>
        <v>0</v>
      </c>
      <c r="BJ239" s="215" t="b">
        <f t="shared" si="280"/>
        <v>0</v>
      </c>
      <c r="BK239" s="145" t="b">
        <f t="shared" si="281"/>
        <v>0</v>
      </c>
      <c r="BL239" s="216" t="b">
        <f t="shared" si="282"/>
        <v>0</v>
      </c>
      <c r="BM239" s="217" t="str">
        <f t="shared" si="314"/>
        <v/>
      </c>
      <c r="BN239" s="146" t="str">
        <f t="shared" si="315"/>
        <v/>
      </c>
      <c r="BO239" s="147" t="str">
        <f t="shared" si="316"/>
        <v/>
      </c>
      <c r="BP239" s="148" t="str">
        <f t="shared" si="317"/>
        <v/>
      </c>
      <c r="BT239" s="50">
        <f t="shared" si="254"/>
        <v>216</v>
      </c>
      <c r="BU239" s="50" t="str">
        <f t="shared" si="333"/>
        <v>-</v>
      </c>
      <c r="BW239" s="333"/>
      <c r="BX239" s="333"/>
      <c r="BY239" s="333"/>
      <c r="BZ239" s="333"/>
      <c r="CA239" s="333"/>
      <c r="CB239" s="333"/>
      <c r="CC239" s="333"/>
      <c r="CD239" s="333"/>
      <c r="CE239" s="333"/>
      <c r="CF239" s="333"/>
      <c r="CG239" s="354">
        <f t="shared" si="283"/>
        <v>216</v>
      </c>
      <c r="CH239" s="613">
        <f t="shared" si="284"/>
        <v>0</v>
      </c>
      <c r="CI239" s="613">
        <f t="shared" si="285"/>
        <v>0</v>
      </c>
      <c r="CJ239" s="614" t="str">
        <f t="shared" si="286"/>
        <v/>
      </c>
      <c r="CK239" s="615" t="str">
        <f t="shared" si="287"/>
        <v/>
      </c>
      <c r="CL239" s="610" t="str">
        <f>IF(ISBLANK(H239),"",IF(AND(ISNUMBER(F239),ISNUMBER(G239),ISNUMBER(H239)),ROUND(F239/(H239*G239),2),ROUND(F239/(VALUE(LEFT(H239,SUM(LEN(H239)-LEN(SUBSTITUTE(H239,{"0","1","2","3","4","5","6","7","8","9","."},"")))))*G239),2)))</f>
        <v/>
      </c>
      <c r="CM239" s="616" t="str">
        <f t="shared" si="318"/>
        <v/>
      </c>
      <c r="CN239" s="616" t="str">
        <f>IF(ISNUMBER(P239),MAX('Adjustment factors'!$S$16,(0.2+0.8*P239)),IF(ISTEXT(N239),VLOOKUP(N239,Afactors,2,FALSE),""))</f>
        <v/>
      </c>
      <c r="CO239" s="616" t="str">
        <f>IF(ISNUMBER(S239),MAX('Adjustment factors'!$S$16,0.2+0.8*S239),IF(ISTEXT(Q239),VLOOKUP(Q239,Afactors,2,FALSE),""))</f>
        <v/>
      </c>
      <c r="CP239" s="611" t="str">
        <f t="shared" si="305"/>
        <v/>
      </c>
      <c r="CQ239" s="612" t="str">
        <f t="shared" si="306"/>
        <v/>
      </c>
      <c r="CR239" s="340"/>
      <c r="CS239" s="340"/>
      <c r="CT239" s="340"/>
      <c r="CU239" s="340"/>
      <c r="CV239" s="333"/>
      <c r="CW239" s="333"/>
      <c r="CX239" s="333"/>
      <c r="CY239" s="333"/>
      <c r="DA239" s="313" t="str">
        <f t="shared" si="288"/>
        <v>OK</v>
      </c>
      <c r="DB239" s="313" t="str">
        <f t="shared" si="289"/>
        <v>OK</v>
      </c>
      <c r="DC239" s="313" t="str">
        <f t="shared" si="290"/>
        <v>OK</v>
      </c>
      <c r="DD239" s="313" t="str">
        <f t="shared" si="291"/>
        <v>OK</v>
      </c>
      <c r="DE239" s="153" t="str">
        <f t="shared" si="292"/>
        <v>OK</v>
      </c>
      <c r="DF239" s="314" t="str">
        <f t="shared" si="293"/>
        <v>OK</v>
      </c>
      <c r="DG239" s="482" t="str">
        <f t="shared" si="307"/>
        <v>OK</v>
      </c>
      <c r="DH239" s="482" t="str">
        <f>IF(OR(AND(T239='Adjustment factors'!$R$28,'Class 3, 5-9'!U239='Adjustment factors'!$R$29),AND('Class 3, 5-9'!T239='Adjustment factors'!$R$29,'Class 3, 5-9'!U239='Adjustment factors'!$R$28)),"Invalid combination of adjustment factors",IF(AND(T239=U239,NOT(ISBLANK(T239)),NOT(ISBLANK(U239))),"Same colour factor selected twice","OK"))</f>
        <v>OK</v>
      </c>
      <c r="DI239" s="313" t="str">
        <f t="shared" si="294"/>
        <v>OK</v>
      </c>
      <c r="DJ239" s="153" t="str">
        <f t="shared" si="319"/>
        <v>OK</v>
      </c>
      <c r="DK239" s="153" t="str">
        <f t="shared" si="295"/>
        <v>OK</v>
      </c>
      <c r="DL239" s="313" t="str">
        <f t="shared" si="296"/>
        <v>OK</v>
      </c>
      <c r="DM239" s="153" t="str">
        <f t="shared" si="297"/>
        <v>OK</v>
      </c>
      <c r="DN239" s="153" t="str">
        <f t="shared" si="320"/>
        <v>OK</v>
      </c>
      <c r="DO239" s="154" t="str">
        <f t="shared" si="321"/>
        <v>OK</v>
      </c>
      <c r="DP239" s="153" t="str">
        <f t="shared" si="298"/>
        <v>OK</v>
      </c>
      <c r="DQ239" s="313" t="str">
        <f t="shared" si="299"/>
        <v>OK</v>
      </c>
      <c r="DR239" s="153" t="str">
        <f t="shared" si="322"/>
        <v>OK</v>
      </c>
      <c r="DS239" s="153" t="str">
        <f t="shared" si="300"/>
        <v>OK</v>
      </c>
      <c r="DT239" s="313" t="str">
        <f t="shared" ref="DT239:DT270" si="335">IF(AND(ISNUMBER(S239),Q239&lt;&gt;FixedDim),"Select fixed dimming with an illuminance factor","OK")</f>
        <v>OK</v>
      </c>
      <c r="DU239" s="153" t="str">
        <f t="shared" si="301"/>
        <v>OK</v>
      </c>
      <c r="DV239" s="153" t="str">
        <f t="shared" si="323"/>
        <v>OK</v>
      </c>
      <c r="DW239" s="154" t="str">
        <f t="shared" si="324"/>
        <v>OK</v>
      </c>
      <c r="DX239" s="157">
        <f t="shared" si="325"/>
        <v>0</v>
      </c>
      <c r="DY239" s="156" t="str">
        <f t="shared" si="326"/>
        <v>OK</v>
      </c>
    </row>
    <row r="240" spans="1:129" ht="13" hidden="1" x14ac:dyDescent="0.3">
      <c r="A240" s="333"/>
      <c r="B240" s="333"/>
      <c r="C240" s="331" t="str">
        <f t="shared" si="334"/>
        <v>-</v>
      </c>
      <c r="D240" s="584">
        <f t="shared" si="253"/>
        <v>217</v>
      </c>
      <c r="E240" s="585"/>
      <c r="F240" s="586"/>
      <c r="G240" s="600"/>
      <c r="H240" s="587"/>
      <c r="I240" s="601"/>
      <c r="J240" s="585"/>
      <c r="K240" s="617"/>
      <c r="L240" s="602"/>
      <c r="M240" s="603"/>
      <c r="N240" s="588"/>
      <c r="O240" s="604"/>
      <c r="P240" s="605"/>
      <c r="Q240" s="588"/>
      <c r="R240" s="604"/>
      <c r="S240" s="605"/>
      <c r="T240" s="606"/>
      <c r="U240" s="606"/>
      <c r="V240" s="429" t="str">
        <f t="shared" si="331"/>
        <v/>
      </c>
      <c r="W240" s="430" t="str">
        <f t="shared" si="330"/>
        <v/>
      </c>
      <c r="X240" s="66" t="str">
        <f>IF(AND(ISNUMBER(P240),N240=FixedDim),MAX('Adjustment factors'!$S$16,0.2+0.8*P240),IF(ISTEXT(N240),VLOOKUP(N240,Afactors,2,TRUE),""))</f>
        <v/>
      </c>
      <c r="Y240" s="17" t="str">
        <f>IF(AND(ISNUMBER(S240),Q240=FixedDim),MAX('Adjustment factors'!$S$16,0.2+0.8*S240),IF(ISTEXT(Q240),VLOOKUP(Q240,Afactors,2,TRUE),""))</f>
        <v/>
      </c>
      <c r="Z240" s="297" t="str">
        <f>IF(ISBLANK(T240),"",VLOOKUP(T240,'Adjustment factors'!$R$27:$S$30,2,TRUE))</f>
        <v/>
      </c>
      <c r="AA240" s="297" t="str">
        <f>IF(ISBLANK(U240),"",VLOOKUP(U240,'Adjustment factors'!$R$27:$S$30,2,TRUE))</f>
        <v/>
      </c>
      <c r="AB240" s="480">
        <f t="shared" si="302"/>
        <v>1</v>
      </c>
      <c r="AC240" s="18" t="b">
        <f t="shared" si="259"/>
        <v>0</v>
      </c>
      <c r="AD240" s="18" t="b">
        <f t="shared" si="260"/>
        <v>0</v>
      </c>
      <c r="AE240" s="18" t="b">
        <f t="shared" si="327"/>
        <v>0</v>
      </c>
      <c r="AF240" s="17" t="str">
        <f t="shared" si="261"/>
        <v/>
      </c>
      <c r="AG240" s="18" t="str">
        <f t="shared" si="262"/>
        <v/>
      </c>
      <c r="AH240" s="17" t="str">
        <f t="shared" si="328"/>
        <v/>
      </c>
      <c r="AI240" s="297" t="e">
        <f t="shared" si="303"/>
        <v>#VALUE!</v>
      </c>
      <c r="AJ240" s="79" t="e">
        <f t="shared" si="263"/>
        <v>#VALUE!</v>
      </c>
      <c r="AK240" s="17" t="str">
        <f t="shared" si="329"/>
        <v/>
      </c>
      <c r="AL240" s="80" t="e">
        <f t="shared" si="264"/>
        <v>#VALUE!</v>
      </c>
      <c r="AM240" s="139" t="b">
        <f t="shared" si="265"/>
        <v>1</v>
      </c>
      <c r="AN240" s="139" t="b">
        <f>AND(COUNTA(E240)&gt;0,ISNUMBER(F240),OR(COUNT(G240:H240)=0,COUNT(G240:H240)=2,AND(ISNUMBER(G240),ISNUMBER(VALUE(LEFT(H240,SUM(LEN(H240)-LEN(SUBSTITUTE(H240,{"0","1","2","3","4","5","6","7","8","9","."},"")))))))),ISNUMBER(I240),ISTEXT(J240))</f>
        <v>0</v>
      </c>
      <c r="AO240" s="19" t="b">
        <f t="shared" si="266"/>
        <v>0</v>
      </c>
      <c r="AP240" s="19" t="b">
        <f t="shared" si="267"/>
        <v>1</v>
      </c>
      <c r="AQ240" s="19" t="b">
        <f>IF(AND(COUNTBLANK(E240:J240)=6,OR(AN241:AN$523)),NOT(AN240))</f>
        <v>0</v>
      </c>
      <c r="AR240" s="19" t="str">
        <f t="shared" si="268"/>
        <v/>
      </c>
      <c r="AS240" s="19" t="b">
        <f t="shared" si="269"/>
        <v>1</v>
      </c>
      <c r="AT240" s="19" t="str">
        <f t="shared" si="270"/>
        <v/>
      </c>
      <c r="AU240" s="19" t="b">
        <f t="shared" si="271"/>
        <v>1</v>
      </c>
      <c r="AV240" s="140" t="str">
        <f t="shared" si="311"/>
        <v/>
      </c>
      <c r="AW240" s="19" t="str">
        <f t="shared" si="272"/>
        <v/>
      </c>
      <c r="AX240" s="81">
        <f t="shared" si="273"/>
        <v>0</v>
      </c>
      <c r="AY240" s="81" t="str">
        <f t="shared" si="274"/>
        <v/>
      </c>
      <c r="AZ240" s="307" t="str">
        <f t="shared" si="304"/>
        <v/>
      </c>
      <c r="BA240" s="281" t="str">
        <f t="shared" si="312"/>
        <v/>
      </c>
      <c r="BB240" s="281" t="str">
        <f t="shared" si="313"/>
        <v/>
      </c>
      <c r="BC240" s="953"/>
      <c r="BD240" s="955"/>
      <c r="BE240" s="219" t="str">
        <f t="shared" si="275"/>
        <v>n/a</v>
      </c>
      <c r="BF240" s="215" t="b">
        <f t="shared" si="276"/>
        <v>0</v>
      </c>
      <c r="BG240" s="145" t="b">
        <f t="shared" si="277"/>
        <v>0</v>
      </c>
      <c r="BH240" s="145" t="b">
        <f t="shared" si="278"/>
        <v>0</v>
      </c>
      <c r="BI240" s="216" t="b">
        <f t="shared" si="279"/>
        <v>0</v>
      </c>
      <c r="BJ240" s="215" t="b">
        <f t="shared" si="280"/>
        <v>0</v>
      </c>
      <c r="BK240" s="145" t="b">
        <f t="shared" si="281"/>
        <v>0</v>
      </c>
      <c r="BL240" s="216" t="b">
        <f t="shared" si="282"/>
        <v>0</v>
      </c>
      <c r="BM240" s="217" t="str">
        <f t="shared" si="314"/>
        <v/>
      </c>
      <c r="BN240" s="146" t="str">
        <f t="shared" si="315"/>
        <v/>
      </c>
      <c r="BO240" s="147" t="str">
        <f t="shared" si="316"/>
        <v/>
      </c>
      <c r="BP240" s="148" t="str">
        <f t="shared" si="317"/>
        <v/>
      </c>
      <c r="BT240" s="50">
        <f t="shared" si="254"/>
        <v>217</v>
      </c>
      <c r="BU240" s="50" t="str">
        <f t="shared" si="333"/>
        <v>-</v>
      </c>
      <c r="BW240" s="333"/>
      <c r="BX240" s="333"/>
      <c r="BY240" s="333"/>
      <c r="BZ240" s="333"/>
      <c r="CA240" s="333"/>
      <c r="CB240" s="333"/>
      <c r="CC240" s="333"/>
      <c r="CD240" s="333"/>
      <c r="CE240" s="333"/>
      <c r="CF240" s="333"/>
      <c r="CG240" s="354">
        <f t="shared" si="283"/>
        <v>217</v>
      </c>
      <c r="CH240" s="613">
        <f t="shared" si="284"/>
        <v>0</v>
      </c>
      <c r="CI240" s="613">
        <f t="shared" si="285"/>
        <v>0</v>
      </c>
      <c r="CJ240" s="614" t="str">
        <f t="shared" si="286"/>
        <v/>
      </c>
      <c r="CK240" s="615" t="str">
        <f t="shared" si="287"/>
        <v/>
      </c>
      <c r="CL240" s="610" t="str">
        <f>IF(ISBLANK(H240),"",IF(AND(ISNUMBER(F240),ISNUMBER(G240),ISNUMBER(H240)),ROUND(F240/(H240*G240),2),ROUND(F240/(VALUE(LEFT(H240,SUM(LEN(H240)-LEN(SUBSTITUTE(H240,{"0","1","2","3","4","5","6","7","8","9","."},"")))))*G240),2)))</f>
        <v/>
      </c>
      <c r="CM240" s="616" t="str">
        <f t="shared" si="318"/>
        <v/>
      </c>
      <c r="CN240" s="616" t="str">
        <f>IF(ISNUMBER(P240),MAX('Adjustment factors'!$S$16,(0.2+0.8*P240)),IF(ISTEXT(N240),VLOOKUP(N240,Afactors,2,FALSE),""))</f>
        <v/>
      </c>
      <c r="CO240" s="616" t="str">
        <f>IF(ISNUMBER(S240),MAX('Adjustment factors'!$S$16,0.2+0.8*S240),IF(ISTEXT(Q240),VLOOKUP(Q240,Afactors,2,FALSE),""))</f>
        <v/>
      </c>
      <c r="CP240" s="611" t="str">
        <f t="shared" si="305"/>
        <v/>
      </c>
      <c r="CQ240" s="612" t="str">
        <f t="shared" si="306"/>
        <v/>
      </c>
      <c r="CR240" s="340"/>
      <c r="CS240" s="340"/>
      <c r="CT240" s="340"/>
      <c r="CU240" s="340"/>
      <c r="CV240" s="333"/>
      <c r="CW240" s="333"/>
      <c r="CX240" s="333"/>
      <c r="CY240" s="333"/>
      <c r="DA240" s="313" t="str">
        <f t="shared" si="288"/>
        <v>OK</v>
      </c>
      <c r="DB240" s="313" t="str">
        <f t="shared" si="289"/>
        <v>OK</v>
      </c>
      <c r="DC240" s="313" t="str">
        <f t="shared" si="290"/>
        <v>OK</v>
      </c>
      <c r="DD240" s="313" t="str">
        <f t="shared" si="291"/>
        <v>OK</v>
      </c>
      <c r="DE240" s="153" t="str">
        <f t="shared" si="292"/>
        <v>OK</v>
      </c>
      <c r="DF240" s="314" t="str">
        <f t="shared" si="293"/>
        <v>OK</v>
      </c>
      <c r="DG240" s="482" t="str">
        <f t="shared" si="307"/>
        <v>OK</v>
      </c>
      <c r="DH240" s="482" t="str">
        <f>IF(OR(AND(T240='Adjustment factors'!$R$28,'Class 3, 5-9'!U240='Adjustment factors'!$R$29),AND('Class 3, 5-9'!T240='Adjustment factors'!$R$29,'Class 3, 5-9'!U240='Adjustment factors'!$R$28)),"Invalid combination of adjustment factors",IF(AND(T240=U240,NOT(ISBLANK(T240)),NOT(ISBLANK(U240))),"Same colour factor selected twice","OK"))</f>
        <v>OK</v>
      </c>
      <c r="DI240" s="313" t="str">
        <f t="shared" si="294"/>
        <v>OK</v>
      </c>
      <c r="DJ240" s="153" t="str">
        <f t="shared" si="319"/>
        <v>OK</v>
      </c>
      <c r="DK240" s="153" t="str">
        <f t="shared" si="295"/>
        <v>OK</v>
      </c>
      <c r="DL240" s="313" t="str">
        <f t="shared" si="296"/>
        <v>OK</v>
      </c>
      <c r="DM240" s="153" t="str">
        <f t="shared" si="297"/>
        <v>OK</v>
      </c>
      <c r="DN240" s="153" t="str">
        <f t="shared" si="320"/>
        <v>OK</v>
      </c>
      <c r="DO240" s="154" t="str">
        <f t="shared" si="321"/>
        <v>OK</v>
      </c>
      <c r="DP240" s="153" t="str">
        <f t="shared" si="298"/>
        <v>OK</v>
      </c>
      <c r="DQ240" s="313" t="str">
        <f t="shared" si="299"/>
        <v>OK</v>
      </c>
      <c r="DR240" s="153" t="str">
        <f t="shared" si="322"/>
        <v>OK</v>
      </c>
      <c r="DS240" s="153" t="str">
        <f t="shared" si="300"/>
        <v>OK</v>
      </c>
      <c r="DT240" s="313" t="str">
        <f t="shared" si="335"/>
        <v>OK</v>
      </c>
      <c r="DU240" s="153" t="str">
        <f t="shared" si="301"/>
        <v>OK</v>
      </c>
      <c r="DV240" s="153" t="str">
        <f t="shared" si="323"/>
        <v>OK</v>
      </c>
      <c r="DW240" s="154" t="str">
        <f t="shared" si="324"/>
        <v>OK</v>
      </c>
      <c r="DX240" s="157">
        <f t="shared" si="325"/>
        <v>0</v>
      </c>
      <c r="DY240" s="156" t="str">
        <f t="shared" si="326"/>
        <v>OK</v>
      </c>
    </row>
    <row r="241" spans="1:129" ht="13" hidden="1" x14ac:dyDescent="0.3">
      <c r="A241" s="333"/>
      <c r="B241" s="333"/>
      <c r="C241" s="331" t="str">
        <f t="shared" si="334"/>
        <v>-</v>
      </c>
      <c r="D241" s="584">
        <f t="shared" si="253"/>
        <v>218</v>
      </c>
      <c r="E241" s="585"/>
      <c r="F241" s="586"/>
      <c r="G241" s="600"/>
      <c r="H241" s="587"/>
      <c r="I241" s="601"/>
      <c r="J241" s="585"/>
      <c r="K241" s="617"/>
      <c r="L241" s="602"/>
      <c r="M241" s="603"/>
      <c r="N241" s="588"/>
      <c r="O241" s="604"/>
      <c r="P241" s="605"/>
      <c r="Q241" s="588"/>
      <c r="R241" s="604"/>
      <c r="S241" s="605"/>
      <c r="T241" s="606"/>
      <c r="U241" s="606"/>
      <c r="V241" s="429" t="str">
        <f t="shared" si="331"/>
        <v/>
      </c>
      <c r="W241" s="430" t="str">
        <f t="shared" si="330"/>
        <v/>
      </c>
      <c r="X241" s="66" t="str">
        <f>IF(AND(ISNUMBER(P241),N241=FixedDim),MAX('Adjustment factors'!$S$16,0.2+0.8*P241),IF(ISTEXT(N241),VLOOKUP(N241,Afactors,2,TRUE),""))</f>
        <v/>
      </c>
      <c r="Y241" s="17" t="str">
        <f>IF(AND(ISNUMBER(S241),Q241=FixedDim),MAX('Adjustment factors'!$S$16,0.2+0.8*S241),IF(ISTEXT(Q241),VLOOKUP(Q241,Afactors,2,TRUE),""))</f>
        <v/>
      </c>
      <c r="Z241" s="297" t="str">
        <f>IF(ISBLANK(T241),"",VLOOKUP(T241,'Adjustment factors'!$R$27:$S$30,2,TRUE))</f>
        <v/>
      </c>
      <c r="AA241" s="297" t="str">
        <f>IF(ISBLANK(U241),"",VLOOKUP(U241,'Adjustment factors'!$R$27:$S$30,2,TRUE))</f>
        <v/>
      </c>
      <c r="AB241" s="480">
        <f t="shared" si="302"/>
        <v>1</v>
      </c>
      <c r="AC241" s="18" t="b">
        <f t="shared" si="259"/>
        <v>0</v>
      </c>
      <c r="AD241" s="18" t="b">
        <f t="shared" si="260"/>
        <v>0</v>
      </c>
      <c r="AE241" s="18" t="b">
        <f t="shared" si="327"/>
        <v>0</v>
      </c>
      <c r="AF241" s="17" t="str">
        <f t="shared" si="261"/>
        <v/>
      </c>
      <c r="AG241" s="18" t="str">
        <f t="shared" si="262"/>
        <v/>
      </c>
      <c r="AH241" s="17" t="str">
        <f t="shared" si="328"/>
        <v/>
      </c>
      <c r="AI241" s="297" t="e">
        <f t="shared" si="303"/>
        <v>#VALUE!</v>
      </c>
      <c r="AJ241" s="79" t="e">
        <f t="shared" si="263"/>
        <v>#VALUE!</v>
      </c>
      <c r="AK241" s="17" t="str">
        <f t="shared" si="329"/>
        <v/>
      </c>
      <c r="AL241" s="80" t="e">
        <f t="shared" si="264"/>
        <v>#VALUE!</v>
      </c>
      <c r="AM241" s="139" t="b">
        <f t="shared" si="265"/>
        <v>1</v>
      </c>
      <c r="AN241" s="139" t="b">
        <f>AND(COUNTA(E241)&gt;0,ISNUMBER(F241),OR(COUNT(G241:H241)=0,COUNT(G241:H241)=2,AND(ISNUMBER(G241),ISNUMBER(VALUE(LEFT(H241,SUM(LEN(H241)-LEN(SUBSTITUTE(H241,{"0","1","2","3","4","5","6","7","8","9","."},"")))))))),ISNUMBER(I241),ISTEXT(J241))</f>
        <v>0</v>
      </c>
      <c r="AO241" s="19" t="b">
        <f t="shared" si="266"/>
        <v>0</v>
      </c>
      <c r="AP241" s="19" t="b">
        <f t="shared" si="267"/>
        <v>1</v>
      </c>
      <c r="AQ241" s="19" t="b">
        <f>IF(AND(COUNTBLANK(E241:J241)=6,OR(AN242:AN$523)),NOT(AN241))</f>
        <v>0</v>
      </c>
      <c r="AR241" s="19" t="str">
        <f t="shared" si="268"/>
        <v/>
      </c>
      <c r="AS241" s="19" t="b">
        <f t="shared" si="269"/>
        <v>1</v>
      </c>
      <c r="AT241" s="19" t="str">
        <f t="shared" si="270"/>
        <v/>
      </c>
      <c r="AU241" s="19" t="b">
        <f t="shared" si="271"/>
        <v>1</v>
      </c>
      <c r="AV241" s="140" t="str">
        <f t="shared" si="311"/>
        <v/>
      </c>
      <c r="AW241" s="19" t="str">
        <f t="shared" si="272"/>
        <v/>
      </c>
      <c r="AX241" s="81">
        <f t="shared" si="273"/>
        <v>0</v>
      </c>
      <c r="AY241" s="81" t="str">
        <f t="shared" si="274"/>
        <v/>
      </c>
      <c r="AZ241" s="307" t="str">
        <f t="shared" si="304"/>
        <v/>
      </c>
      <c r="BA241" s="281" t="str">
        <f t="shared" si="312"/>
        <v/>
      </c>
      <c r="BB241" s="281" t="str">
        <f t="shared" si="313"/>
        <v/>
      </c>
      <c r="BC241" s="953"/>
      <c r="BD241" s="955"/>
      <c r="BE241" s="219" t="str">
        <f t="shared" si="275"/>
        <v>n/a</v>
      </c>
      <c r="BF241" s="215" t="b">
        <f t="shared" si="276"/>
        <v>0</v>
      </c>
      <c r="BG241" s="145" t="b">
        <f t="shared" si="277"/>
        <v>0</v>
      </c>
      <c r="BH241" s="145" t="b">
        <f t="shared" si="278"/>
        <v>0</v>
      </c>
      <c r="BI241" s="216" t="b">
        <f t="shared" si="279"/>
        <v>0</v>
      </c>
      <c r="BJ241" s="215" t="b">
        <f t="shared" si="280"/>
        <v>0</v>
      </c>
      <c r="BK241" s="145" t="b">
        <f t="shared" si="281"/>
        <v>0</v>
      </c>
      <c r="BL241" s="216" t="b">
        <f t="shared" si="282"/>
        <v>0</v>
      </c>
      <c r="BM241" s="217" t="str">
        <f t="shared" si="314"/>
        <v/>
      </c>
      <c r="BN241" s="146" t="str">
        <f t="shared" si="315"/>
        <v/>
      </c>
      <c r="BO241" s="147" t="str">
        <f t="shared" si="316"/>
        <v/>
      </c>
      <c r="BP241" s="148" t="str">
        <f t="shared" si="317"/>
        <v/>
      </c>
      <c r="BT241" s="50">
        <f t="shared" si="254"/>
        <v>218</v>
      </c>
      <c r="BU241" s="50" t="str">
        <f t="shared" si="333"/>
        <v>-</v>
      </c>
      <c r="BW241" s="333"/>
      <c r="BX241" s="333"/>
      <c r="BY241" s="333"/>
      <c r="BZ241" s="333"/>
      <c r="CA241" s="333"/>
      <c r="CB241" s="333"/>
      <c r="CC241" s="333"/>
      <c r="CD241" s="333"/>
      <c r="CE241" s="333"/>
      <c r="CF241" s="333"/>
      <c r="CG241" s="354">
        <f t="shared" si="283"/>
        <v>218</v>
      </c>
      <c r="CH241" s="613">
        <f t="shared" si="284"/>
        <v>0</v>
      </c>
      <c r="CI241" s="613">
        <f t="shared" si="285"/>
        <v>0</v>
      </c>
      <c r="CJ241" s="614" t="str">
        <f t="shared" si="286"/>
        <v/>
      </c>
      <c r="CK241" s="615" t="str">
        <f t="shared" si="287"/>
        <v/>
      </c>
      <c r="CL241" s="610" t="str">
        <f>IF(ISBLANK(H241),"",IF(AND(ISNUMBER(F241),ISNUMBER(G241),ISNUMBER(H241)),ROUND(F241/(H241*G241),2),ROUND(F241/(VALUE(LEFT(H241,SUM(LEN(H241)-LEN(SUBSTITUTE(H241,{"0","1","2","3","4","5","6","7","8","9","."},"")))))*G241),2)))</f>
        <v/>
      </c>
      <c r="CM241" s="616" t="str">
        <f t="shared" si="318"/>
        <v/>
      </c>
      <c r="CN241" s="616" t="str">
        <f>IF(ISNUMBER(P241),MAX('Adjustment factors'!$S$16,(0.2+0.8*P241)),IF(ISTEXT(N241),VLOOKUP(N241,Afactors,2,FALSE),""))</f>
        <v/>
      </c>
      <c r="CO241" s="616" t="str">
        <f>IF(ISNUMBER(S241),MAX('Adjustment factors'!$S$16,0.2+0.8*S241),IF(ISTEXT(Q241),VLOOKUP(Q241,Afactors,2,FALSE),""))</f>
        <v/>
      </c>
      <c r="CP241" s="611" t="str">
        <f t="shared" si="305"/>
        <v/>
      </c>
      <c r="CQ241" s="612" t="str">
        <f t="shared" si="306"/>
        <v/>
      </c>
      <c r="CR241" s="340"/>
      <c r="CS241" s="340"/>
      <c r="CT241" s="340"/>
      <c r="CU241" s="340"/>
      <c r="CV241" s="333"/>
      <c r="CW241" s="333"/>
      <c r="CX241" s="333"/>
      <c r="CY241" s="333"/>
      <c r="DA241" s="313" t="str">
        <f t="shared" si="288"/>
        <v>OK</v>
      </c>
      <c r="DB241" s="313" t="str">
        <f t="shared" si="289"/>
        <v>OK</v>
      </c>
      <c r="DC241" s="313" t="str">
        <f t="shared" si="290"/>
        <v>OK</v>
      </c>
      <c r="DD241" s="313" t="str">
        <f t="shared" si="291"/>
        <v>OK</v>
      </c>
      <c r="DE241" s="153" t="str">
        <f t="shared" si="292"/>
        <v>OK</v>
      </c>
      <c r="DF241" s="314" t="str">
        <f t="shared" si="293"/>
        <v>OK</v>
      </c>
      <c r="DG241" s="482" t="str">
        <f t="shared" si="307"/>
        <v>OK</v>
      </c>
      <c r="DH241" s="482" t="str">
        <f>IF(OR(AND(T241='Adjustment factors'!$R$28,'Class 3, 5-9'!U241='Adjustment factors'!$R$29),AND('Class 3, 5-9'!T241='Adjustment factors'!$R$29,'Class 3, 5-9'!U241='Adjustment factors'!$R$28)),"Invalid combination of adjustment factors",IF(AND(T241=U241,NOT(ISBLANK(T241)),NOT(ISBLANK(U241))),"Same colour factor selected twice","OK"))</f>
        <v>OK</v>
      </c>
      <c r="DI241" s="313" t="str">
        <f t="shared" si="294"/>
        <v>OK</v>
      </c>
      <c r="DJ241" s="153" t="str">
        <f t="shared" si="319"/>
        <v>OK</v>
      </c>
      <c r="DK241" s="153" t="str">
        <f t="shared" si="295"/>
        <v>OK</v>
      </c>
      <c r="DL241" s="313" t="str">
        <f t="shared" si="296"/>
        <v>OK</v>
      </c>
      <c r="DM241" s="153" t="str">
        <f t="shared" si="297"/>
        <v>OK</v>
      </c>
      <c r="DN241" s="153" t="str">
        <f t="shared" si="320"/>
        <v>OK</v>
      </c>
      <c r="DO241" s="154" t="str">
        <f t="shared" si="321"/>
        <v>OK</v>
      </c>
      <c r="DP241" s="153" t="str">
        <f t="shared" si="298"/>
        <v>OK</v>
      </c>
      <c r="DQ241" s="313" t="str">
        <f t="shared" si="299"/>
        <v>OK</v>
      </c>
      <c r="DR241" s="153" t="str">
        <f t="shared" si="322"/>
        <v>OK</v>
      </c>
      <c r="DS241" s="153" t="str">
        <f t="shared" si="300"/>
        <v>OK</v>
      </c>
      <c r="DT241" s="313" t="str">
        <f t="shared" si="335"/>
        <v>OK</v>
      </c>
      <c r="DU241" s="153" t="str">
        <f t="shared" si="301"/>
        <v>OK</v>
      </c>
      <c r="DV241" s="153" t="str">
        <f t="shared" si="323"/>
        <v>OK</v>
      </c>
      <c r="DW241" s="154" t="str">
        <f t="shared" si="324"/>
        <v>OK</v>
      </c>
      <c r="DX241" s="157">
        <f t="shared" si="325"/>
        <v>0</v>
      </c>
      <c r="DY241" s="156" t="str">
        <f t="shared" si="326"/>
        <v>OK</v>
      </c>
    </row>
    <row r="242" spans="1:129" ht="13" hidden="1" x14ac:dyDescent="0.3">
      <c r="A242" s="333"/>
      <c r="B242" s="333"/>
      <c r="C242" s="331" t="str">
        <f t="shared" si="334"/>
        <v>-</v>
      </c>
      <c r="D242" s="584">
        <f t="shared" si="253"/>
        <v>219</v>
      </c>
      <c r="E242" s="585"/>
      <c r="F242" s="586"/>
      <c r="G242" s="600"/>
      <c r="H242" s="587"/>
      <c r="I242" s="601"/>
      <c r="J242" s="585"/>
      <c r="K242" s="617"/>
      <c r="L242" s="602"/>
      <c r="M242" s="603"/>
      <c r="N242" s="588"/>
      <c r="O242" s="604"/>
      <c r="P242" s="605"/>
      <c r="Q242" s="588"/>
      <c r="R242" s="604"/>
      <c r="S242" s="605"/>
      <c r="T242" s="606"/>
      <c r="U242" s="606"/>
      <c r="V242" s="429" t="str">
        <f t="shared" si="331"/>
        <v/>
      </c>
      <c r="W242" s="430" t="str">
        <f t="shared" si="330"/>
        <v/>
      </c>
      <c r="X242" s="66" t="str">
        <f>IF(AND(ISNUMBER(P242),N242=FixedDim),MAX('Adjustment factors'!$S$16,0.2+0.8*P242),IF(ISTEXT(N242),VLOOKUP(N242,Afactors,2,TRUE),""))</f>
        <v/>
      </c>
      <c r="Y242" s="17" t="str">
        <f>IF(AND(ISNUMBER(S242),Q242=FixedDim),MAX('Adjustment factors'!$S$16,0.2+0.8*S242),IF(ISTEXT(Q242),VLOOKUP(Q242,Afactors,2,TRUE),""))</f>
        <v/>
      </c>
      <c r="Z242" s="297" t="str">
        <f>IF(ISBLANK(T242),"",VLOOKUP(T242,'Adjustment factors'!$R$27:$S$30,2,TRUE))</f>
        <v/>
      </c>
      <c r="AA242" s="297" t="str">
        <f>IF(ISBLANK(U242),"",VLOOKUP(U242,'Adjustment factors'!$R$27:$S$30,2,TRUE))</f>
        <v/>
      </c>
      <c r="AB242" s="480">
        <f t="shared" si="302"/>
        <v>1</v>
      </c>
      <c r="AC242" s="18" t="b">
        <f t="shared" si="259"/>
        <v>0</v>
      </c>
      <c r="AD242" s="18" t="b">
        <f t="shared" si="260"/>
        <v>0</v>
      </c>
      <c r="AE242" s="18" t="b">
        <f t="shared" si="327"/>
        <v>0</v>
      </c>
      <c r="AF242" s="17" t="str">
        <f t="shared" si="261"/>
        <v/>
      </c>
      <c r="AG242" s="18" t="str">
        <f t="shared" si="262"/>
        <v/>
      </c>
      <c r="AH242" s="17" t="str">
        <f t="shared" si="328"/>
        <v/>
      </c>
      <c r="AI242" s="297" t="e">
        <f t="shared" si="303"/>
        <v>#VALUE!</v>
      </c>
      <c r="AJ242" s="79" t="e">
        <f t="shared" si="263"/>
        <v>#VALUE!</v>
      </c>
      <c r="AK242" s="17" t="str">
        <f t="shared" si="329"/>
        <v/>
      </c>
      <c r="AL242" s="80" t="e">
        <f t="shared" si="264"/>
        <v>#VALUE!</v>
      </c>
      <c r="AM242" s="139" t="b">
        <f t="shared" si="265"/>
        <v>1</v>
      </c>
      <c r="AN242" s="139" t="b">
        <f>AND(COUNTA(E242)&gt;0,ISNUMBER(F242),OR(COUNT(G242:H242)=0,COUNT(G242:H242)=2,AND(ISNUMBER(G242),ISNUMBER(VALUE(LEFT(H242,SUM(LEN(H242)-LEN(SUBSTITUTE(H242,{"0","1","2","3","4","5","6","7","8","9","."},"")))))))),ISNUMBER(I242),ISTEXT(J242))</f>
        <v>0</v>
      </c>
      <c r="AO242" s="19" t="b">
        <f t="shared" si="266"/>
        <v>0</v>
      </c>
      <c r="AP242" s="19" t="b">
        <f t="shared" si="267"/>
        <v>1</v>
      </c>
      <c r="AQ242" s="19" t="b">
        <f>IF(AND(COUNTBLANK(E242:J242)=6,OR(AN243:AN$523)),NOT(AN242))</f>
        <v>0</v>
      </c>
      <c r="AR242" s="19" t="str">
        <f t="shared" si="268"/>
        <v/>
      </c>
      <c r="AS242" s="19" t="b">
        <f t="shared" si="269"/>
        <v>1</v>
      </c>
      <c r="AT242" s="19" t="str">
        <f t="shared" si="270"/>
        <v/>
      </c>
      <c r="AU242" s="19" t="b">
        <f t="shared" si="271"/>
        <v>1</v>
      </c>
      <c r="AV242" s="140" t="str">
        <f t="shared" si="311"/>
        <v/>
      </c>
      <c r="AW242" s="19" t="str">
        <f t="shared" si="272"/>
        <v/>
      </c>
      <c r="AX242" s="81">
        <f t="shared" si="273"/>
        <v>0</v>
      </c>
      <c r="AY242" s="81" t="str">
        <f t="shared" si="274"/>
        <v/>
      </c>
      <c r="AZ242" s="307" t="str">
        <f t="shared" si="304"/>
        <v/>
      </c>
      <c r="BA242" s="281" t="str">
        <f t="shared" si="312"/>
        <v/>
      </c>
      <c r="BB242" s="281" t="str">
        <f t="shared" si="313"/>
        <v/>
      </c>
      <c r="BC242" s="953"/>
      <c r="BD242" s="955"/>
      <c r="BE242" s="219" t="str">
        <f t="shared" si="275"/>
        <v>n/a</v>
      </c>
      <c r="BF242" s="215" t="b">
        <f t="shared" si="276"/>
        <v>0</v>
      </c>
      <c r="BG242" s="145" t="b">
        <f t="shared" si="277"/>
        <v>0</v>
      </c>
      <c r="BH242" s="145" t="b">
        <f t="shared" si="278"/>
        <v>0</v>
      </c>
      <c r="BI242" s="216" t="b">
        <f t="shared" si="279"/>
        <v>0</v>
      </c>
      <c r="BJ242" s="215" t="b">
        <f t="shared" si="280"/>
        <v>0</v>
      </c>
      <c r="BK242" s="145" t="b">
        <f t="shared" si="281"/>
        <v>0</v>
      </c>
      <c r="BL242" s="216" t="b">
        <f t="shared" si="282"/>
        <v>0</v>
      </c>
      <c r="BM242" s="217" t="str">
        <f t="shared" si="314"/>
        <v/>
      </c>
      <c r="BN242" s="146" t="str">
        <f t="shared" si="315"/>
        <v/>
      </c>
      <c r="BO242" s="147" t="str">
        <f t="shared" si="316"/>
        <v/>
      </c>
      <c r="BP242" s="148" t="str">
        <f t="shared" si="317"/>
        <v/>
      </c>
      <c r="BT242" s="50">
        <f t="shared" si="254"/>
        <v>219</v>
      </c>
      <c r="BU242" s="50" t="str">
        <f t="shared" si="333"/>
        <v>-</v>
      </c>
      <c r="BW242" s="333"/>
      <c r="BX242" s="333"/>
      <c r="BY242" s="333"/>
      <c r="BZ242" s="333"/>
      <c r="CA242" s="333"/>
      <c r="CB242" s="333"/>
      <c r="CC242" s="333"/>
      <c r="CD242" s="333"/>
      <c r="CE242" s="333"/>
      <c r="CF242" s="333"/>
      <c r="CG242" s="354">
        <f t="shared" si="283"/>
        <v>219</v>
      </c>
      <c r="CH242" s="613">
        <f t="shared" si="284"/>
        <v>0</v>
      </c>
      <c r="CI242" s="613">
        <f t="shared" si="285"/>
        <v>0</v>
      </c>
      <c r="CJ242" s="614" t="str">
        <f t="shared" si="286"/>
        <v/>
      </c>
      <c r="CK242" s="615" t="str">
        <f t="shared" si="287"/>
        <v/>
      </c>
      <c r="CL242" s="610" t="str">
        <f>IF(ISBLANK(H242),"",IF(AND(ISNUMBER(F242),ISNUMBER(G242),ISNUMBER(H242)),ROUND(F242/(H242*G242),2),ROUND(F242/(VALUE(LEFT(H242,SUM(LEN(H242)-LEN(SUBSTITUTE(H242,{"0","1","2","3","4","5","6","7","8","9","."},"")))))*G242),2)))</f>
        <v/>
      </c>
      <c r="CM242" s="616" t="str">
        <f t="shared" si="318"/>
        <v/>
      </c>
      <c r="CN242" s="616" t="str">
        <f>IF(ISNUMBER(P242),MAX('Adjustment factors'!$S$16,(0.2+0.8*P242)),IF(ISTEXT(N242),VLOOKUP(N242,Afactors,2,FALSE),""))</f>
        <v/>
      </c>
      <c r="CO242" s="616" t="str">
        <f>IF(ISNUMBER(S242),MAX('Adjustment factors'!$S$16,0.2+0.8*S242),IF(ISTEXT(Q242),VLOOKUP(Q242,Afactors,2,FALSE),""))</f>
        <v/>
      </c>
      <c r="CP242" s="611" t="str">
        <f t="shared" si="305"/>
        <v/>
      </c>
      <c r="CQ242" s="612" t="str">
        <f t="shared" si="306"/>
        <v/>
      </c>
      <c r="CR242" s="340"/>
      <c r="CS242" s="340"/>
      <c r="CT242" s="340"/>
      <c r="CU242" s="340"/>
      <c r="CV242" s="333"/>
      <c r="CW242" s="333"/>
      <c r="CX242" s="333"/>
      <c r="CY242" s="333"/>
      <c r="DA242" s="313" t="str">
        <f t="shared" si="288"/>
        <v>OK</v>
      </c>
      <c r="DB242" s="313" t="str">
        <f t="shared" si="289"/>
        <v>OK</v>
      </c>
      <c r="DC242" s="313" t="str">
        <f t="shared" si="290"/>
        <v>OK</v>
      </c>
      <c r="DD242" s="313" t="str">
        <f t="shared" si="291"/>
        <v>OK</v>
      </c>
      <c r="DE242" s="153" t="str">
        <f t="shared" si="292"/>
        <v>OK</v>
      </c>
      <c r="DF242" s="314" t="str">
        <f t="shared" si="293"/>
        <v>OK</v>
      </c>
      <c r="DG242" s="482" t="str">
        <f t="shared" si="307"/>
        <v>OK</v>
      </c>
      <c r="DH242" s="482" t="str">
        <f>IF(OR(AND(T242='Adjustment factors'!$R$28,'Class 3, 5-9'!U242='Adjustment factors'!$R$29),AND('Class 3, 5-9'!T242='Adjustment factors'!$R$29,'Class 3, 5-9'!U242='Adjustment factors'!$R$28)),"Invalid combination of adjustment factors",IF(AND(T242=U242,NOT(ISBLANK(T242)),NOT(ISBLANK(U242))),"Same colour factor selected twice","OK"))</f>
        <v>OK</v>
      </c>
      <c r="DI242" s="313" t="str">
        <f t="shared" si="294"/>
        <v>OK</v>
      </c>
      <c r="DJ242" s="153" t="str">
        <f t="shared" si="319"/>
        <v>OK</v>
      </c>
      <c r="DK242" s="153" t="str">
        <f t="shared" si="295"/>
        <v>OK</v>
      </c>
      <c r="DL242" s="313" t="str">
        <f t="shared" si="296"/>
        <v>OK</v>
      </c>
      <c r="DM242" s="153" t="str">
        <f t="shared" si="297"/>
        <v>OK</v>
      </c>
      <c r="DN242" s="153" t="str">
        <f t="shared" si="320"/>
        <v>OK</v>
      </c>
      <c r="DO242" s="154" t="str">
        <f t="shared" si="321"/>
        <v>OK</v>
      </c>
      <c r="DP242" s="153" t="str">
        <f t="shared" si="298"/>
        <v>OK</v>
      </c>
      <c r="DQ242" s="313" t="str">
        <f t="shared" si="299"/>
        <v>OK</v>
      </c>
      <c r="DR242" s="153" t="str">
        <f t="shared" si="322"/>
        <v>OK</v>
      </c>
      <c r="DS242" s="153" t="str">
        <f t="shared" si="300"/>
        <v>OK</v>
      </c>
      <c r="DT242" s="313" t="str">
        <f t="shared" si="335"/>
        <v>OK</v>
      </c>
      <c r="DU242" s="153" t="str">
        <f t="shared" si="301"/>
        <v>OK</v>
      </c>
      <c r="DV242" s="153" t="str">
        <f t="shared" si="323"/>
        <v>OK</v>
      </c>
      <c r="DW242" s="154" t="str">
        <f t="shared" si="324"/>
        <v>OK</v>
      </c>
      <c r="DX242" s="157">
        <f t="shared" si="325"/>
        <v>0</v>
      </c>
      <c r="DY242" s="156" t="str">
        <f t="shared" si="326"/>
        <v>OK</v>
      </c>
    </row>
    <row r="243" spans="1:129" ht="13" hidden="1" x14ac:dyDescent="0.3">
      <c r="A243" s="333"/>
      <c r="B243" s="333"/>
      <c r="C243" s="331" t="str">
        <f t="shared" si="334"/>
        <v>-</v>
      </c>
      <c r="D243" s="584">
        <f t="shared" si="253"/>
        <v>220</v>
      </c>
      <c r="E243" s="585"/>
      <c r="F243" s="586"/>
      <c r="G243" s="600"/>
      <c r="H243" s="587"/>
      <c r="I243" s="601"/>
      <c r="J243" s="585"/>
      <c r="K243" s="617"/>
      <c r="L243" s="602"/>
      <c r="M243" s="603"/>
      <c r="N243" s="588"/>
      <c r="O243" s="604"/>
      <c r="P243" s="605"/>
      <c r="Q243" s="588"/>
      <c r="R243" s="604"/>
      <c r="S243" s="605"/>
      <c r="T243" s="606"/>
      <c r="U243" s="606"/>
      <c r="V243" s="429" t="str">
        <f t="shared" si="331"/>
        <v/>
      </c>
      <c r="W243" s="430" t="str">
        <f t="shared" si="330"/>
        <v/>
      </c>
      <c r="X243" s="66" t="str">
        <f>IF(AND(ISNUMBER(P243),N243=FixedDim),MAX('Adjustment factors'!$S$16,0.2+0.8*P243),IF(ISTEXT(N243),VLOOKUP(N243,Afactors,2,TRUE),""))</f>
        <v/>
      </c>
      <c r="Y243" s="17" t="str">
        <f>IF(AND(ISNUMBER(S243),Q243=FixedDim),MAX('Adjustment factors'!$S$16,0.2+0.8*S243),IF(ISTEXT(Q243),VLOOKUP(Q243,Afactors,2,TRUE),""))</f>
        <v/>
      </c>
      <c r="Z243" s="297" t="str">
        <f>IF(ISBLANK(T243),"",VLOOKUP(T243,'Adjustment factors'!$R$27:$S$30,2,TRUE))</f>
        <v/>
      </c>
      <c r="AA243" s="297" t="str">
        <f>IF(ISBLANK(U243),"",VLOOKUP(U243,'Adjustment factors'!$R$27:$S$30,2,TRUE))</f>
        <v/>
      </c>
      <c r="AB243" s="480">
        <f t="shared" si="302"/>
        <v>1</v>
      </c>
      <c r="AC243" s="18" t="b">
        <f t="shared" si="259"/>
        <v>0</v>
      </c>
      <c r="AD243" s="18" t="b">
        <f t="shared" si="260"/>
        <v>0</v>
      </c>
      <c r="AE243" s="18" t="b">
        <f t="shared" si="327"/>
        <v>0</v>
      </c>
      <c r="AF243" s="17" t="str">
        <f t="shared" si="261"/>
        <v/>
      </c>
      <c r="AG243" s="18" t="str">
        <f t="shared" si="262"/>
        <v/>
      </c>
      <c r="AH243" s="17" t="str">
        <f t="shared" si="328"/>
        <v/>
      </c>
      <c r="AI243" s="297" t="e">
        <f t="shared" si="303"/>
        <v>#VALUE!</v>
      </c>
      <c r="AJ243" s="79" t="e">
        <f t="shared" si="263"/>
        <v>#VALUE!</v>
      </c>
      <c r="AK243" s="17" t="str">
        <f t="shared" si="329"/>
        <v/>
      </c>
      <c r="AL243" s="80" t="e">
        <f t="shared" si="264"/>
        <v>#VALUE!</v>
      </c>
      <c r="AM243" s="139" t="b">
        <f t="shared" si="265"/>
        <v>1</v>
      </c>
      <c r="AN243" s="139" t="b">
        <f>AND(COUNTA(E243)&gt;0,ISNUMBER(F243),OR(COUNT(G243:H243)=0,COUNT(G243:H243)=2,AND(ISNUMBER(G243),ISNUMBER(VALUE(LEFT(H243,SUM(LEN(H243)-LEN(SUBSTITUTE(H243,{"0","1","2","3","4","5","6","7","8","9","."},"")))))))),ISNUMBER(I243),ISTEXT(J243))</f>
        <v>0</v>
      </c>
      <c r="AO243" s="19" t="b">
        <f t="shared" si="266"/>
        <v>0</v>
      </c>
      <c r="AP243" s="19" t="b">
        <f t="shared" si="267"/>
        <v>1</v>
      </c>
      <c r="AQ243" s="19" t="b">
        <f>IF(AND(COUNTBLANK(E243:J243)=6,OR(AN244:AN$523)),NOT(AN243))</f>
        <v>0</v>
      </c>
      <c r="AR243" s="19" t="str">
        <f t="shared" si="268"/>
        <v/>
      </c>
      <c r="AS243" s="19" t="b">
        <f t="shared" si="269"/>
        <v>1</v>
      </c>
      <c r="AT243" s="19" t="str">
        <f t="shared" si="270"/>
        <v/>
      </c>
      <c r="AU243" s="19" t="b">
        <f t="shared" si="271"/>
        <v>1</v>
      </c>
      <c r="AV243" s="140" t="str">
        <f t="shared" si="311"/>
        <v/>
      </c>
      <c r="AW243" s="19" t="str">
        <f t="shared" si="272"/>
        <v/>
      </c>
      <c r="AX243" s="81">
        <f t="shared" si="273"/>
        <v>0</v>
      </c>
      <c r="AY243" s="81" t="str">
        <f t="shared" si="274"/>
        <v/>
      </c>
      <c r="AZ243" s="307" t="str">
        <f t="shared" si="304"/>
        <v/>
      </c>
      <c r="BA243" s="281" t="str">
        <f t="shared" si="312"/>
        <v/>
      </c>
      <c r="BB243" s="281" t="str">
        <f t="shared" si="313"/>
        <v/>
      </c>
      <c r="BC243" s="953"/>
      <c r="BD243" s="955"/>
      <c r="BE243" s="219" t="str">
        <f t="shared" si="275"/>
        <v>n/a</v>
      </c>
      <c r="BF243" s="215" t="b">
        <f t="shared" si="276"/>
        <v>0</v>
      </c>
      <c r="BG243" s="145" t="b">
        <f t="shared" si="277"/>
        <v>0</v>
      </c>
      <c r="BH243" s="145" t="b">
        <f t="shared" si="278"/>
        <v>0</v>
      </c>
      <c r="BI243" s="216" t="b">
        <f t="shared" si="279"/>
        <v>0</v>
      </c>
      <c r="BJ243" s="215" t="b">
        <f t="shared" si="280"/>
        <v>0</v>
      </c>
      <c r="BK243" s="145" t="b">
        <f t="shared" si="281"/>
        <v>0</v>
      </c>
      <c r="BL243" s="216" t="b">
        <f t="shared" si="282"/>
        <v>0</v>
      </c>
      <c r="BM243" s="217" t="str">
        <f t="shared" si="314"/>
        <v/>
      </c>
      <c r="BN243" s="146" t="str">
        <f t="shared" si="315"/>
        <v/>
      </c>
      <c r="BO243" s="147" t="str">
        <f t="shared" si="316"/>
        <v/>
      </c>
      <c r="BP243" s="148" t="str">
        <f t="shared" si="317"/>
        <v/>
      </c>
      <c r="BT243" s="50">
        <f t="shared" si="254"/>
        <v>220</v>
      </c>
      <c r="BU243" s="50" t="str">
        <f t="shared" si="333"/>
        <v>-</v>
      </c>
      <c r="BW243" s="333"/>
      <c r="BX243" s="333"/>
      <c r="BY243" s="333"/>
      <c r="BZ243" s="333"/>
      <c r="CA243" s="333"/>
      <c r="CB243" s="333"/>
      <c r="CC243" s="333"/>
      <c r="CD243" s="333"/>
      <c r="CE243" s="333"/>
      <c r="CF243" s="333"/>
      <c r="CG243" s="354">
        <f t="shared" si="283"/>
        <v>220</v>
      </c>
      <c r="CH243" s="613">
        <f t="shared" si="284"/>
        <v>0</v>
      </c>
      <c r="CI243" s="613">
        <f t="shared" si="285"/>
        <v>0</v>
      </c>
      <c r="CJ243" s="614" t="str">
        <f t="shared" si="286"/>
        <v/>
      </c>
      <c r="CK243" s="615" t="str">
        <f t="shared" si="287"/>
        <v/>
      </c>
      <c r="CL243" s="610" t="str">
        <f>IF(ISBLANK(H243),"",IF(AND(ISNUMBER(F243),ISNUMBER(G243),ISNUMBER(H243)),ROUND(F243/(H243*G243),2),ROUND(F243/(VALUE(LEFT(H243,SUM(LEN(H243)-LEN(SUBSTITUTE(H243,{"0","1","2","3","4","5","6","7","8","9","."},"")))))*G243),2)))</f>
        <v/>
      </c>
      <c r="CM243" s="616" t="str">
        <f t="shared" si="318"/>
        <v/>
      </c>
      <c r="CN243" s="616" t="str">
        <f>IF(ISNUMBER(P243),MAX('Adjustment factors'!$S$16,(0.2+0.8*P243)),IF(ISTEXT(N243),VLOOKUP(N243,Afactors,2,FALSE),""))</f>
        <v/>
      </c>
      <c r="CO243" s="616" t="str">
        <f>IF(ISNUMBER(S243),MAX('Adjustment factors'!$S$16,0.2+0.8*S243),IF(ISTEXT(Q243),VLOOKUP(Q243,Afactors,2,FALSE),""))</f>
        <v/>
      </c>
      <c r="CP243" s="611" t="str">
        <f t="shared" si="305"/>
        <v/>
      </c>
      <c r="CQ243" s="612" t="str">
        <f t="shared" si="306"/>
        <v/>
      </c>
      <c r="CR243" s="340"/>
      <c r="CS243" s="340"/>
      <c r="CT243" s="340"/>
      <c r="CU243" s="340"/>
      <c r="CV243" s="333"/>
      <c r="CW243" s="333"/>
      <c r="CX243" s="333"/>
      <c r="CY243" s="333"/>
      <c r="DA243" s="313" t="str">
        <f t="shared" si="288"/>
        <v>OK</v>
      </c>
      <c r="DB243" s="313" t="str">
        <f t="shared" si="289"/>
        <v>OK</v>
      </c>
      <c r="DC243" s="313" t="str">
        <f t="shared" si="290"/>
        <v>OK</v>
      </c>
      <c r="DD243" s="313" t="str">
        <f t="shared" si="291"/>
        <v>OK</v>
      </c>
      <c r="DE243" s="153" t="str">
        <f t="shared" si="292"/>
        <v>OK</v>
      </c>
      <c r="DF243" s="314" t="str">
        <f t="shared" si="293"/>
        <v>OK</v>
      </c>
      <c r="DG243" s="482" t="str">
        <f t="shared" si="307"/>
        <v>OK</v>
      </c>
      <c r="DH243" s="482" t="str">
        <f>IF(OR(AND(T243='Adjustment factors'!$R$28,'Class 3, 5-9'!U243='Adjustment factors'!$R$29),AND('Class 3, 5-9'!T243='Adjustment factors'!$R$29,'Class 3, 5-9'!U243='Adjustment factors'!$R$28)),"Invalid combination of adjustment factors",IF(AND(T243=U243,NOT(ISBLANK(T243)),NOT(ISBLANK(U243))),"Same colour factor selected twice","OK"))</f>
        <v>OK</v>
      </c>
      <c r="DI243" s="313" t="str">
        <f t="shared" si="294"/>
        <v>OK</v>
      </c>
      <c r="DJ243" s="153" t="str">
        <f t="shared" si="319"/>
        <v>OK</v>
      </c>
      <c r="DK243" s="153" t="str">
        <f t="shared" si="295"/>
        <v>OK</v>
      </c>
      <c r="DL243" s="313" t="str">
        <f t="shared" si="296"/>
        <v>OK</v>
      </c>
      <c r="DM243" s="153" t="str">
        <f t="shared" si="297"/>
        <v>OK</v>
      </c>
      <c r="DN243" s="153" t="str">
        <f t="shared" si="320"/>
        <v>OK</v>
      </c>
      <c r="DO243" s="154" t="str">
        <f t="shared" si="321"/>
        <v>OK</v>
      </c>
      <c r="DP243" s="153" t="str">
        <f t="shared" si="298"/>
        <v>OK</v>
      </c>
      <c r="DQ243" s="313" t="str">
        <f t="shared" si="299"/>
        <v>OK</v>
      </c>
      <c r="DR243" s="153" t="str">
        <f t="shared" si="322"/>
        <v>OK</v>
      </c>
      <c r="DS243" s="153" t="str">
        <f t="shared" si="300"/>
        <v>OK</v>
      </c>
      <c r="DT243" s="313" t="str">
        <f t="shared" si="335"/>
        <v>OK</v>
      </c>
      <c r="DU243" s="153" t="str">
        <f t="shared" si="301"/>
        <v>OK</v>
      </c>
      <c r="DV243" s="153" t="str">
        <f t="shared" si="323"/>
        <v>OK</v>
      </c>
      <c r="DW243" s="154" t="str">
        <f t="shared" si="324"/>
        <v>OK</v>
      </c>
      <c r="DX243" s="157">
        <f t="shared" si="325"/>
        <v>0</v>
      </c>
      <c r="DY243" s="156" t="str">
        <f t="shared" si="326"/>
        <v>OK</v>
      </c>
    </row>
    <row r="244" spans="1:129" ht="13" hidden="1" x14ac:dyDescent="0.3">
      <c r="A244" s="333"/>
      <c r="B244" s="333"/>
      <c r="C244" s="331" t="str">
        <f t="shared" si="334"/>
        <v>-</v>
      </c>
      <c r="D244" s="584">
        <f t="shared" si="253"/>
        <v>221</v>
      </c>
      <c r="E244" s="585"/>
      <c r="F244" s="586"/>
      <c r="G244" s="600"/>
      <c r="H244" s="587"/>
      <c r="I244" s="601"/>
      <c r="J244" s="585"/>
      <c r="K244" s="617"/>
      <c r="L244" s="602"/>
      <c r="M244" s="603"/>
      <c r="N244" s="588"/>
      <c r="O244" s="604"/>
      <c r="P244" s="605"/>
      <c r="Q244" s="588"/>
      <c r="R244" s="604"/>
      <c r="S244" s="605"/>
      <c r="T244" s="606"/>
      <c r="U244" s="606"/>
      <c r="V244" s="429" t="str">
        <f t="shared" si="331"/>
        <v/>
      </c>
      <c r="W244" s="430" t="str">
        <f t="shared" si="330"/>
        <v/>
      </c>
      <c r="X244" s="66" t="str">
        <f>IF(AND(ISNUMBER(P244),N244=FixedDim),MAX('Adjustment factors'!$S$16,0.2+0.8*P244),IF(ISTEXT(N244),VLOOKUP(N244,Afactors,2,TRUE),""))</f>
        <v/>
      </c>
      <c r="Y244" s="17" t="str">
        <f>IF(AND(ISNUMBER(S244),Q244=FixedDim),MAX('Adjustment factors'!$S$16,0.2+0.8*S244),IF(ISTEXT(Q244),VLOOKUP(Q244,Afactors,2,TRUE),""))</f>
        <v/>
      </c>
      <c r="Z244" s="297" t="str">
        <f>IF(ISBLANK(T244),"",VLOOKUP(T244,'Adjustment factors'!$R$27:$S$30,2,TRUE))</f>
        <v/>
      </c>
      <c r="AA244" s="297" t="str">
        <f>IF(ISBLANK(U244),"",VLOOKUP(U244,'Adjustment factors'!$R$27:$S$30,2,TRUE))</f>
        <v/>
      </c>
      <c r="AB244" s="480">
        <f t="shared" si="302"/>
        <v>1</v>
      </c>
      <c r="AC244" s="18" t="b">
        <f t="shared" si="259"/>
        <v>0</v>
      </c>
      <c r="AD244" s="18" t="b">
        <f t="shared" si="260"/>
        <v>0</v>
      </c>
      <c r="AE244" s="18" t="b">
        <f t="shared" si="327"/>
        <v>0</v>
      </c>
      <c r="AF244" s="17" t="str">
        <f t="shared" si="261"/>
        <v/>
      </c>
      <c r="AG244" s="18" t="str">
        <f t="shared" si="262"/>
        <v/>
      </c>
      <c r="AH244" s="17" t="str">
        <f t="shared" si="328"/>
        <v/>
      </c>
      <c r="AI244" s="297" t="e">
        <f t="shared" si="303"/>
        <v>#VALUE!</v>
      </c>
      <c r="AJ244" s="79" t="e">
        <f t="shared" si="263"/>
        <v>#VALUE!</v>
      </c>
      <c r="AK244" s="17" t="str">
        <f t="shared" si="329"/>
        <v/>
      </c>
      <c r="AL244" s="80" t="e">
        <f t="shared" si="264"/>
        <v>#VALUE!</v>
      </c>
      <c r="AM244" s="139" t="b">
        <f t="shared" si="265"/>
        <v>1</v>
      </c>
      <c r="AN244" s="139" t="b">
        <f>AND(COUNTA(E244)&gt;0,ISNUMBER(F244),OR(COUNT(G244:H244)=0,COUNT(G244:H244)=2,AND(ISNUMBER(G244),ISNUMBER(VALUE(LEFT(H244,SUM(LEN(H244)-LEN(SUBSTITUTE(H244,{"0","1","2","3","4","5","6","7","8","9","."},"")))))))),ISNUMBER(I244),ISTEXT(J244))</f>
        <v>0</v>
      </c>
      <c r="AO244" s="19" t="b">
        <f t="shared" si="266"/>
        <v>0</v>
      </c>
      <c r="AP244" s="19" t="b">
        <f t="shared" si="267"/>
        <v>1</v>
      </c>
      <c r="AQ244" s="19" t="b">
        <f>IF(AND(COUNTBLANK(E244:J244)=6,OR(AN245:AN$523)),NOT(AN244))</f>
        <v>0</v>
      </c>
      <c r="AR244" s="19" t="str">
        <f t="shared" si="268"/>
        <v/>
      </c>
      <c r="AS244" s="19" t="b">
        <f t="shared" si="269"/>
        <v>1</v>
      </c>
      <c r="AT244" s="19" t="str">
        <f t="shared" si="270"/>
        <v/>
      </c>
      <c r="AU244" s="19" t="b">
        <f t="shared" si="271"/>
        <v>1</v>
      </c>
      <c r="AV244" s="140" t="str">
        <f t="shared" si="311"/>
        <v/>
      </c>
      <c r="AW244" s="19" t="str">
        <f t="shared" si="272"/>
        <v/>
      </c>
      <c r="AX244" s="81">
        <f t="shared" si="273"/>
        <v>0</v>
      </c>
      <c r="AY244" s="81" t="str">
        <f t="shared" si="274"/>
        <v/>
      </c>
      <c r="AZ244" s="307" t="str">
        <f t="shared" si="304"/>
        <v/>
      </c>
      <c r="BA244" s="281" t="str">
        <f t="shared" si="312"/>
        <v/>
      </c>
      <c r="BB244" s="281" t="str">
        <f t="shared" si="313"/>
        <v/>
      </c>
      <c r="BC244" s="953"/>
      <c r="BD244" s="955"/>
      <c r="BE244" s="219" t="str">
        <f t="shared" si="275"/>
        <v>n/a</v>
      </c>
      <c r="BF244" s="215" t="b">
        <f t="shared" si="276"/>
        <v>0</v>
      </c>
      <c r="BG244" s="145" t="b">
        <f t="shared" si="277"/>
        <v>0</v>
      </c>
      <c r="BH244" s="145" t="b">
        <f t="shared" si="278"/>
        <v>0</v>
      </c>
      <c r="BI244" s="216" t="b">
        <f t="shared" si="279"/>
        <v>0</v>
      </c>
      <c r="BJ244" s="215" t="b">
        <f t="shared" si="280"/>
        <v>0</v>
      </c>
      <c r="BK244" s="145" t="b">
        <f t="shared" si="281"/>
        <v>0</v>
      </c>
      <c r="BL244" s="216" t="b">
        <f t="shared" si="282"/>
        <v>0</v>
      </c>
      <c r="BM244" s="217" t="str">
        <f t="shared" si="314"/>
        <v/>
      </c>
      <c r="BN244" s="146" t="str">
        <f t="shared" si="315"/>
        <v/>
      </c>
      <c r="BO244" s="147" t="str">
        <f t="shared" si="316"/>
        <v/>
      </c>
      <c r="BP244" s="148" t="str">
        <f t="shared" si="317"/>
        <v/>
      </c>
      <c r="BT244" s="50">
        <f t="shared" si="254"/>
        <v>221</v>
      </c>
      <c r="BU244" s="50" t="str">
        <f t="shared" si="333"/>
        <v>-</v>
      </c>
      <c r="BW244" s="333"/>
      <c r="BX244" s="333"/>
      <c r="BY244" s="333"/>
      <c r="BZ244" s="333"/>
      <c r="CA244" s="333"/>
      <c r="CB244" s="333"/>
      <c r="CC244" s="333"/>
      <c r="CD244" s="333"/>
      <c r="CE244" s="333"/>
      <c r="CF244" s="333"/>
      <c r="CG244" s="354">
        <f t="shared" si="283"/>
        <v>221</v>
      </c>
      <c r="CH244" s="613">
        <f t="shared" si="284"/>
        <v>0</v>
      </c>
      <c r="CI244" s="613">
        <f t="shared" si="285"/>
        <v>0</v>
      </c>
      <c r="CJ244" s="614" t="str">
        <f t="shared" si="286"/>
        <v/>
      </c>
      <c r="CK244" s="615" t="str">
        <f t="shared" si="287"/>
        <v/>
      </c>
      <c r="CL244" s="610" t="str">
        <f>IF(ISBLANK(H244),"",IF(AND(ISNUMBER(F244),ISNUMBER(G244),ISNUMBER(H244)),ROUND(F244/(H244*G244),2),ROUND(F244/(VALUE(LEFT(H244,SUM(LEN(H244)-LEN(SUBSTITUTE(H244,{"0","1","2","3","4","5","6","7","8","9","."},"")))))*G244),2)))</f>
        <v/>
      </c>
      <c r="CM244" s="616" t="str">
        <f t="shared" si="318"/>
        <v/>
      </c>
      <c r="CN244" s="616" t="str">
        <f>IF(ISNUMBER(P244),MAX('Adjustment factors'!$S$16,(0.2+0.8*P244)),IF(ISTEXT(N244),VLOOKUP(N244,Afactors,2,FALSE),""))</f>
        <v/>
      </c>
      <c r="CO244" s="616" t="str">
        <f>IF(ISNUMBER(S244),MAX('Adjustment factors'!$S$16,0.2+0.8*S244),IF(ISTEXT(Q244),VLOOKUP(Q244,Afactors,2,FALSE),""))</f>
        <v/>
      </c>
      <c r="CP244" s="611" t="str">
        <f t="shared" si="305"/>
        <v/>
      </c>
      <c r="CQ244" s="612" t="str">
        <f t="shared" si="306"/>
        <v/>
      </c>
      <c r="CR244" s="340"/>
      <c r="CS244" s="340"/>
      <c r="CT244" s="340"/>
      <c r="CU244" s="340"/>
      <c r="CV244" s="340"/>
      <c r="CW244" s="333"/>
      <c r="CX244" s="333"/>
      <c r="CY244" s="333"/>
      <c r="DA244" s="313" t="str">
        <f t="shared" si="288"/>
        <v>OK</v>
      </c>
      <c r="DB244" s="313" t="str">
        <f t="shared" si="289"/>
        <v>OK</v>
      </c>
      <c r="DC244" s="313" t="str">
        <f t="shared" si="290"/>
        <v>OK</v>
      </c>
      <c r="DD244" s="313" t="str">
        <f t="shared" si="291"/>
        <v>OK</v>
      </c>
      <c r="DE244" s="153" t="str">
        <f t="shared" si="292"/>
        <v>OK</v>
      </c>
      <c r="DF244" s="314" t="str">
        <f t="shared" si="293"/>
        <v>OK</v>
      </c>
      <c r="DG244" s="482" t="str">
        <f t="shared" si="307"/>
        <v>OK</v>
      </c>
      <c r="DH244" s="482" t="str">
        <f>IF(OR(AND(T244='Adjustment factors'!$R$28,'Class 3, 5-9'!U244='Adjustment factors'!$R$29),AND('Class 3, 5-9'!T244='Adjustment factors'!$R$29,'Class 3, 5-9'!U244='Adjustment factors'!$R$28)),"Invalid combination of adjustment factors",IF(AND(T244=U244,NOT(ISBLANK(T244)),NOT(ISBLANK(U244))),"Same colour factor selected twice","OK"))</f>
        <v>OK</v>
      </c>
      <c r="DI244" s="313" t="str">
        <f t="shared" si="294"/>
        <v>OK</v>
      </c>
      <c r="DJ244" s="153" t="str">
        <f t="shared" si="319"/>
        <v>OK</v>
      </c>
      <c r="DK244" s="153" t="str">
        <f t="shared" si="295"/>
        <v>OK</v>
      </c>
      <c r="DL244" s="313" t="str">
        <f t="shared" si="296"/>
        <v>OK</v>
      </c>
      <c r="DM244" s="153" t="str">
        <f t="shared" si="297"/>
        <v>OK</v>
      </c>
      <c r="DN244" s="153" t="str">
        <f t="shared" si="320"/>
        <v>OK</v>
      </c>
      <c r="DO244" s="154" t="str">
        <f t="shared" si="321"/>
        <v>OK</v>
      </c>
      <c r="DP244" s="153" t="str">
        <f t="shared" si="298"/>
        <v>OK</v>
      </c>
      <c r="DQ244" s="313" t="str">
        <f t="shared" si="299"/>
        <v>OK</v>
      </c>
      <c r="DR244" s="153" t="str">
        <f t="shared" si="322"/>
        <v>OK</v>
      </c>
      <c r="DS244" s="153" t="str">
        <f t="shared" si="300"/>
        <v>OK</v>
      </c>
      <c r="DT244" s="313" t="str">
        <f t="shared" si="335"/>
        <v>OK</v>
      </c>
      <c r="DU244" s="153" t="str">
        <f t="shared" si="301"/>
        <v>OK</v>
      </c>
      <c r="DV244" s="153" t="str">
        <f t="shared" si="323"/>
        <v>OK</v>
      </c>
      <c r="DW244" s="154" t="str">
        <f t="shared" si="324"/>
        <v>OK</v>
      </c>
      <c r="DX244" s="157">
        <f t="shared" si="325"/>
        <v>0</v>
      </c>
      <c r="DY244" s="156" t="str">
        <f t="shared" si="326"/>
        <v>OK</v>
      </c>
    </row>
    <row r="245" spans="1:129" ht="13" hidden="1" x14ac:dyDescent="0.3">
      <c r="A245" s="333"/>
      <c r="B245" s="333"/>
      <c r="C245" s="331" t="str">
        <f t="shared" si="334"/>
        <v>-</v>
      </c>
      <c r="D245" s="584">
        <f t="shared" si="253"/>
        <v>222</v>
      </c>
      <c r="E245" s="585"/>
      <c r="F245" s="586"/>
      <c r="G245" s="600"/>
      <c r="H245" s="587"/>
      <c r="I245" s="601"/>
      <c r="J245" s="585"/>
      <c r="K245" s="617"/>
      <c r="L245" s="602"/>
      <c r="M245" s="603"/>
      <c r="N245" s="588"/>
      <c r="O245" s="604"/>
      <c r="P245" s="605"/>
      <c r="Q245" s="588"/>
      <c r="R245" s="604"/>
      <c r="S245" s="605"/>
      <c r="T245" s="606"/>
      <c r="U245" s="606"/>
      <c r="V245" s="429" t="str">
        <f t="shared" si="331"/>
        <v/>
      </c>
      <c r="W245" s="430" t="str">
        <f t="shared" si="330"/>
        <v/>
      </c>
      <c r="X245" s="66" t="str">
        <f>IF(AND(ISNUMBER(P245),N245=FixedDim),MAX('Adjustment factors'!$S$16,0.2+0.8*P245),IF(ISTEXT(N245),VLOOKUP(N245,Afactors,2,TRUE),""))</f>
        <v/>
      </c>
      <c r="Y245" s="17" t="str">
        <f>IF(AND(ISNUMBER(S245),Q245=FixedDim),MAX('Adjustment factors'!$S$16,0.2+0.8*S245),IF(ISTEXT(Q245),VLOOKUP(Q245,Afactors,2,TRUE),""))</f>
        <v/>
      </c>
      <c r="Z245" s="297" t="str">
        <f>IF(ISBLANK(T245),"",VLOOKUP(T245,'Adjustment factors'!$R$27:$S$30,2,TRUE))</f>
        <v/>
      </c>
      <c r="AA245" s="297" t="str">
        <f>IF(ISBLANK(U245),"",VLOOKUP(U245,'Adjustment factors'!$R$27:$S$30,2,TRUE))</f>
        <v/>
      </c>
      <c r="AB245" s="480">
        <f t="shared" si="302"/>
        <v>1</v>
      </c>
      <c r="AC245" s="18" t="b">
        <f t="shared" si="259"/>
        <v>0</v>
      </c>
      <c r="AD245" s="18" t="b">
        <f t="shared" si="260"/>
        <v>0</v>
      </c>
      <c r="AE245" s="18" t="b">
        <f t="shared" si="327"/>
        <v>0</v>
      </c>
      <c r="AF245" s="17" t="str">
        <f t="shared" si="261"/>
        <v/>
      </c>
      <c r="AG245" s="18" t="str">
        <f t="shared" si="262"/>
        <v/>
      </c>
      <c r="AH245" s="17" t="str">
        <f t="shared" si="328"/>
        <v/>
      </c>
      <c r="AI245" s="297" t="e">
        <f t="shared" si="303"/>
        <v>#VALUE!</v>
      </c>
      <c r="AJ245" s="79" t="e">
        <f t="shared" si="263"/>
        <v>#VALUE!</v>
      </c>
      <c r="AK245" s="17" t="str">
        <f t="shared" si="329"/>
        <v/>
      </c>
      <c r="AL245" s="80" t="e">
        <f t="shared" si="264"/>
        <v>#VALUE!</v>
      </c>
      <c r="AM245" s="139" t="b">
        <f t="shared" si="265"/>
        <v>1</v>
      </c>
      <c r="AN245" s="139" t="b">
        <f>AND(COUNTA(E245)&gt;0,ISNUMBER(F245),OR(COUNT(G245:H245)=0,COUNT(G245:H245)=2,AND(ISNUMBER(G245),ISNUMBER(VALUE(LEFT(H245,SUM(LEN(H245)-LEN(SUBSTITUTE(H245,{"0","1","2","3","4","5","6","7","8","9","."},"")))))))),ISNUMBER(I245),ISTEXT(J245))</f>
        <v>0</v>
      </c>
      <c r="AO245" s="19" t="b">
        <f t="shared" si="266"/>
        <v>0</v>
      </c>
      <c r="AP245" s="19" t="b">
        <f t="shared" si="267"/>
        <v>1</v>
      </c>
      <c r="AQ245" s="19" t="b">
        <f>IF(AND(COUNTBLANK(E245:J245)=6,OR(AN246:AN$523)),NOT(AN245))</f>
        <v>0</v>
      </c>
      <c r="AR245" s="19" t="str">
        <f t="shared" si="268"/>
        <v/>
      </c>
      <c r="AS245" s="19" t="b">
        <f t="shared" si="269"/>
        <v>1</v>
      </c>
      <c r="AT245" s="19" t="str">
        <f t="shared" si="270"/>
        <v/>
      </c>
      <c r="AU245" s="19" t="b">
        <f t="shared" si="271"/>
        <v>1</v>
      </c>
      <c r="AV245" s="140" t="str">
        <f t="shared" si="311"/>
        <v/>
      </c>
      <c r="AW245" s="19" t="str">
        <f t="shared" si="272"/>
        <v/>
      </c>
      <c r="AX245" s="81">
        <f t="shared" si="273"/>
        <v>0</v>
      </c>
      <c r="AY245" s="81" t="str">
        <f t="shared" si="274"/>
        <v/>
      </c>
      <c r="AZ245" s="307" t="str">
        <f t="shared" si="304"/>
        <v/>
      </c>
      <c r="BA245" s="281" t="str">
        <f t="shared" si="312"/>
        <v/>
      </c>
      <c r="BB245" s="281" t="str">
        <f t="shared" si="313"/>
        <v/>
      </c>
      <c r="BC245" s="953"/>
      <c r="BD245" s="955"/>
      <c r="BE245" s="219" t="str">
        <f t="shared" si="275"/>
        <v>n/a</v>
      </c>
      <c r="BF245" s="215" t="b">
        <f t="shared" si="276"/>
        <v>0</v>
      </c>
      <c r="BG245" s="145" t="b">
        <f t="shared" si="277"/>
        <v>0</v>
      </c>
      <c r="BH245" s="145" t="b">
        <f t="shared" si="278"/>
        <v>0</v>
      </c>
      <c r="BI245" s="216" t="b">
        <f t="shared" si="279"/>
        <v>0</v>
      </c>
      <c r="BJ245" s="215" t="b">
        <f t="shared" si="280"/>
        <v>0</v>
      </c>
      <c r="BK245" s="145" t="b">
        <f t="shared" si="281"/>
        <v>0</v>
      </c>
      <c r="BL245" s="216" t="b">
        <f t="shared" si="282"/>
        <v>0</v>
      </c>
      <c r="BM245" s="217" t="str">
        <f t="shared" si="314"/>
        <v/>
      </c>
      <c r="BN245" s="146" t="str">
        <f t="shared" si="315"/>
        <v/>
      </c>
      <c r="BO245" s="147" t="str">
        <f t="shared" si="316"/>
        <v/>
      </c>
      <c r="BP245" s="148" t="str">
        <f t="shared" si="317"/>
        <v/>
      </c>
      <c r="BT245" s="50">
        <f t="shared" si="254"/>
        <v>222</v>
      </c>
      <c r="BU245" s="50" t="str">
        <f t="shared" si="333"/>
        <v>-</v>
      </c>
      <c r="BW245" s="333"/>
      <c r="BX245" s="333"/>
      <c r="BY245" s="333"/>
      <c r="BZ245" s="333"/>
      <c r="CA245" s="333"/>
      <c r="CB245" s="333"/>
      <c r="CC245" s="333"/>
      <c r="CD245" s="333"/>
      <c r="CE245" s="333"/>
      <c r="CF245" s="333"/>
      <c r="CG245" s="354">
        <f t="shared" si="283"/>
        <v>222</v>
      </c>
      <c r="CH245" s="613">
        <f t="shared" si="284"/>
        <v>0</v>
      </c>
      <c r="CI245" s="613">
        <f t="shared" si="285"/>
        <v>0</v>
      </c>
      <c r="CJ245" s="614" t="str">
        <f t="shared" si="286"/>
        <v/>
      </c>
      <c r="CK245" s="615" t="str">
        <f t="shared" si="287"/>
        <v/>
      </c>
      <c r="CL245" s="610" t="str">
        <f>IF(ISBLANK(H245),"",IF(AND(ISNUMBER(F245),ISNUMBER(G245),ISNUMBER(H245)),ROUND(F245/(H245*G245),2),ROUND(F245/(VALUE(LEFT(H245,SUM(LEN(H245)-LEN(SUBSTITUTE(H245,{"0","1","2","3","4","5","6","7","8","9","."},"")))))*G245),2)))</f>
        <v/>
      </c>
      <c r="CM245" s="616" t="str">
        <f t="shared" si="318"/>
        <v/>
      </c>
      <c r="CN245" s="616" t="str">
        <f>IF(ISNUMBER(P245),MAX('Adjustment factors'!$S$16,(0.2+0.8*P245)),IF(ISTEXT(N245),VLOOKUP(N245,Afactors,2,FALSE),""))</f>
        <v/>
      </c>
      <c r="CO245" s="616" t="str">
        <f>IF(ISNUMBER(S245),MAX('Adjustment factors'!$S$16,0.2+0.8*S245),IF(ISTEXT(Q245),VLOOKUP(Q245,Afactors,2,FALSE),""))</f>
        <v/>
      </c>
      <c r="CP245" s="611" t="str">
        <f t="shared" si="305"/>
        <v/>
      </c>
      <c r="CQ245" s="612" t="str">
        <f t="shared" si="306"/>
        <v/>
      </c>
      <c r="CR245" s="340"/>
      <c r="CS245" s="340"/>
      <c r="CT245" s="340"/>
      <c r="CU245" s="340"/>
      <c r="CV245" s="333"/>
      <c r="CW245" s="333"/>
      <c r="CX245" s="333"/>
      <c r="CY245" s="333"/>
      <c r="DA245" s="313" t="str">
        <f t="shared" si="288"/>
        <v>OK</v>
      </c>
      <c r="DB245" s="313" t="str">
        <f t="shared" si="289"/>
        <v>OK</v>
      </c>
      <c r="DC245" s="313" t="str">
        <f t="shared" si="290"/>
        <v>OK</v>
      </c>
      <c r="DD245" s="313" t="str">
        <f t="shared" si="291"/>
        <v>OK</v>
      </c>
      <c r="DE245" s="153" t="str">
        <f t="shared" si="292"/>
        <v>OK</v>
      </c>
      <c r="DF245" s="314" t="str">
        <f t="shared" si="293"/>
        <v>OK</v>
      </c>
      <c r="DG245" s="482" t="str">
        <f t="shared" si="307"/>
        <v>OK</v>
      </c>
      <c r="DH245" s="482" t="str">
        <f>IF(OR(AND(T245='Adjustment factors'!$R$28,'Class 3, 5-9'!U245='Adjustment factors'!$R$29),AND('Class 3, 5-9'!T245='Adjustment factors'!$R$29,'Class 3, 5-9'!U245='Adjustment factors'!$R$28)),"Invalid combination of adjustment factors",IF(AND(T245=U245,NOT(ISBLANK(T245)),NOT(ISBLANK(U245))),"Same colour factor selected twice","OK"))</f>
        <v>OK</v>
      </c>
      <c r="DI245" s="313" t="str">
        <f t="shared" si="294"/>
        <v>OK</v>
      </c>
      <c r="DJ245" s="153" t="str">
        <f t="shared" si="319"/>
        <v>OK</v>
      </c>
      <c r="DK245" s="153" t="str">
        <f t="shared" si="295"/>
        <v>OK</v>
      </c>
      <c r="DL245" s="313" t="str">
        <f t="shared" si="296"/>
        <v>OK</v>
      </c>
      <c r="DM245" s="153" t="str">
        <f t="shared" si="297"/>
        <v>OK</v>
      </c>
      <c r="DN245" s="153" t="str">
        <f t="shared" si="320"/>
        <v>OK</v>
      </c>
      <c r="DO245" s="154" t="str">
        <f t="shared" si="321"/>
        <v>OK</v>
      </c>
      <c r="DP245" s="153" t="str">
        <f t="shared" si="298"/>
        <v>OK</v>
      </c>
      <c r="DQ245" s="313" t="str">
        <f t="shared" si="299"/>
        <v>OK</v>
      </c>
      <c r="DR245" s="153" t="str">
        <f t="shared" si="322"/>
        <v>OK</v>
      </c>
      <c r="DS245" s="153" t="str">
        <f t="shared" si="300"/>
        <v>OK</v>
      </c>
      <c r="DT245" s="313" t="str">
        <f t="shared" si="335"/>
        <v>OK</v>
      </c>
      <c r="DU245" s="153" t="str">
        <f t="shared" si="301"/>
        <v>OK</v>
      </c>
      <c r="DV245" s="153" t="str">
        <f t="shared" si="323"/>
        <v>OK</v>
      </c>
      <c r="DW245" s="154" t="str">
        <f t="shared" si="324"/>
        <v>OK</v>
      </c>
      <c r="DX245" s="157">
        <f t="shared" si="325"/>
        <v>0</v>
      </c>
      <c r="DY245" s="156" t="str">
        <f t="shared" si="326"/>
        <v>OK</v>
      </c>
    </row>
    <row r="246" spans="1:129" ht="13" hidden="1" x14ac:dyDescent="0.3">
      <c r="A246" s="333"/>
      <c r="B246" s="333"/>
      <c r="C246" s="331" t="str">
        <f t="shared" si="334"/>
        <v>-</v>
      </c>
      <c r="D246" s="584">
        <f t="shared" si="253"/>
        <v>223</v>
      </c>
      <c r="E246" s="585"/>
      <c r="F246" s="586"/>
      <c r="G246" s="600"/>
      <c r="H246" s="587"/>
      <c r="I246" s="601"/>
      <c r="J246" s="585"/>
      <c r="K246" s="617"/>
      <c r="L246" s="602"/>
      <c r="M246" s="603"/>
      <c r="N246" s="588"/>
      <c r="O246" s="604"/>
      <c r="P246" s="605"/>
      <c r="Q246" s="588"/>
      <c r="R246" s="604"/>
      <c r="S246" s="605"/>
      <c r="T246" s="606"/>
      <c r="U246" s="606"/>
      <c r="V246" s="429" t="str">
        <f t="shared" si="331"/>
        <v/>
      </c>
      <c r="W246" s="430" t="str">
        <f t="shared" si="330"/>
        <v/>
      </c>
      <c r="X246" s="66" t="str">
        <f>IF(AND(ISNUMBER(P246),N246=FixedDim),MAX('Adjustment factors'!$S$16,0.2+0.8*P246),IF(ISTEXT(N246),VLOOKUP(N246,Afactors,2,TRUE),""))</f>
        <v/>
      </c>
      <c r="Y246" s="17" t="str">
        <f>IF(AND(ISNUMBER(S246),Q246=FixedDim),MAX('Adjustment factors'!$S$16,0.2+0.8*S246),IF(ISTEXT(Q246),VLOOKUP(Q246,Afactors,2,TRUE),""))</f>
        <v/>
      </c>
      <c r="Z246" s="297" t="str">
        <f>IF(ISBLANK(T246),"",VLOOKUP(T246,'Adjustment factors'!$R$27:$S$30,2,TRUE))</f>
        <v/>
      </c>
      <c r="AA246" s="297" t="str">
        <f>IF(ISBLANK(U246),"",VLOOKUP(U246,'Adjustment factors'!$R$27:$S$30,2,TRUE))</f>
        <v/>
      </c>
      <c r="AB246" s="480">
        <f t="shared" si="302"/>
        <v>1</v>
      </c>
      <c r="AC246" s="18" t="b">
        <f t="shared" si="259"/>
        <v>0</v>
      </c>
      <c r="AD246" s="18" t="b">
        <f t="shared" si="260"/>
        <v>0</v>
      </c>
      <c r="AE246" s="18" t="b">
        <f t="shared" si="327"/>
        <v>0</v>
      </c>
      <c r="AF246" s="17" t="str">
        <f t="shared" si="261"/>
        <v/>
      </c>
      <c r="AG246" s="18" t="str">
        <f t="shared" si="262"/>
        <v/>
      </c>
      <c r="AH246" s="17" t="str">
        <f t="shared" si="328"/>
        <v/>
      </c>
      <c r="AI246" s="297" t="e">
        <f t="shared" si="303"/>
        <v>#VALUE!</v>
      </c>
      <c r="AJ246" s="79" t="e">
        <f t="shared" si="263"/>
        <v>#VALUE!</v>
      </c>
      <c r="AK246" s="17" t="str">
        <f t="shared" si="329"/>
        <v/>
      </c>
      <c r="AL246" s="80" t="e">
        <f t="shared" si="264"/>
        <v>#VALUE!</v>
      </c>
      <c r="AM246" s="139" t="b">
        <f t="shared" si="265"/>
        <v>1</v>
      </c>
      <c r="AN246" s="139" t="b">
        <f>AND(COUNTA(E246)&gt;0,ISNUMBER(F246),OR(COUNT(G246:H246)=0,COUNT(G246:H246)=2,AND(ISNUMBER(G246),ISNUMBER(VALUE(LEFT(H246,SUM(LEN(H246)-LEN(SUBSTITUTE(H246,{"0","1","2","3","4","5","6","7","8","9","."},"")))))))),ISNUMBER(I246),ISTEXT(J246))</f>
        <v>0</v>
      </c>
      <c r="AO246" s="19" t="b">
        <f t="shared" si="266"/>
        <v>0</v>
      </c>
      <c r="AP246" s="19" t="b">
        <f t="shared" si="267"/>
        <v>1</v>
      </c>
      <c r="AQ246" s="19" t="b">
        <f>IF(AND(COUNTBLANK(E246:J246)=6,OR(AN247:AN$523)),NOT(AN246))</f>
        <v>0</v>
      </c>
      <c r="AR246" s="19" t="str">
        <f t="shared" si="268"/>
        <v/>
      </c>
      <c r="AS246" s="19" t="b">
        <f t="shared" si="269"/>
        <v>1</v>
      </c>
      <c r="AT246" s="19" t="str">
        <f t="shared" si="270"/>
        <v/>
      </c>
      <c r="AU246" s="19" t="b">
        <f t="shared" si="271"/>
        <v>1</v>
      </c>
      <c r="AV246" s="140" t="str">
        <f t="shared" si="311"/>
        <v/>
      </c>
      <c r="AW246" s="19" t="str">
        <f t="shared" si="272"/>
        <v/>
      </c>
      <c r="AX246" s="81">
        <f t="shared" si="273"/>
        <v>0</v>
      </c>
      <c r="AY246" s="81" t="str">
        <f t="shared" si="274"/>
        <v/>
      </c>
      <c r="AZ246" s="307" t="str">
        <f t="shared" si="304"/>
        <v/>
      </c>
      <c r="BA246" s="281" t="str">
        <f t="shared" si="312"/>
        <v/>
      </c>
      <c r="BB246" s="281" t="str">
        <f t="shared" si="313"/>
        <v/>
      </c>
      <c r="BC246" s="953"/>
      <c r="BD246" s="955"/>
      <c r="BE246" s="219" t="str">
        <f t="shared" si="275"/>
        <v>n/a</v>
      </c>
      <c r="BF246" s="215" t="b">
        <f t="shared" si="276"/>
        <v>0</v>
      </c>
      <c r="BG246" s="145" t="b">
        <f t="shared" si="277"/>
        <v>0</v>
      </c>
      <c r="BH246" s="145" t="b">
        <f t="shared" si="278"/>
        <v>0</v>
      </c>
      <c r="BI246" s="216" t="b">
        <f t="shared" si="279"/>
        <v>0</v>
      </c>
      <c r="BJ246" s="215" t="b">
        <f t="shared" si="280"/>
        <v>0</v>
      </c>
      <c r="BK246" s="145" t="b">
        <f t="shared" si="281"/>
        <v>0</v>
      </c>
      <c r="BL246" s="216" t="b">
        <f t="shared" si="282"/>
        <v>0</v>
      </c>
      <c r="BM246" s="217" t="str">
        <f t="shared" si="314"/>
        <v/>
      </c>
      <c r="BN246" s="146" t="str">
        <f t="shared" si="315"/>
        <v/>
      </c>
      <c r="BO246" s="147" t="str">
        <f t="shared" si="316"/>
        <v/>
      </c>
      <c r="BP246" s="148" t="str">
        <f t="shared" si="317"/>
        <v/>
      </c>
      <c r="BT246" s="50">
        <f t="shared" si="254"/>
        <v>223</v>
      </c>
      <c r="BU246" s="50" t="str">
        <f t="shared" si="333"/>
        <v>-</v>
      </c>
      <c r="BW246" s="333"/>
      <c r="BX246" s="333"/>
      <c r="BY246" s="333"/>
      <c r="BZ246" s="333"/>
      <c r="CA246" s="333"/>
      <c r="CB246" s="333"/>
      <c r="CC246" s="333"/>
      <c r="CD246" s="333"/>
      <c r="CE246" s="333"/>
      <c r="CF246" s="333"/>
      <c r="CG246" s="354">
        <f t="shared" si="283"/>
        <v>223</v>
      </c>
      <c r="CH246" s="613">
        <f t="shared" si="284"/>
        <v>0</v>
      </c>
      <c r="CI246" s="613">
        <f t="shared" si="285"/>
        <v>0</v>
      </c>
      <c r="CJ246" s="614" t="str">
        <f t="shared" si="286"/>
        <v/>
      </c>
      <c r="CK246" s="615" t="str">
        <f t="shared" si="287"/>
        <v/>
      </c>
      <c r="CL246" s="610" t="str">
        <f>IF(ISBLANK(H246),"",IF(AND(ISNUMBER(F246),ISNUMBER(G246),ISNUMBER(H246)),ROUND(F246/(H246*G246),2),ROUND(F246/(VALUE(LEFT(H246,SUM(LEN(H246)-LEN(SUBSTITUTE(H246,{"0","1","2","3","4","5","6","7","8","9","."},"")))))*G246),2)))</f>
        <v/>
      </c>
      <c r="CM246" s="616" t="str">
        <f t="shared" si="318"/>
        <v/>
      </c>
      <c r="CN246" s="616" t="str">
        <f>IF(ISNUMBER(P246),MAX('Adjustment factors'!$S$16,(0.2+0.8*P246)),IF(ISTEXT(N246),VLOOKUP(N246,Afactors,2,FALSE),""))</f>
        <v/>
      </c>
      <c r="CO246" s="616" t="str">
        <f>IF(ISNUMBER(S246),MAX('Adjustment factors'!$S$16,0.2+0.8*S246),IF(ISTEXT(Q246),VLOOKUP(Q246,Afactors,2,FALSE),""))</f>
        <v/>
      </c>
      <c r="CP246" s="611" t="str">
        <f t="shared" si="305"/>
        <v/>
      </c>
      <c r="CQ246" s="612" t="str">
        <f t="shared" si="306"/>
        <v/>
      </c>
      <c r="CR246" s="340"/>
      <c r="CS246" s="340"/>
      <c r="CT246" s="340"/>
      <c r="CU246" s="340"/>
      <c r="CV246" s="333"/>
      <c r="CW246" s="333"/>
      <c r="CX246" s="333"/>
      <c r="CY246" s="333"/>
      <c r="DA246" s="313" t="str">
        <f t="shared" si="288"/>
        <v>OK</v>
      </c>
      <c r="DB246" s="313" t="str">
        <f t="shared" si="289"/>
        <v>OK</v>
      </c>
      <c r="DC246" s="313" t="str">
        <f t="shared" si="290"/>
        <v>OK</v>
      </c>
      <c r="DD246" s="313" t="str">
        <f t="shared" si="291"/>
        <v>OK</v>
      </c>
      <c r="DE246" s="153" t="str">
        <f t="shared" si="292"/>
        <v>OK</v>
      </c>
      <c r="DF246" s="314" t="str">
        <f t="shared" si="293"/>
        <v>OK</v>
      </c>
      <c r="DG246" s="482" t="str">
        <f t="shared" si="307"/>
        <v>OK</v>
      </c>
      <c r="DH246" s="482" t="str">
        <f>IF(OR(AND(T246='Adjustment factors'!$R$28,'Class 3, 5-9'!U246='Adjustment factors'!$R$29),AND('Class 3, 5-9'!T246='Adjustment factors'!$R$29,'Class 3, 5-9'!U246='Adjustment factors'!$R$28)),"Invalid combination of adjustment factors",IF(AND(T246=U246,NOT(ISBLANK(T246)),NOT(ISBLANK(U246))),"Same colour factor selected twice","OK"))</f>
        <v>OK</v>
      </c>
      <c r="DI246" s="313" t="str">
        <f t="shared" si="294"/>
        <v>OK</v>
      </c>
      <c r="DJ246" s="153" t="str">
        <f t="shared" si="319"/>
        <v>OK</v>
      </c>
      <c r="DK246" s="153" t="str">
        <f t="shared" si="295"/>
        <v>OK</v>
      </c>
      <c r="DL246" s="313" t="str">
        <f t="shared" si="296"/>
        <v>OK</v>
      </c>
      <c r="DM246" s="153" t="str">
        <f t="shared" si="297"/>
        <v>OK</v>
      </c>
      <c r="DN246" s="153" t="str">
        <f t="shared" si="320"/>
        <v>OK</v>
      </c>
      <c r="DO246" s="154" t="str">
        <f t="shared" si="321"/>
        <v>OK</v>
      </c>
      <c r="DP246" s="153" t="str">
        <f t="shared" si="298"/>
        <v>OK</v>
      </c>
      <c r="DQ246" s="313" t="str">
        <f t="shared" si="299"/>
        <v>OK</v>
      </c>
      <c r="DR246" s="153" t="str">
        <f t="shared" si="322"/>
        <v>OK</v>
      </c>
      <c r="DS246" s="153" t="str">
        <f t="shared" si="300"/>
        <v>OK</v>
      </c>
      <c r="DT246" s="313" t="str">
        <f t="shared" si="335"/>
        <v>OK</v>
      </c>
      <c r="DU246" s="153" t="str">
        <f t="shared" si="301"/>
        <v>OK</v>
      </c>
      <c r="DV246" s="153" t="str">
        <f t="shared" si="323"/>
        <v>OK</v>
      </c>
      <c r="DW246" s="154" t="str">
        <f t="shared" si="324"/>
        <v>OK</v>
      </c>
      <c r="DX246" s="157">
        <f t="shared" si="325"/>
        <v>0</v>
      </c>
      <c r="DY246" s="156" t="str">
        <f t="shared" si="326"/>
        <v>OK</v>
      </c>
    </row>
    <row r="247" spans="1:129" ht="13" hidden="1" x14ac:dyDescent="0.3">
      <c r="A247" s="333"/>
      <c r="B247" s="333"/>
      <c r="C247" s="331" t="str">
        <f t="shared" si="334"/>
        <v>-</v>
      </c>
      <c r="D247" s="584">
        <f t="shared" si="253"/>
        <v>224</v>
      </c>
      <c r="E247" s="585"/>
      <c r="F247" s="586"/>
      <c r="G247" s="600"/>
      <c r="H247" s="587"/>
      <c r="I247" s="601"/>
      <c r="J247" s="585"/>
      <c r="K247" s="617"/>
      <c r="L247" s="602"/>
      <c r="M247" s="603"/>
      <c r="N247" s="588"/>
      <c r="O247" s="604"/>
      <c r="P247" s="605"/>
      <c r="Q247" s="588"/>
      <c r="R247" s="604"/>
      <c r="S247" s="605"/>
      <c r="T247" s="606"/>
      <c r="U247" s="606"/>
      <c r="V247" s="429" t="str">
        <f t="shared" si="331"/>
        <v/>
      </c>
      <c r="W247" s="430" t="str">
        <f t="shared" si="330"/>
        <v/>
      </c>
      <c r="X247" s="66" t="str">
        <f>IF(AND(ISNUMBER(P247),N247=FixedDim),MAX('Adjustment factors'!$S$16,0.2+0.8*P247),IF(ISTEXT(N247),VLOOKUP(N247,Afactors,2,TRUE),""))</f>
        <v/>
      </c>
      <c r="Y247" s="17" t="str">
        <f>IF(AND(ISNUMBER(S247),Q247=FixedDim),MAX('Adjustment factors'!$S$16,0.2+0.8*S247),IF(ISTEXT(Q247),VLOOKUP(Q247,Afactors,2,TRUE),""))</f>
        <v/>
      </c>
      <c r="Z247" s="297" t="str">
        <f>IF(ISBLANK(T247),"",VLOOKUP(T247,'Adjustment factors'!$R$27:$S$30,2,TRUE))</f>
        <v/>
      </c>
      <c r="AA247" s="297" t="str">
        <f>IF(ISBLANK(U247),"",VLOOKUP(U247,'Adjustment factors'!$R$27:$S$30,2,TRUE))</f>
        <v/>
      </c>
      <c r="AB247" s="480">
        <f t="shared" si="302"/>
        <v>1</v>
      </c>
      <c r="AC247" s="18" t="b">
        <f t="shared" si="259"/>
        <v>0</v>
      </c>
      <c r="AD247" s="18" t="b">
        <f t="shared" si="260"/>
        <v>0</v>
      </c>
      <c r="AE247" s="18" t="b">
        <f t="shared" si="327"/>
        <v>0</v>
      </c>
      <c r="AF247" s="17" t="str">
        <f t="shared" si="261"/>
        <v/>
      </c>
      <c r="AG247" s="18" t="str">
        <f t="shared" si="262"/>
        <v/>
      </c>
      <c r="AH247" s="17" t="str">
        <f t="shared" si="328"/>
        <v/>
      </c>
      <c r="AI247" s="297" t="e">
        <f t="shared" si="303"/>
        <v>#VALUE!</v>
      </c>
      <c r="AJ247" s="79" t="e">
        <f t="shared" si="263"/>
        <v>#VALUE!</v>
      </c>
      <c r="AK247" s="17" t="str">
        <f t="shared" si="329"/>
        <v/>
      </c>
      <c r="AL247" s="80" t="e">
        <f t="shared" si="264"/>
        <v>#VALUE!</v>
      </c>
      <c r="AM247" s="139" t="b">
        <f t="shared" si="265"/>
        <v>1</v>
      </c>
      <c r="AN247" s="139" t="b">
        <f>AND(COUNTA(E247)&gt;0,ISNUMBER(F247),OR(COUNT(G247:H247)=0,COUNT(G247:H247)=2,AND(ISNUMBER(G247),ISNUMBER(VALUE(LEFT(H247,SUM(LEN(H247)-LEN(SUBSTITUTE(H247,{"0","1","2","3","4","5","6","7","8","9","."},"")))))))),ISNUMBER(I247),ISTEXT(J247))</f>
        <v>0</v>
      </c>
      <c r="AO247" s="19" t="b">
        <f t="shared" si="266"/>
        <v>0</v>
      </c>
      <c r="AP247" s="19" t="b">
        <f t="shared" si="267"/>
        <v>1</v>
      </c>
      <c r="AQ247" s="19" t="b">
        <f>IF(AND(COUNTBLANK(E247:J247)=6,OR(AN248:AN$523)),NOT(AN247))</f>
        <v>0</v>
      </c>
      <c r="AR247" s="19" t="str">
        <f t="shared" si="268"/>
        <v/>
      </c>
      <c r="AS247" s="19" t="b">
        <f t="shared" si="269"/>
        <v>1</v>
      </c>
      <c r="AT247" s="19" t="str">
        <f t="shared" si="270"/>
        <v/>
      </c>
      <c r="AU247" s="19" t="b">
        <f t="shared" si="271"/>
        <v>1</v>
      </c>
      <c r="AV247" s="140" t="str">
        <f t="shared" si="311"/>
        <v/>
      </c>
      <c r="AW247" s="19" t="str">
        <f t="shared" si="272"/>
        <v/>
      </c>
      <c r="AX247" s="81">
        <f t="shared" si="273"/>
        <v>0</v>
      </c>
      <c r="AY247" s="81" t="str">
        <f t="shared" si="274"/>
        <v/>
      </c>
      <c r="AZ247" s="307" t="str">
        <f t="shared" si="304"/>
        <v/>
      </c>
      <c r="BA247" s="281" t="str">
        <f t="shared" si="312"/>
        <v/>
      </c>
      <c r="BB247" s="281" t="str">
        <f t="shared" si="313"/>
        <v/>
      </c>
      <c r="BC247" s="953"/>
      <c r="BD247" s="955"/>
      <c r="BE247" s="219" t="str">
        <f t="shared" si="275"/>
        <v>n/a</v>
      </c>
      <c r="BF247" s="215" t="b">
        <f t="shared" si="276"/>
        <v>0</v>
      </c>
      <c r="BG247" s="145" t="b">
        <f t="shared" si="277"/>
        <v>0</v>
      </c>
      <c r="BH247" s="145" t="b">
        <f t="shared" si="278"/>
        <v>0</v>
      </c>
      <c r="BI247" s="216" t="b">
        <f t="shared" si="279"/>
        <v>0</v>
      </c>
      <c r="BJ247" s="215" t="b">
        <f t="shared" si="280"/>
        <v>0</v>
      </c>
      <c r="BK247" s="145" t="b">
        <f t="shared" si="281"/>
        <v>0</v>
      </c>
      <c r="BL247" s="216" t="b">
        <f t="shared" si="282"/>
        <v>0</v>
      </c>
      <c r="BM247" s="217" t="str">
        <f t="shared" si="314"/>
        <v/>
      </c>
      <c r="BN247" s="146" t="str">
        <f t="shared" si="315"/>
        <v/>
      </c>
      <c r="BO247" s="147" t="str">
        <f t="shared" si="316"/>
        <v/>
      </c>
      <c r="BP247" s="148" t="str">
        <f t="shared" si="317"/>
        <v/>
      </c>
      <c r="BT247" s="50">
        <f t="shared" si="254"/>
        <v>224</v>
      </c>
      <c r="BU247" s="50" t="str">
        <f t="shared" si="333"/>
        <v>-</v>
      </c>
      <c r="BW247" s="333"/>
      <c r="BX247" s="333"/>
      <c r="BY247" s="333"/>
      <c r="BZ247" s="333"/>
      <c r="CA247" s="333"/>
      <c r="CB247" s="333"/>
      <c r="CC247" s="333"/>
      <c r="CD247" s="333"/>
      <c r="CE247" s="333"/>
      <c r="CF247" s="333"/>
      <c r="CG247" s="354">
        <f t="shared" si="283"/>
        <v>224</v>
      </c>
      <c r="CH247" s="613">
        <f t="shared" si="284"/>
        <v>0</v>
      </c>
      <c r="CI247" s="613">
        <f t="shared" si="285"/>
        <v>0</v>
      </c>
      <c r="CJ247" s="614" t="str">
        <f t="shared" si="286"/>
        <v/>
      </c>
      <c r="CK247" s="615" t="str">
        <f t="shared" si="287"/>
        <v/>
      </c>
      <c r="CL247" s="610" t="str">
        <f>IF(ISBLANK(H247),"",IF(AND(ISNUMBER(F247),ISNUMBER(G247),ISNUMBER(H247)),ROUND(F247/(H247*G247),2),ROUND(F247/(VALUE(LEFT(H247,SUM(LEN(H247)-LEN(SUBSTITUTE(H247,{"0","1","2","3","4","5","6","7","8","9","."},"")))))*G247),2)))</f>
        <v/>
      </c>
      <c r="CM247" s="616" t="str">
        <f t="shared" si="318"/>
        <v/>
      </c>
      <c r="CN247" s="616" t="str">
        <f>IF(ISNUMBER(P247),MAX('Adjustment factors'!$S$16,(0.2+0.8*P247)),IF(ISTEXT(N247),VLOOKUP(N247,Afactors,2,FALSE),""))</f>
        <v/>
      </c>
      <c r="CO247" s="616" t="str">
        <f>IF(ISNUMBER(S247),MAX('Adjustment factors'!$S$16,0.2+0.8*S247),IF(ISTEXT(Q247),VLOOKUP(Q247,Afactors,2,FALSE),""))</f>
        <v/>
      </c>
      <c r="CP247" s="611" t="str">
        <f t="shared" si="305"/>
        <v/>
      </c>
      <c r="CQ247" s="612" t="str">
        <f t="shared" si="306"/>
        <v/>
      </c>
      <c r="CR247" s="340"/>
      <c r="CS247" s="340"/>
      <c r="CT247" s="340"/>
      <c r="CU247" s="340"/>
      <c r="CV247" s="333"/>
      <c r="CW247" s="333"/>
      <c r="CX247" s="333"/>
      <c r="CY247" s="333"/>
      <c r="DA247" s="313" t="str">
        <f t="shared" si="288"/>
        <v>OK</v>
      </c>
      <c r="DB247" s="313" t="str">
        <f t="shared" si="289"/>
        <v>OK</v>
      </c>
      <c r="DC247" s="313" t="str">
        <f t="shared" si="290"/>
        <v>OK</v>
      </c>
      <c r="DD247" s="313" t="str">
        <f t="shared" si="291"/>
        <v>OK</v>
      </c>
      <c r="DE247" s="153" t="str">
        <f t="shared" si="292"/>
        <v>OK</v>
      </c>
      <c r="DF247" s="314" t="str">
        <f t="shared" si="293"/>
        <v>OK</v>
      </c>
      <c r="DG247" s="482" t="str">
        <f t="shared" si="307"/>
        <v>OK</v>
      </c>
      <c r="DH247" s="482" t="str">
        <f>IF(OR(AND(T247='Adjustment factors'!$R$28,'Class 3, 5-9'!U247='Adjustment factors'!$R$29),AND('Class 3, 5-9'!T247='Adjustment factors'!$R$29,'Class 3, 5-9'!U247='Adjustment factors'!$R$28)),"Invalid combination of adjustment factors",IF(AND(T247=U247,NOT(ISBLANK(T247)),NOT(ISBLANK(U247))),"Same colour factor selected twice","OK"))</f>
        <v>OK</v>
      </c>
      <c r="DI247" s="313" t="str">
        <f t="shared" si="294"/>
        <v>OK</v>
      </c>
      <c r="DJ247" s="153" t="str">
        <f t="shared" si="319"/>
        <v>OK</v>
      </c>
      <c r="DK247" s="153" t="str">
        <f t="shared" si="295"/>
        <v>OK</v>
      </c>
      <c r="DL247" s="313" t="str">
        <f t="shared" si="296"/>
        <v>OK</v>
      </c>
      <c r="DM247" s="153" t="str">
        <f t="shared" si="297"/>
        <v>OK</v>
      </c>
      <c r="DN247" s="153" t="str">
        <f t="shared" si="320"/>
        <v>OK</v>
      </c>
      <c r="DO247" s="154" t="str">
        <f t="shared" si="321"/>
        <v>OK</v>
      </c>
      <c r="DP247" s="153" t="str">
        <f t="shared" si="298"/>
        <v>OK</v>
      </c>
      <c r="DQ247" s="313" t="str">
        <f t="shared" si="299"/>
        <v>OK</v>
      </c>
      <c r="DR247" s="153" t="str">
        <f t="shared" si="322"/>
        <v>OK</v>
      </c>
      <c r="DS247" s="153" t="str">
        <f t="shared" si="300"/>
        <v>OK</v>
      </c>
      <c r="DT247" s="313" t="str">
        <f t="shared" si="335"/>
        <v>OK</v>
      </c>
      <c r="DU247" s="153" t="str">
        <f t="shared" si="301"/>
        <v>OK</v>
      </c>
      <c r="DV247" s="153" t="str">
        <f t="shared" si="323"/>
        <v>OK</v>
      </c>
      <c r="DW247" s="154" t="str">
        <f t="shared" si="324"/>
        <v>OK</v>
      </c>
      <c r="DX247" s="157">
        <f t="shared" si="325"/>
        <v>0</v>
      </c>
      <c r="DY247" s="156" t="str">
        <f t="shared" si="326"/>
        <v>OK</v>
      </c>
    </row>
    <row r="248" spans="1:129" ht="13" hidden="1" x14ac:dyDescent="0.3">
      <c r="A248" s="333"/>
      <c r="B248" s="333"/>
      <c r="C248" s="331" t="str">
        <f t="shared" si="334"/>
        <v>-</v>
      </c>
      <c r="D248" s="584">
        <f t="shared" si="253"/>
        <v>225</v>
      </c>
      <c r="E248" s="585"/>
      <c r="F248" s="586"/>
      <c r="G248" s="600"/>
      <c r="H248" s="587"/>
      <c r="I248" s="601"/>
      <c r="J248" s="585"/>
      <c r="K248" s="617"/>
      <c r="L248" s="602"/>
      <c r="M248" s="603"/>
      <c r="N248" s="588"/>
      <c r="O248" s="604"/>
      <c r="P248" s="605"/>
      <c r="Q248" s="588"/>
      <c r="R248" s="604"/>
      <c r="S248" s="605"/>
      <c r="T248" s="606"/>
      <c r="U248" s="606"/>
      <c r="V248" s="429" t="str">
        <f t="shared" si="331"/>
        <v/>
      </c>
      <c r="W248" s="430" t="str">
        <f t="shared" si="330"/>
        <v/>
      </c>
      <c r="X248" s="66" t="str">
        <f>IF(AND(ISNUMBER(P248),N248=FixedDim),MAX('Adjustment factors'!$S$16,0.2+0.8*P248),IF(ISTEXT(N248),VLOOKUP(N248,Afactors,2,TRUE),""))</f>
        <v/>
      </c>
      <c r="Y248" s="17" t="str">
        <f>IF(AND(ISNUMBER(S248),Q248=FixedDim),MAX('Adjustment factors'!$S$16,0.2+0.8*S248),IF(ISTEXT(Q248),VLOOKUP(Q248,Afactors,2,TRUE),""))</f>
        <v/>
      </c>
      <c r="Z248" s="297" t="str">
        <f>IF(ISBLANK(T248),"",VLOOKUP(T248,'Adjustment factors'!$R$27:$S$30,2,TRUE))</f>
        <v/>
      </c>
      <c r="AA248" s="297" t="str">
        <f>IF(ISBLANK(U248),"",VLOOKUP(U248,'Adjustment factors'!$R$27:$S$30,2,TRUE))</f>
        <v/>
      </c>
      <c r="AB248" s="480">
        <f t="shared" si="302"/>
        <v>1</v>
      </c>
      <c r="AC248" s="18" t="b">
        <f t="shared" si="259"/>
        <v>0</v>
      </c>
      <c r="AD248" s="18" t="b">
        <f t="shared" si="260"/>
        <v>0</v>
      </c>
      <c r="AE248" s="18" t="b">
        <f t="shared" si="327"/>
        <v>0</v>
      </c>
      <c r="AF248" s="17" t="str">
        <f t="shared" si="261"/>
        <v/>
      </c>
      <c r="AG248" s="18" t="str">
        <f t="shared" si="262"/>
        <v/>
      </c>
      <c r="AH248" s="17" t="str">
        <f t="shared" si="328"/>
        <v/>
      </c>
      <c r="AI248" s="297" t="e">
        <f t="shared" si="303"/>
        <v>#VALUE!</v>
      </c>
      <c r="AJ248" s="79" t="e">
        <f t="shared" si="263"/>
        <v>#VALUE!</v>
      </c>
      <c r="AK248" s="17" t="str">
        <f t="shared" si="329"/>
        <v/>
      </c>
      <c r="AL248" s="80" t="e">
        <f t="shared" si="264"/>
        <v>#VALUE!</v>
      </c>
      <c r="AM248" s="139" t="b">
        <f t="shared" si="265"/>
        <v>1</v>
      </c>
      <c r="AN248" s="139" t="b">
        <f>AND(COUNTA(E248)&gt;0,ISNUMBER(F248),OR(COUNT(G248:H248)=0,COUNT(G248:H248)=2,AND(ISNUMBER(G248),ISNUMBER(VALUE(LEFT(H248,SUM(LEN(H248)-LEN(SUBSTITUTE(H248,{"0","1","2","3","4","5","6","7","8","9","."},"")))))))),ISNUMBER(I248),ISTEXT(J248))</f>
        <v>0</v>
      </c>
      <c r="AO248" s="19" t="b">
        <f t="shared" si="266"/>
        <v>0</v>
      </c>
      <c r="AP248" s="19" t="b">
        <f t="shared" si="267"/>
        <v>1</v>
      </c>
      <c r="AQ248" s="19" t="b">
        <f>IF(AND(COUNTBLANK(E248:J248)=6,OR(AN249:AN$523)),NOT(AN248))</f>
        <v>0</v>
      </c>
      <c r="AR248" s="19" t="str">
        <f t="shared" si="268"/>
        <v/>
      </c>
      <c r="AS248" s="19" t="b">
        <f t="shared" si="269"/>
        <v>1</v>
      </c>
      <c r="AT248" s="19" t="str">
        <f t="shared" si="270"/>
        <v/>
      </c>
      <c r="AU248" s="19" t="b">
        <f t="shared" si="271"/>
        <v>1</v>
      </c>
      <c r="AV248" s="140" t="str">
        <f t="shared" si="311"/>
        <v/>
      </c>
      <c r="AW248" s="19" t="str">
        <f t="shared" si="272"/>
        <v/>
      </c>
      <c r="AX248" s="81">
        <f t="shared" si="273"/>
        <v>0</v>
      </c>
      <c r="AY248" s="81" t="str">
        <f t="shared" si="274"/>
        <v/>
      </c>
      <c r="AZ248" s="307" t="str">
        <f t="shared" si="304"/>
        <v/>
      </c>
      <c r="BA248" s="281" t="str">
        <f t="shared" si="312"/>
        <v/>
      </c>
      <c r="BB248" s="281" t="str">
        <f t="shared" si="313"/>
        <v/>
      </c>
      <c r="BC248" s="953"/>
      <c r="BD248" s="955"/>
      <c r="BE248" s="219" t="str">
        <f t="shared" si="275"/>
        <v>n/a</v>
      </c>
      <c r="BF248" s="215" t="b">
        <f t="shared" si="276"/>
        <v>0</v>
      </c>
      <c r="BG248" s="145" t="b">
        <f t="shared" si="277"/>
        <v>0</v>
      </c>
      <c r="BH248" s="145" t="b">
        <f t="shared" si="278"/>
        <v>0</v>
      </c>
      <c r="BI248" s="216" t="b">
        <f t="shared" si="279"/>
        <v>0</v>
      </c>
      <c r="BJ248" s="215" t="b">
        <f t="shared" si="280"/>
        <v>0</v>
      </c>
      <c r="BK248" s="145" t="b">
        <f t="shared" si="281"/>
        <v>0</v>
      </c>
      <c r="BL248" s="216" t="b">
        <f t="shared" si="282"/>
        <v>0</v>
      </c>
      <c r="BM248" s="217" t="str">
        <f t="shared" si="314"/>
        <v/>
      </c>
      <c r="BN248" s="146" t="str">
        <f t="shared" si="315"/>
        <v/>
      </c>
      <c r="BO248" s="147" t="str">
        <f t="shared" si="316"/>
        <v/>
      </c>
      <c r="BP248" s="148" t="str">
        <f t="shared" si="317"/>
        <v/>
      </c>
      <c r="BT248" s="50">
        <f t="shared" si="254"/>
        <v>225</v>
      </c>
      <c r="BU248" s="50" t="str">
        <f t="shared" si="333"/>
        <v>-</v>
      </c>
      <c r="BW248" s="333"/>
      <c r="BX248" s="333"/>
      <c r="BY248" s="333"/>
      <c r="BZ248" s="333"/>
      <c r="CA248" s="333"/>
      <c r="CB248" s="333"/>
      <c r="CC248" s="333"/>
      <c r="CD248" s="333"/>
      <c r="CE248" s="333"/>
      <c r="CF248" s="333"/>
      <c r="CG248" s="354">
        <f t="shared" si="283"/>
        <v>225</v>
      </c>
      <c r="CH248" s="613">
        <f t="shared" si="284"/>
        <v>0</v>
      </c>
      <c r="CI248" s="613">
        <f t="shared" si="285"/>
        <v>0</v>
      </c>
      <c r="CJ248" s="614" t="str">
        <f t="shared" si="286"/>
        <v/>
      </c>
      <c r="CK248" s="615" t="str">
        <f t="shared" si="287"/>
        <v/>
      </c>
      <c r="CL248" s="610" t="str">
        <f>IF(ISBLANK(H248),"",IF(AND(ISNUMBER(F248),ISNUMBER(G248),ISNUMBER(H248)),ROUND(F248/(H248*G248),2),ROUND(F248/(VALUE(LEFT(H248,SUM(LEN(H248)-LEN(SUBSTITUTE(H248,{"0","1","2","3","4","5","6","7","8","9","."},"")))))*G248),2)))</f>
        <v/>
      </c>
      <c r="CM248" s="616" t="str">
        <f t="shared" si="318"/>
        <v/>
      </c>
      <c r="CN248" s="616" t="str">
        <f>IF(ISNUMBER(P248),MAX('Adjustment factors'!$S$16,(0.2+0.8*P248)),IF(ISTEXT(N248),VLOOKUP(N248,Afactors,2,FALSE),""))</f>
        <v/>
      </c>
      <c r="CO248" s="616" t="str">
        <f>IF(ISNUMBER(S248),MAX('Adjustment factors'!$S$16,0.2+0.8*S248),IF(ISTEXT(Q248),VLOOKUP(Q248,Afactors,2,FALSE),""))</f>
        <v/>
      </c>
      <c r="CP248" s="611" t="str">
        <f t="shared" si="305"/>
        <v/>
      </c>
      <c r="CQ248" s="612" t="str">
        <f t="shared" si="306"/>
        <v/>
      </c>
      <c r="CR248" s="340"/>
      <c r="CS248" s="340"/>
      <c r="CT248" s="340"/>
      <c r="CU248" s="340"/>
      <c r="CV248" s="333"/>
      <c r="CW248" s="333"/>
      <c r="CX248" s="333"/>
      <c r="CY248" s="333"/>
      <c r="DA248" s="313" t="str">
        <f t="shared" si="288"/>
        <v>OK</v>
      </c>
      <c r="DB248" s="313" t="str">
        <f t="shared" si="289"/>
        <v>OK</v>
      </c>
      <c r="DC248" s="313" t="str">
        <f t="shared" si="290"/>
        <v>OK</v>
      </c>
      <c r="DD248" s="313" t="str">
        <f t="shared" si="291"/>
        <v>OK</v>
      </c>
      <c r="DE248" s="153" t="str">
        <f t="shared" si="292"/>
        <v>OK</v>
      </c>
      <c r="DF248" s="314" t="str">
        <f t="shared" si="293"/>
        <v>OK</v>
      </c>
      <c r="DG248" s="482" t="str">
        <f t="shared" si="307"/>
        <v>OK</v>
      </c>
      <c r="DH248" s="482" t="str">
        <f>IF(OR(AND(T248='Adjustment factors'!$R$28,'Class 3, 5-9'!U248='Adjustment factors'!$R$29),AND('Class 3, 5-9'!T248='Adjustment factors'!$R$29,'Class 3, 5-9'!U248='Adjustment factors'!$R$28)),"Invalid combination of adjustment factors",IF(AND(T248=U248,NOT(ISBLANK(T248)),NOT(ISBLANK(U248))),"Same colour factor selected twice","OK"))</f>
        <v>OK</v>
      </c>
      <c r="DI248" s="313" t="str">
        <f t="shared" si="294"/>
        <v>OK</v>
      </c>
      <c r="DJ248" s="153" t="str">
        <f t="shared" si="319"/>
        <v>OK</v>
      </c>
      <c r="DK248" s="153" t="str">
        <f t="shared" si="295"/>
        <v>OK</v>
      </c>
      <c r="DL248" s="313" t="str">
        <f t="shared" si="296"/>
        <v>OK</v>
      </c>
      <c r="DM248" s="153" t="str">
        <f t="shared" si="297"/>
        <v>OK</v>
      </c>
      <c r="DN248" s="153" t="str">
        <f t="shared" si="320"/>
        <v>OK</v>
      </c>
      <c r="DO248" s="154" t="str">
        <f t="shared" si="321"/>
        <v>OK</v>
      </c>
      <c r="DP248" s="153" t="str">
        <f t="shared" si="298"/>
        <v>OK</v>
      </c>
      <c r="DQ248" s="313" t="str">
        <f t="shared" si="299"/>
        <v>OK</v>
      </c>
      <c r="DR248" s="153" t="str">
        <f t="shared" si="322"/>
        <v>OK</v>
      </c>
      <c r="DS248" s="153" t="str">
        <f t="shared" si="300"/>
        <v>OK</v>
      </c>
      <c r="DT248" s="313" t="str">
        <f t="shared" si="335"/>
        <v>OK</v>
      </c>
      <c r="DU248" s="153" t="str">
        <f t="shared" si="301"/>
        <v>OK</v>
      </c>
      <c r="DV248" s="153" t="str">
        <f t="shared" si="323"/>
        <v>OK</v>
      </c>
      <c r="DW248" s="154" t="str">
        <f t="shared" si="324"/>
        <v>OK</v>
      </c>
      <c r="DX248" s="157">
        <f t="shared" si="325"/>
        <v>0</v>
      </c>
      <c r="DY248" s="156" t="str">
        <f t="shared" si="326"/>
        <v>OK</v>
      </c>
    </row>
    <row r="249" spans="1:129" ht="13" hidden="1" x14ac:dyDescent="0.3">
      <c r="A249" s="333"/>
      <c r="B249" s="333"/>
      <c r="C249" s="331" t="str">
        <f t="shared" si="334"/>
        <v>-</v>
      </c>
      <c r="D249" s="584">
        <f t="shared" si="253"/>
        <v>226</v>
      </c>
      <c r="E249" s="585"/>
      <c r="F249" s="586"/>
      <c r="G249" s="600"/>
      <c r="H249" s="587"/>
      <c r="I249" s="601"/>
      <c r="J249" s="585"/>
      <c r="K249" s="617"/>
      <c r="L249" s="602"/>
      <c r="M249" s="603"/>
      <c r="N249" s="588"/>
      <c r="O249" s="604"/>
      <c r="P249" s="605"/>
      <c r="Q249" s="588"/>
      <c r="R249" s="604"/>
      <c r="S249" s="605"/>
      <c r="T249" s="606"/>
      <c r="U249" s="606"/>
      <c r="V249" s="429" t="str">
        <f t="shared" si="331"/>
        <v/>
      </c>
      <c r="W249" s="430" t="str">
        <f t="shared" si="330"/>
        <v/>
      </c>
      <c r="X249" s="66" t="str">
        <f>IF(AND(ISNUMBER(P249),N249=FixedDim),MAX('Adjustment factors'!$S$16,0.2+0.8*P249),IF(ISTEXT(N249),VLOOKUP(N249,Afactors,2,TRUE),""))</f>
        <v/>
      </c>
      <c r="Y249" s="17" t="str">
        <f>IF(AND(ISNUMBER(S249),Q249=FixedDim),MAX('Adjustment factors'!$S$16,0.2+0.8*S249),IF(ISTEXT(Q249),VLOOKUP(Q249,Afactors,2,TRUE),""))</f>
        <v/>
      </c>
      <c r="Z249" s="297" t="str">
        <f>IF(ISBLANK(T249),"",VLOOKUP(T249,'Adjustment factors'!$R$27:$S$30,2,TRUE))</f>
        <v/>
      </c>
      <c r="AA249" s="297" t="str">
        <f>IF(ISBLANK(U249),"",VLOOKUP(U249,'Adjustment factors'!$R$27:$S$30,2,TRUE))</f>
        <v/>
      </c>
      <c r="AB249" s="480">
        <f t="shared" si="302"/>
        <v>1</v>
      </c>
      <c r="AC249" s="18" t="b">
        <f t="shared" si="259"/>
        <v>0</v>
      </c>
      <c r="AD249" s="18" t="b">
        <f t="shared" si="260"/>
        <v>0</v>
      </c>
      <c r="AE249" s="18" t="b">
        <f t="shared" si="327"/>
        <v>0</v>
      </c>
      <c r="AF249" s="17" t="str">
        <f t="shared" si="261"/>
        <v/>
      </c>
      <c r="AG249" s="18" t="str">
        <f t="shared" si="262"/>
        <v/>
      </c>
      <c r="AH249" s="17" t="str">
        <f t="shared" si="328"/>
        <v/>
      </c>
      <c r="AI249" s="297" t="e">
        <f t="shared" si="303"/>
        <v>#VALUE!</v>
      </c>
      <c r="AJ249" s="79" t="e">
        <f t="shared" si="263"/>
        <v>#VALUE!</v>
      </c>
      <c r="AK249" s="17" t="str">
        <f t="shared" si="329"/>
        <v/>
      </c>
      <c r="AL249" s="80" t="e">
        <f t="shared" si="264"/>
        <v>#VALUE!</v>
      </c>
      <c r="AM249" s="139" t="b">
        <f t="shared" si="265"/>
        <v>1</v>
      </c>
      <c r="AN249" s="139" t="b">
        <f>AND(COUNTA(E249)&gt;0,ISNUMBER(F249),OR(COUNT(G249:H249)=0,COUNT(G249:H249)=2,AND(ISNUMBER(G249),ISNUMBER(VALUE(LEFT(H249,SUM(LEN(H249)-LEN(SUBSTITUTE(H249,{"0","1","2","3","4","5","6","7","8","9","."},"")))))))),ISNUMBER(I249),ISTEXT(J249))</f>
        <v>0</v>
      </c>
      <c r="AO249" s="19" t="b">
        <f t="shared" si="266"/>
        <v>0</v>
      </c>
      <c r="AP249" s="19" t="b">
        <f t="shared" si="267"/>
        <v>1</v>
      </c>
      <c r="AQ249" s="19" t="b">
        <f>IF(AND(COUNTBLANK(E249:J249)=6,OR(AN250:AN$523)),NOT(AN249))</f>
        <v>0</v>
      </c>
      <c r="AR249" s="19" t="str">
        <f t="shared" si="268"/>
        <v/>
      </c>
      <c r="AS249" s="19" t="b">
        <f t="shared" si="269"/>
        <v>1</v>
      </c>
      <c r="AT249" s="19" t="str">
        <f t="shared" si="270"/>
        <v/>
      </c>
      <c r="AU249" s="19" t="b">
        <f t="shared" si="271"/>
        <v>1</v>
      </c>
      <c r="AV249" s="140" t="str">
        <f t="shared" si="311"/>
        <v/>
      </c>
      <c r="AW249" s="19" t="str">
        <f t="shared" si="272"/>
        <v/>
      </c>
      <c r="AX249" s="81">
        <f t="shared" si="273"/>
        <v>0</v>
      </c>
      <c r="AY249" s="81" t="str">
        <f t="shared" si="274"/>
        <v/>
      </c>
      <c r="AZ249" s="307" t="str">
        <f t="shared" si="304"/>
        <v/>
      </c>
      <c r="BA249" s="281" t="str">
        <f t="shared" si="312"/>
        <v/>
      </c>
      <c r="BB249" s="281" t="str">
        <f t="shared" si="313"/>
        <v/>
      </c>
      <c r="BC249" s="953"/>
      <c r="BD249" s="955"/>
      <c r="BE249" s="219" t="str">
        <f t="shared" si="275"/>
        <v>n/a</v>
      </c>
      <c r="BF249" s="215" t="b">
        <f t="shared" si="276"/>
        <v>0</v>
      </c>
      <c r="BG249" s="145" t="b">
        <f t="shared" si="277"/>
        <v>0</v>
      </c>
      <c r="BH249" s="145" t="b">
        <f t="shared" si="278"/>
        <v>0</v>
      </c>
      <c r="BI249" s="216" t="b">
        <f t="shared" si="279"/>
        <v>0</v>
      </c>
      <c r="BJ249" s="215" t="b">
        <f t="shared" si="280"/>
        <v>0</v>
      </c>
      <c r="BK249" s="145" t="b">
        <f t="shared" si="281"/>
        <v>0</v>
      </c>
      <c r="BL249" s="216" t="b">
        <f t="shared" si="282"/>
        <v>0</v>
      </c>
      <c r="BM249" s="217" t="str">
        <f t="shared" si="314"/>
        <v/>
      </c>
      <c r="BN249" s="146" t="str">
        <f t="shared" si="315"/>
        <v/>
      </c>
      <c r="BO249" s="147" t="str">
        <f t="shared" si="316"/>
        <v/>
      </c>
      <c r="BP249" s="148" t="str">
        <f t="shared" si="317"/>
        <v/>
      </c>
      <c r="BT249" s="50">
        <f t="shared" si="254"/>
        <v>226</v>
      </c>
      <c r="BU249" s="50" t="str">
        <f t="shared" si="333"/>
        <v>-</v>
      </c>
      <c r="BW249" s="333"/>
      <c r="BX249" s="333"/>
      <c r="BY249" s="333"/>
      <c r="BZ249" s="333"/>
      <c r="CA249" s="333"/>
      <c r="CB249" s="333"/>
      <c r="CC249" s="333"/>
      <c r="CD249" s="333"/>
      <c r="CE249" s="333"/>
      <c r="CF249" s="333"/>
      <c r="CG249" s="354">
        <f t="shared" si="283"/>
        <v>226</v>
      </c>
      <c r="CH249" s="613">
        <f t="shared" si="284"/>
        <v>0</v>
      </c>
      <c r="CI249" s="613">
        <f t="shared" si="285"/>
        <v>0</v>
      </c>
      <c r="CJ249" s="614" t="str">
        <f t="shared" si="286"/>
        <v/>
      </c>
      <c r="CK249" s="615" t="str">
        <f t="shared" si="287"/>
        <v/>
      </c>
      <c r="CL249" s="610" t="str">
        <f>IF(ISBLANK(H249),"",IF(AND(ISNUMBER(F249),ISNUMBER(G249),ISNUMBER(H249)),ROUND(F249/(H249*G249),2),ROUND(F249/(VALUE(LEFT(H249,SUM(LEN(H249)-LEN(SUBSTITUTE(H249,{"0","1","2","3","4","5","6","7","8","9","."},"")))))*G249),2)))</f>
        <v/>
      </c>
      <c r="CM249" s="616" t="str">
        <f t="shared" si="318"/>
        <v/>
      </c>
      <c r="CN249" s="616" t="str">
        <f>IF(ISNUMBER(P249),MAX('Adjustment factors'!$S$16,(0.2+0.8*P249)),IF(ISTEXT(N249),VLOOKUP(N249,Afactors,2,FALSE),""))</f>
        <v/>
      </c>
      <c r="CO249" s="616" t="str">
        <f>IF(ISNUMBER(S249),MAX('Adjustment factors'!$S$16,0.2+0.8*S249),IF(ISTEXT(Q249),VLOOKUP(Q249,Afactors,2,FALSE),""))</f>
        <v/>
      </c>
      <c r="CP249" s="611" t="str">
        <f t="shared" si="305"/>
        <v/>
      </c>
      <c r="CQ249" s="612" t="str">
        <f t="shared" si="306"/>
        <v/>
      </c>
      <c r="CR249" s="340"/>
      <c r="CS249" s="340"/>
      <c r="CT249" s="340"/>
      <c r="CU249" s="340"/>
      <c r="CV249" s="333"/>
      <c r="CW249" s="333"/>
      <c r="CX249" s="333"/>
      <c r="CY249" s="333"/>
      <c r="DA249" s="313" t="str">
        <f t="shared" si="288"/>
        <v>OK</v>
      </c>
      <c r="DB249" s="313" t="str">
        <f t="shared" si="289"/>
        <v>OK</v>
      </c>
      <c r="DC249" s="313" t="str">
        <f t="shared" si="290"/>
        <v>OK</v>
      </c>
      <c r="DD249" s="313" t="str">
        <f t="shared" si="291"/>
        <v>OK</v>
      </c>
      <c r="DE249" s="153" t="str">
        <f t="shared" si="292"/>
        <v>OK</v>
      </c>
      <c r="DF249" s="314" t="str">
        <f t="shared" si="293"/>
        <v>OK</v>
      </c>
      <c r="DG249" s="482" t="str">
        <f t="shared" si="307"/>
        <v>OK</v>
      </c>
      <c r="DH249" s="482" t="str">
        <f>IF(OR(AND(T249='Adjustment factors'!$R$28,'Class 3, 5-9'!U249='Adjustment factors'!$R$29),AND('Class 3, 5-9'!T249='Adjustment factors'!$R$29,'Class 3, 5-9'!U249='Adjustment factors'!$R$28)),"Invalid combination of adjustment factors",IF(AND(T249=U249,NOT(ISBLANK(T249)),NOT(ISBLANK(U249))),"Same colour factor selected twice","OK"))</f>
        <v>OK</v>
      </c>
      <c r="DI249" s="313" t="str">
        <f t="shared" si="294"/>
        <v>OK</v>
      </c>
      <c r="DJ249" s="153" t="str">
        <f t="shared" si="319"/>
        <v>OK</v>
      </c>
      <c r="DK249" s="153" t="str">
        <f t="shared" si="295"/>
        <v>OK</v>
      </c>
      <c r="DL249" s="313" t="str">
        <f t="shared" si="296"/>
        <v>OK</v>
      </c>
      <c r="DM249" s="153" t="str">
        <f t="shared" si="297"/>
        <v>OK</v>
      </c>
      <c r="DN249" s="153" t="str">
        <f t="shared" si="320"/>
        <v>OK</v>
      </c>
      <c r="DO249" s="154" t="str">
        <f t="shared" si="321"/>
        <v>OK</v>
      </c>
      <c r="DP249" s="153" t="str">
        <f t="shared" si="298"/>
        <v>OK</v>
      </c>
      <c r="DQ249" s="313" t="str">
        <f t="shared" si="299"/>
        <v>OK</v>
      </c>
      <c r="DR249" s="153" t="str">
        <f t="shared" si="322"/>
        <v>OK</v>
      </c>
      <c r="DS249" s="153" t="str">
        <f t="shared" si="300"/>
        <v>OK</v>
      </c>
      <c r="DT249" s="313" t="str">
        <f t="shared" si="335"/>
        <v>OK</v>
      </c>
      <c r="DU249" s="153" t="str">
        <f t="shared" si="301"/>
        <v>OK</v>
      </c>
      <c r="DV249" s="153" t="str">
        <f t="shared" si="323"/>
        <v>OK</v>
      </c>
      <c r="DW249" s="154" t="str">
        <f t="shared" si="324"/>
        <v>OK</v>
      </c>
      <c r="DX249" s="157">
        <f t="shared" si="325"/>
        <v>0</v>
      </c>
      <c r="DY249" s="156" t="str">
        <f t="shared" si="326"/>
        <v>OK</v>
      </c>
    </row>
    <row r="250" spans="1:129" ht="13" hidden="1" x14ac:dyDescent="0.3">
      <c r="A250" s="333"/>
      <c r="B250" s="333"/>
      <c r="C250" s="331" t="str">
        <f t="shared" si="334"/>
        <v>-</v>
      </c>
      <c r="D250" s="584">
        <f t="shared" si="253"/>
        <v>227</v>
      </c>
      <c r="E250" s="585"/>
      <c r="F250" s="586"/>
      <c r="G250" s="600"/>
      <c r="H250" s="587"/>
      <c r="I250" s="601"/>
      <c r="J250" s="585"/>
      <c r="K250" s="617"/>
      <c r="L250" s="602"/>
      <c r="M250" s="603"/>
      <c r="N250" s="588"/>
      <c r="O250" s="604"/>
      <c r="P250" s="605"/>
      <c r="Q250" s="588"/>
      <c r="R250" s="604"/>
      <c r="S250" s="605"/>
      <c r="T250" s="606"/>
      <c r="U250" s="606"/>
      <c r="V250" s="429" t="str">
        <f t="shared" si="331"/>
        <v/>
      </c>
      <c r="W250" s="430" t="str">
        <f t="shared" si="330"/>
        <v/>
      </c>
      <c r="X250" s="66" t="str">
        <f>IF(AND(ISNUMBER(P250),N250=FixedDim),MAX('Adjustment factors'!$S$16,0.2+0.8*P250),IF(ISTEXT(N250),VLOOKUP(N250,Afactors,2,TRUE),""))</f>
        <v/>
      </c>
      <c r="Y250" s="17" t="str">
        <f>IF(AND(ISNUMBER(S250),Q250=FixedDim),MAX('Adjustment factors'!$S$16,0.2+0.8*S250),IF(ISTEXT(Q250),VLOOKUP(Q250,Afactors,2,TRUE),""))</f>
        <v/>
      </c>
      <c r="Z250" s="297" t="str">
        <f>IF(ISBLANK(T250),"",VLOOKUP(T250,'Adjustment factors'!$R$27:$S$30,2,TRUE))</f>
        <v/>
      </c>
      <c r="AA250" s="297" t="str">
        <f>IF(ISBLANK(U250),"",VLOOKUP(U250,'Adjustment factors'!$R$27:$S$30,2,TRUE))</f>
        <v/>
      </c>
      <c r="AB250" s="480">
        <f t="shared" si="302"/>
        <v>1</v>
      </c>
      <c r="AC250" s="18" t="b">
        <f t="shared" si="259"/>
        <v>0</v>
      </c>
      <c r="AD250" s="18" t="b">
        <f t="shared" si="260"/>
        <v>0</v>
      </c>
      <c r="AE250" s="18" t="b">
        <f t="shared" si="327"/>
        <v>0</v>
      </c>
      <c r="AF250" s="17" t="str">
        <f t="shared" si="261"/>
        <v/>
      </c>
      <c r="AG250" s="18" t="str">
        <f t="shared" si="262"/>
        <v/>
      </c>
      <c r="AH250" s="17" t="str">
        <f t="shared" si="328"/>
        <v/>
      </c>
      <c r="AI250" s="297" t="e">
        <f t="shared" si="303"/>
        <v>#VALUE!</v>
      </c>
      <c r="AJ250" s="79" t="e">
        <f t="shared" si="263"/>
        <v>#VALUE!</v>
      </c>
      <c r="AK250" s="17" t="str">
        <f t="shared" si="329"/>
        <v/>
      </c>
      <c r="AL250" s="80" t="e">
        <f t="shared" si="264"/>
        <v>#VALUE!</v>
      </c>
      <c r="AM250" s="139" t="b">
        <f t="shared" si="265"/>
        <v>1</v>
      </c>
      <c r="AN250" s="139" t="b">
        <f>AND(COUNTA(E250)&gt;0,ISNUMBER(F250),OR(COUNT(G250:H250)=0,COUNT(G250:H250)=2,AND(ISNUMBER(G250),ISNUMBER(VALUE(LEFT(H250,SUM(LEN(H250)-LEN(SUBSTITUTE(H250,{"0","1","2","3","4","5","6","7","8","9","."},"")))))))),ISNUMBER(I250),ISTEXT(J250))</f>
        <v>0</v>
      </c>
      <c r="AO250" s="19" t="b">
        <f t="shared" si="266"/>
        <v>0</v>
      </c>
      <c r="AP250" s="19" t="b">
        <f t="shared" si="267"/>
        <v>1</v>
      </c>
      <c r="AQ250" s="19" t="b">
        <f>IF(AND(COUNTBLANK(E250:J250)=6,OR(AN251:AN$523)),NOT(AN250))</f>
        <v>0</v>
      </c>
      <c r="AR250" s="19" t="str">
        <f t="shared" si="268"/>
        <v/>
      </c>
      <c r="AS250" s="19" t="b">
        <f t="shared" si="269"/>
        <v>1</v>
      </c>
      <c r="AT250" s="19" t="str">
        <f t="shared" si="270"/>
        <v/>
      </c>
      <c r="AU250" s="19" t="b">
        <f t="shared" si="271"/>
        <v>1</v>
      </c>
      <c r="AV250" s="140" t="str">
        <f t="shared" si="311"/>
        <v/>
      </c>
      <c r="AW250" s="19" t="str">
        <f t="shared" si="272"/>
        <v/>
      </c>
      <c r="AX250" s="81">
        <f t="shared" si="273"/>
        <v>0</v>
      </c>
      <c r="AY250" s="81" t="str">
        <f t="shared" si="274"/>
        <v/>
      </c>
      <c r="AZ250" s="307" t="str">
        <f t="shared" si="304"/>
        <v/>
      </c>
      <c r="BA250" s="281" t="str">
        <f t="shared" si="312"/>
        <v/>
      </c>
      <c r="BB250" s="281" t="str">
        <f t="shared" si="313"/>
        <v/>
      </c>
      <c r="BC250" s="953"/>
      <c r="BD250" s="955"/>
      <c r="BE250" s="219" t="str">
        <f t="shared" si="275"/>
        <v>n/a</v>
      </c>
      <c r="BF250" s="215" t="b">
        <f t="shared" si="276"/>
        <v>0</v>
      </c>
      <c r="BG250" s="145" t="b">
        <f t="shared" si="277"/>
        <v>0</v>
      </c>
      <c r="BH250" s="145" t="b">
        <f t="shared" si="278"/>
        <v>0</v>
      </c>
      <c r="BI250" s="216" t="b">
        <f t="shared" si="279"/>
        <v>0</v>
      </c>
      <c r="BJ250" s="215" t="b">
        <f t="shared" si="280"/>
        <v>0</v>
      </c>
      <c r="BK250" s="145" t="b">
        <f t="shared" si="281"/>
        <v>0</v>
      </c>
      <c r="BL250" s="216" t="b">
        <f t="shared" si="282"/>
        <v>0</v>
      </c>
      <c r="BM250" s="217" t="str">
        <f t="shared" si="314"/>
        <v/>
      </c>
      <c r="BN250" s="146" t="str">
        <f t="shared" si="315"/>
        <v/>
      </c>
      <c r="BO250" s="147" t="str">
        <f t="shared" si="316"/>
        <v/>
      </c>
      <c r="BP250" s="148" t="str">
        <f t="shared" si="317"/>
        <v/>
      </c>
      <c r="BT250" s="50">
        <f t="shared" si="254"/>
        <v>227</v>
      </c>
      <c r="BU250" s="50" t="str">
        <f t="shared" si="333"/>
        <v>-</v>
      </c>
      <c r="BW250" s="333"/>
      <c r="BX250" s="333"/>
      <c r="BY250" s="333"/>
      <c r="BZ250" s="333"/>
      <c r="CA250" s="333"/>
      <c r="CB250" s="333"/>
      <c r="CC250" s="333"/>
      <c r="CD250" s="333"/>
      <c r="CE250" s="333"/>
      <c r="CF250" s="333"/>
      <c r="CG250" s="354">
        <f t="shared" si="283"/>
        <v>227</v>
      </c>
      <c r="CH250" s="613">
        <f t="shared" si="284"/>
        <v>0</v>
      </c>
      <c r="CI250" s="613">
        <f t="shared" si="285"/>
        <v>0</v>
      </c>
      <c r="CJ250" s="614" t="str">
        <f t="shared" si="286"/>
        <v/>
      </c>
      <c r="CK250" s="615" t="str">
        <f t="shared" si="287"/>
        <v/>
      </c>
      <c r="CL250" s="610" t="str">
        <f>IF(ISBLANK(H250),"",IF(AND(ISNUMBER(F250),ISNUMBER(G250),ISNUMBER(H250)),ROUND(F250/(H250*G250),2),ROUND(F250/(VALUE(LEFT(H250,SUM(LEN(H250)-LEN(SUBSTITUTE(H250,{"0","1","2","3","4","5","6","7","8","9","."},"")))))*G250),2)))</f>
        <v/>
      </c>
      <c r="CM250" s="616" t="str">
        <f t="shared" si="318"/>
        <v/>
      </c>
      <c r="CN250" s="616" t="str">
        <f>IF(ISNUMBER(P250),MAX('Adjustment factors'!$S$16,(0.2+0.8*P250)),IF(ISTEXT(N250),VLOOKUP(N250,Afactors,2,FALSE),""))</f>
        <v/>
      </c>
      <c r="CO250" s="616" t="str">
        <f>IF(ISNUMBER(S250),MAX('Adjustment factors'!$S$16,0.2+0.8*S250),IF(ISTEXT(Q250),VLOOKUP(Q250,Afactors,2,FALSE),""))</f>
        <v/>
      </c>
      <c r="CP250" s="611" t="str">
        <f t="shared" si="305"/>
        <v/>
      </c>
      <c r="CQ250" s="612" t="str">
        <f t="shared" si="306"/>
        <v/>
      </c>
      <c r="CR250" s="340"/>
      <c r="CS250" s="340"/>
      <c r="CT250" s="340"/>
      <c r="CU250" s="340"/>
      <c r="CV250" s="333"/>
      <c r="CW250" s="333"/>
      <c r="CX250" s="333"/>
      <c r="CY250" s="333"/>
      <c r="DA250" s="313" t="str">
        <f t="shared" si="288"/>
        <v>OK</v>
      </c>
      <c r="DB250" s="313" t="str">
        <f t="shared" si="289"/>
        <v>OK</v>
      </c>
      <c r="DC250" s="313" t="str">
        <f t="shared" si="290"/>
        <v>OK</v>
      </c>
      <c r="DD250" s="313" t="str">
        <f t="shared" si="291"/>
        <v>OK</v>
      </c>
      <c r="DE250" s="153" t="str">
        <f t="shared" si="292"/>
        <v>OK</v>
      </c>
      <c r="DF250" s="314" t="str">
        <f t="shared" si="293"/>
        <v>OK</v>
      </c>
      <c r="DG250" s="482" t="str">
        <f t="shared" si="307"/>
        <v>OK</v>
      </c>
      <c r="DH250" s="482" t="str">
        <f>IF(OR(AND(T250='Adjustment factors'!$R$28,'Class 3, 5-9'!U250='Adjustment factors'!$R$29),AND('Class 3, 5-9'!T250='Adjustment factors'!$R$29,'Class 3, 5-9'!U250='Adjustment factors'!$R$28)),"Invalid combination of adjustment factors",IF(AND(T250=U250,NOT(ISBLANK(T250)),NOT(ISBLANK(U250))),"Same colour factor selected twice","OK"))</f>
        <v>OK</v>
      </c>
      <c r="DI250" s="313" t="str">
        <f t="shared" si="294"/>
        <v>OK</v>
      </c>
      <c r="DJ250" s="153" t="str">
        <f t="shared" si="319"/>
        <v>OK</v>
      </c>
      <c r="DK250" s="153" t="str">
        <f t="shared" si="295"/>
        <v>OK</v>
      </c>
      <c r="DL250" s="313" t="str">
        <f t="shared" si="296"/>
        <v>OK</v>
      </c>
      <c r="DM250" s="153" t="str">
        <f t="shared" si="297"/>
        <v>OK</v>
      </c>
      <c r="DN250" s="153" t="str">
        <f t="shared" si="320"/>
        <v>OK</v>
      </c>
      <c r="DO250" s="154" t="str">
        <f t="shared" si="321"/>
        <v>OK</v>
      </c>
      <c r="DP250" s="153" t="str">
        <f t="shared" si="298"/>
        <v>OK</v>
      </c>
      <c r="DQ250" s="313" t="str">
        <f t="shared" si="299"/>
        <v>OK</v>
      </c>
      <c r="DR250" s="153" t="str">
        <f t="shared" si="322"/>
        <v>OK</v>
      </c>
      <c r="DS250" s="153" t="str">
        <f t="shared" si="300"/>
        <v>OK</v>
      </c>
      <c r="DT250" s="313" t="str">
        <f t="shared" si="335"/>
        <v>OK</v>
      </c>
      <c r="DU250" s="153" t="str">
        <f t="shared" si="301"/>
        <v>OK</v>
      </c>
      <c r="DV250" s="153" t="str">
        <f t="shared" si="323"/>
        <v>OK</v>
      </c>
      <c r="DW250" s="154" t="str">
        <f t="shared" si="324"/>
        <v>OK</v>
      </c>
      <c r="DX250" s="157">
        <f t="shared" si="325"/>
        <v>0</v>
      </c>
      <c r="DY250" s="156" t="str">
        <f t="shared" si="326"/>
        <v>OK</v>
      </c>
    </row>
    <row r="251" spans="1:129" ht="13" hidden="1" x14ac:dyDescent="0.3">
      <c r="A251" s="333"/>
      <c r="B251" s="333"/>
      <c r="C251" s="331" t="str">
        <f t="shared" si="334"/>
        <v>-</v>
      </c>
      <c r="D251" s="584">
        <f t="shared" si="253"/>
        <v>228</v>
      </c>
      <c r="E251" s="585"/>
      <c r="F251" s="586"/>
      <c r="G251" s="600"/>
      <c r="H251" s="587"/>
      <c r="I251" s="601"/>
      <c r="J251" s="585"/>
      <c r="K251" s="617"/>
      <c r="L251" s="602"/>
      <c r="M251" s="603"/>
      <c r="N251" s="588"/>
      <c r="O251" s="604"/>
      <c r="P251" s="605"/>
      <c r="Q251" s="588"/>
      <c r="R251" s="604"/>
      <c r="S251" s="605"/>
      <c r="T251" s="606"/>
      <c r="U251" s="606"/>
      <c r="V251" s="429" t="str">
        <f t="shared" si="331"/>
        <v/>
      </c>
      <c r="W251" s="430" t="str">
        <f t="shared" si="330"/>
        <v/>
      </c>
      <c r="X251" s="66" t="str">
        <f>IF(AND(ISNUMBER(P251),N251=FixedDim),MAX('Adjustment factors'!$S$16,0.2+0.8*P251),IF(ISTEXT(N251),VLOOKUP(N251,Afactors,2,TRUE),""))</f>
        <v/>
      </c>
      <c r="Y251" s="17" t="str">
        <f>IF(AND(ISNUMBER(S251),Q251=FixedDim),MAX('Adjustment factors'!$S$16,0.2+0.8*S251),IF(ISTEXT(Q251),VLOOKUP(Q251,Afactors,2,TRUE),""))</f>
        <v/>
      </c>
      <c r="Z251" s="297" t="str">
        <f>IF(ISBLANK(T251),"",VLOOKUP(T251,'Adjustment factors'!$R$27:$S$30,2,TRUE))</f>
        <v/>
      </c>
      <c r="AA251" s="297" t="str">
        <f>IF(ISBLANK(U251),"",VLOOKUP(U251,'Adjustment factors'!$R$27:$S$30,2,TRUE))</f>
        <v/>
      </c>
      <c r="AB251" s="480">
        <f t="shared" si="302"/>
        <v>1</v>
      </c>
      <c r="AC251" s="18" t="b">
        <f t="shared" si="259"/>
        <v>0</v>
      </c>
      <c r="AD251" s="18" t="b">
        <f t="shared" si="260"/>
        <v>0</v>
      </c>
      <c r="AE251" s="18" t="b">
        <f t="shared" si="327"/>
        <v>0</v>
      </c>
      <c r="AF251" s="17" t="str">
        <f t="shared" si="261"/>
        <v/>
      </c>
      <c r="AG251" s="18" t="str">
        <f t="shared" si="262"/>
        <v/>
      </c>
      <c r="AH251" s="17" t="str">
        <f t="shared" si="328"/>
        <v/>
      </c>
      <c r="AI251" s="297" t="e">
        <f t="shared" si="303"/>
        <v>#VALUE!</v>
      </c>
      <c r="AJ251" s="79" t="e">
        <f t="shared" si="263"/>
        <v>#VALUE!</v>
      </c>
      <c r="AK251" s="17" t="str">
        <f t="shared" si="329"/>
        <v/>
      </c>
      <c r="AL251" s="80" t="e">
        <f t="shared" si="264"/>
        <v>#VALUE!</v>
      </c>
      <c r="AM251" s="139" t="b">
        <f t="shared" si="265"/>
        <v>1</v>
      </c>
      <c r="AN251" s="139" t="b">
        <f>AND(COUNTA(E251)&gt;0,ISNUMBER(F251),OR(COUNT(G251:H251)=0,COUNT(G251:H251)=2,AND(ISNUMBER(G251),ISNUMBER(VALUE(LEFT(H251,SUM(LEN(H251)-LEN(SUBSTITUTE(H251,{"0","1","2","3","4","5","6","7","8","9","."},"")))))))),ISNUMBER(I251),ISTEXT(J251))</f>
        <v>0</v>
      </c>
      <c r="AO251" s="19" t="b">
        <f t="shared" si="266"/>
        <v>0</v>
      </c>
      <c r="AP251" s="19" t="b">
        <f t="shared" si="267"/>
        <v>1</v>
      </c>
      <c r="AQ251" s="19" t="b">
        <f>IF(AND(COUNTBLANK(E251:J251)=6,OR(AN252:AN$523)),NOT(AN251))</f>
        <v>0</v>
      </c>
      <c r="AR251" s="19" t="str">
        <f t="shared" si="268"/>
        <v/>
      </c>
      <c r="AS251" s="19" t="b">
        <f t="shared" si="269"/>
        <v>1</v>
      </c>
      <c r="AT251" s="19" t="str">
        <f t="shared" si="270"/>
        <v/>
      </c>
      <c r="AU251" s="19" t="b">
        <f t="shared" si="271"/>
        <v>1</v>
      </c>
      <c r="AV251" s="140" t="str">
        <f t="shared" si="311"/>
        <v/>
      </c>
      <c r="AW251" s="19" t="str">
        <f t="shared" si="272"/>
        <v/>
      </c>
      <c r="AX251" s="81">
        <f t="shared" si="273"/>
        <v>0</v>
      </c>
      <c r="AY251" s="81" t="str">
        <f t="shared" si="274"/>
        <v/>
      </c>
      <c r="AZ251" s="307" t="str">
        <f t="shared" si="304"/>
        <v/>
      </c>
      <c r="BA251" s="281" t="str">
        <f t="shared" si="312"/>
        <v/>
      </c>
      <c r="BB251" s="281" t="str">
        <f t="shared" si="313"/>
        <v/>
      </c>
      <c r="BC251" s="953"/>
      <c r="BD251" s="955"/>
      <c r="BE251" s="219" t="str">
        <f t="shared" si="275"/>
        <v>n/a</v>
      </c>
      <c r="BF251" s="215" t="b">
        <f t="shared" si="276"/>
        <v>0</v>
      </c>
      <c r="BG251" s="145" t="b">
        <f t="shared" si="277"/>
        <v>0</v>
      </c>
      <c r="BH251" s="145" t="b">
        <f t="shared" si="278"/>
        <v>0</v>
      </c>
      <c r="BI251" s="216" t="b">
        <f t="shared" si="279"/>
        <v>0</v>
      </c>
      <c r="BJ251" s="215" t="b">
        <f t="shared" si="280"/>
        <v>0</v>
      </c>
      <c r="BK251" s="145" t="b">
        <f t="shared" si="281"/>
        <v>0</v>
      </c>
      <c r="BL251" s="216" t="b">
        <f t="shared" si="282"/>
        <v>0</v>
      </c>
      <c r="BM251" s="217" t="str">
        <f t="shared" si="314"/>
        <v/>
      </c>
      <c r="BN251" s="146" t="str">
        <f t="shared" si="315"/>
        <v/>
      </c>
      <c r="BO251" s="147" t="str">
        <f t="shared" si="316"/>
        <v/>
      </c>
      <c r="BP251" s="148" t="str">
        <f t="shared" si="317"/>
        <v/>
      </c>
      <c r="BT251" s="50">
        <f t="shared" si="254"/>
        <v>228</v>
      </c>
      <c r="BU251" s="50" t="str">
        <f t="shared" si="333"/>
        <v>-</v>
      </c>
      <c r="BW251" s="333"/>
      <c r="BX251" s="333"/>
      <c r="BY251" s="333"/>
      <c r="BZ251" s="333"/>
      <c r="CA251" s="333"/>
      <c r="CB251" s="333"/>
      <c r="CC251" s="333"/>
      <c r="CD251" s="333"/>
      <c r="CE251" s="333"/>
      <c r="CF251" s="333"/>
      <c r="CG251" s="354">
        <f t="shared" si="283"/>
        <v>228</v>
      </c>
      <c r="CH251" s="613">
        <f t="shared" si="284"/>
        <v>0</v>
      </c>
      <c r="CI251" s="613">
        <f t="shared" si="285"/>
        <v>0</v>
      </c>
      <c r="CJ251" s="614" t="str">
        <f t="shared" si="286"/>
        <v/>
      </c>
      <c r="CK251" s="615" t="str">
        <f t="shared" si="287"/>
        <v/>
      </c>
      <c r="CL251" s="610" t="str">
        <f>IF(ISBLANK(H251),"",IF(AND(ISNUMBER(F251),ISNUMBER(G251),ISNUMBER(H251)),ROUND(F251/(H251*G251),2),ROUND(F251/(VALUE(LEFT(H251,SUM(LEN(H251)-LEN(SUBSTITUTE(H251,{"0","1","2","3","4","5","6","7","8","9","."},"")))))*G251),2)))</f>
        <v/>
      </c>
      <c r="CM251" s="616" t="str">
        <f t="shared" si="318"/>
        <v/>
      </c>
      <c r="CN251" s="616" t="str">
        <f>IF(ISNUMBER(P251),MAX('Adjustment factors'!$S$16,(0.2+0.8*P251)),IF(ISTEXT(N251),VLOOKUP(N251,Afactors,2,FALSE),""))</f>
        <v/>
      </c>
      <c r="CO251" s="616" t="str">
        <f>IF(ISNUMBER(S251),MAX('Adjustment factors'!$S$16,0.2+0.8*S251),IF(ISTEXT(Q251),VLOOKUP(Q251,Afactors,2,FALSE),""))</f>
        <v/>
      </c>
      <c r="CP251" s="611" t="str">
        <f t="shared" si="305"/>
        <v/>
      </c>
      <c r="CQ251" s="612" t="str">
        <f t="shared" si="306"/>
        <v/>
      </c>
      <c r="CR251" s="340"/>
      <c r="CS251" s="340"/>
      <c r="CT251" s="340"/>
      <c r="CU251" s="340"/>
      <c r="CV251" s="333"/>
      <c r="CW251" s="333"/>
      <c r="CX251" s="333"/>
      <c r="CY251" s="333"/>
      <c r="DA251" s="313" t="str">
        <f t="shared" si="288"/>
        <v>OK</v>
      </c>
      <c r="DB251" s="313" t="str">
        <f t="shared" si="289"/>
        <v>OK</v>
      </c>
      <c r="DC251" s="313" t="str">
        <f t="shared" si="290"/>
        <v>OK</v>
      </c>
      <c r="DD251" s="313" t="str">
        <f t="shared" si="291"/>
        <v>OK</v>
      </c>
      <c r="DE251" s="153" t="str">
        <f t="shared" si="292"/>
        <v>OK</v>
      </c>
      <c r="DF251" s="314" t="str">
        <f t="shared" si="293"/>
        <v>OK</v>
      </c>
      <c r="DG251" s="482" t="str">
        <f t="shared" si="307"/>
        <v>OK</v>
      </c>
      <c r="DH251" s="482" t="str">
        <f>IF(OR(AND(T251='Adjustment factors'!$R$28,'Class 3, 5-9'!U251='Adjustment factors'!$R$29),AND('Class 3, 5-9'!T251='Adjustment factors'!$R$29,'Class 3, 5-9'!U251='Adjustment factors'!$R$28)),"Invalid combination of adjustment factors",IF(AND(T251=U251,NOT(ISBLANK(T251)),NOT(ISBLANK(U251))),"Same colour factor selected twice","OK"))</f>
        <v>OK</v>
      </c>
      <c r="DI251" s="313" t="str">
        <f t="shared" si="294"/>
        <v>OK</v>
      </c>
      <c r="DJ251" s="153" t="str">
        <f t="shared" si="319"/>
        <v>OK</v>
      </c>
      <c r="DK251" s="153" t="str">
        <f t="shared" si="295"/>
        <v>OK</v>
      </c>
      <c r="DL251" s="313" t="str">
        <f t="shared" si="296"/>
        <v>OK</v>
      </c>
      <c r="DM251" s="153" t="str">
        <f t="shared" si="297"/>
        <v>OK</v>
      </c>
      <c r="DN251" s="153" t="str">
        <f t="shared" si="320"/>
        <v>OK</v>
      </c>
      <c r="DO251" s="154" t="str">
        <f t="shared" si="321"/>
        <v>OK</v>
      </c>
      <c r="DP251" s="153" t="str">
        <f t="shared" si="298"/>
        <v>OK</v>
      </c>
      <c r="DQ251" s="313" t="str">
        <f t="shared" si="299"/>
        <v>OK</v>
      </c>
      <c r="DR251" s="153" t="str">
        <f t="shared" si="322"/>
        <v>OK</v>
      </c>
      <c r="DS251" s="153" t="str">
        <f t="shared" si="300"/>
        <v>OK</v>
      </c>
      <c r="DT251" s="313" t="str">
        <f t="shared" si="335"/>
        <v>OK</v>
      </c>
      <c r="DU251" s="153" t="str">
        <f t="shared" si="301"/>
        <v>OK</v>
      </c>
      <c r="DV251" s="153" t="str">
        <f t="shared" si="323"/>
        <v>OK</v>
      </c>
      <c r="DW251" s="154" t="str">
        <f t="shared" si="324"/>
        <v>OK</v>
      </c>
      <c r="DX251" s="157">
        <f t="shared" si="325"/>
        <v>0</v>
      </c>
      <c r="DY251" s="156" t="str">
        <f t="shared" si="326"/>
        <v>OK</v>
      </c>
    </row>
    <row r="252" spans="1:129" ht="13" hidden="1" x14ac:dyDescent="0.3">
      <c r="A252" s="333"/>
      <c r="B252" s="333"/>
      <c r="C252" s="331" t="str">
        <f t="shared" si="334"/>
        <v>-</v>
      </c>
      <c r="D252" s="584">
        <f t="shared" si="253"/>
        <v>229</v>
      </c>
      <c r="E252" s="585"/>
      <c r="F252" s="586"/>
      <c r="G252" s="600"/>
      <c r="H252" s="587"/>
      <c r="I252" s="601"/>
      <c r="J252" s="585"/>
      <c r="K252" s="617"/>
      <c r="L252" s="602"/>
      <c r="M252" s="603"/>
      <c r="N252" s="588"/>
      <c r="O252" s="604"/>
      <c r="P252" s="605"/>
      <c r="Q252" s="588"/>
      <c r="R252" s="604"/>
      <c r="S252" s="605"/>
      <c r="T252" s="606"/>
      <c r="U252" s="606"/>
      <c r="V252" s="429" t="str">
        <f t="shared" si="331"/>
        <v/>
      </c>
      <c r="W252" s="430" t="str">
        <f t="shared" si="330"/>
        <v/>
      </c>
      <c r="X252" s="66" t="str">
        <f>IF(AND(ISNUMBER(P252),N252=FixedDim),MAX('Adjustment factors'!$S$16,0.2+0.8*P252),IF(ISTEXT(N252),VLOOKUP(N252,Afactors,2,TRUE),""))</f>
        <v/>
      </c>
      <c r="Y252" s="17" t="str">
        <f>IF(AND(ISNUMBER(S252),Q252=FixedDim),MAX('Adjustment factors'!$S$16,0.2+0.8*S252),IF(ISTEXT(Q252),VLOOKUP(Q252,Afactors,2,TRUE),""))</f>
        <v/>
      </c>
      <c r="Z252" s="297" t="str">
        <f>IF(ISBLANK(T252),"",VLOOKUP(T252,'Adjustment factors'!$R$27:$S$30,2,TRUE))</f>
        <v/>
      </c>
      <c r="AA252" s="297" t="str">
        <f>IF(ISBLANK(U252),"",VLOOKUP(U252,'Adjustment factors'!$R$27:$S$30,2,TRUE))</f>
        <v/>
      </c>
      <c r="AB252" s="480">
        <f t="shared" si="302"/>
        <v>1</v>
      </c>
      <c r="AC252" s="18" t="b">
        <f t="shared" si="259"/>
        <v>0</v>
      </c>
      <c r="AD252" s="18" t="b">
        <f t="shared" si="260"/>
        <v>0</v>
      </c>
      <c r="AE252" s="18" t="b">
        <f t="shared" si="327"/>
        <v>0</v>
      </c>
      <c r="AF252" s="17" t="str">
        <f t="shared" si="261"/>
        <v/>
      </c>
      <c r="AG252" s="18" t="str">
        <f t="shared" si="262"/>
        <v/>
      </c>
      <c r="AH252" s="17" t="str">
        <f t="shared" si="328"/>
        <v/>
      </c>
      <c r="AI252" s="297" t="e">
        <f t="shared" si="303"/>
        <v>#VALUE!</v>
      </c>
      <c r="AJ252" s="79" t="e">
        <f t="shared" si="263"/>
        <v>#VALUE!</v>
      </c>
      <c r="AK252" s="17" t="str">
        <f t="shared" si="329"/>
        <v/>
      </c>
      <c r="AL252" s="80" t="e">
        <f t="shared" si="264"/>
        <v>#VALUE!</v>
      </c>
      <c r="AM252" s="139" t="b">
        <f t="shared" si="265"/>
        <v>1</v>
      </c>
      <c r="AN252" s="139" t="b">
        <f>AND(COUNTA(E252)&gt;0,ISNUMBER(F252),OR(COUNT(G252:H252)=0,COUNT(G252:H252)=2,AND(ISNUMBER(G252),ISNUMBER(VALUE(LEFT(H252,SUM(LEN(H252)-LEN(SUBSTITUTE(H252,{"0","1","2","3","4","5","6","7","8","9","."},"")))))))),ISNUMBER(I252),ISTEXT(J252))</f>
        <v>0</v>
      </c>
      <c r="AO252" s="19" t="b">
        <f t="shared" si="266"/>
        <v>0</v>
      </c>
      <c r="AP252" s="19" t="b">
        <f t="shared" si="267"/>
        <v>1</v>
      </c>
      <c r="AQ252" s="19" t="b">
        <f>IF(AND(COUNTBLANK(E252:J252)=6,OR(AN253:AN$523)),NOT(AN252))</f>
        <v>0</v>
      </c>
      <c r="AR252" s="19" t="str">
        <f t="shared" si="268"/>
        <v/>
      </c>
      <c r="AS252" s="19" t="b">
        <f t="shared" si="269"/>
        <v>1</v>
      </c>
      <c r="AT252" s="19" t="str">
        <f t="shared" si="270"/>
        <v/>
      </c>
      <c r="AU252" s="19" t="b">
        <f t="shared" si="271"/>
        <v>1</v>
      </c>
      <c r="AV252" s="140" t="str">
        <f t="shared" si="311"/>
        <v/>
      </c>
      <c r="AW252" s="19" t="str">
        <f t="shared" si="272"/>
        <v/>
      </c>
      <c r="AX252" s="81">
        <f t="shared" si="273"/>
        <v>0</v>
      </c>
      <c r="AY252" s="81" t="str">
        <f t="shared" si="274"/>
        <v/>
      </c>
      <c r="AZ252" s="307" t="str">
        <f t="shared" si="304"/>
        <v/>
      </c>
      <c r="BA252" s="281" t="str">
        <f t="shared" si="312"/>
        <v/>
      </c>
      <c r="BB252" s="281" t="str">
        <f t="shared" si="313"/>
        <v/>
      </c>
      <c r="BC252" s="953"/>
      <c r="BD252" s="955"/>
      <c r="BE252" s="219" t="str">
        <f t="shared" si="275"/>
        <v>n/a</v>
      </c>
      <c r="BF252" s="215" t="b">
        <f t="shared" si="276"/>
        <v>0</v>
      </c>
      <c r="BG252" s="145" t="b">
        <f t="shared" si="277"/>
        <v>0</v>
      </c>
      <c r="BH252" s="145" t="b">
        <f t="shared" si="278"/>
        <v>0</v>
      </c>
      <c r="BI252" s="216" t="b">
        <f t="shared" si="279"/>
        <v>0</v>
      </c>
      <c r="BJ252" s="215" t="b">
        <f t="shared" si="280"/>
        <v>0</v>
      </c>
      <c r="BK252" s="145" t="b">
        <f t="shared" si="281"/>
        <v>0</v>
      </c>
      <c r="BL252" s="216" t="b">
        <f t="shared" si="282"/>
        <v>0</v>
      </c>
      <c r="BM252" s="217" t="str">
        <f t="shared" si="314"/>
        <v/>
      </c>
      <c r="BN252" s="146" t="str">
        <f t="shared" si="315"/>
        <v/>
      </c>
      <c r="BO252" s="147" t="str">
        <f t="shared" si="316"/>
        <v/>
      </c>
      <c r="BP252" s="148" t="str">
        <f t="shared" si="317"/>
        <v/>
      </c>
      <c r="BT252" s="50">
        <f t="shared" si="254"/>
        <v>229</v>
      </c>
      <c r="BU252" s="50" t="str">
        <f t="shared" si="333"/>
        <v>-</v>
      </c>
      <c r="BW252" s="333"/>
      <c r="BX252" s="333"/>
      <c r="BY252" s="333"/>
      <c r="BZ252" s="333"/>
      <c r="CA252" s="333"/>
      <c r="CB252" s="333"/>
      <c r="CC252" s="333"/>
      <c r="CD252" s="333"/>
      <c r="CE252" s="333"/>
      <c r="CF252" s="333"/>
      <c r="CG252" s="354">
        <f t="shared" si="283"/>
        <v>229</v>
      </c>
      <c r="CH252" s="613">
        <f t="shared" si="284"/>
        <v>0</v>
      </c>
      <c r="CI252" s="613">
        <f t="shared" si="285"/>
        <v>0</v>
      </c>
      <c r="CJ252" s="614" t="str">
        <f t="shared" si="286"/>
        <v/>
      </c>
      <c r="CK252" s="615" t="str">
        <f t="shared" si="287"/>
        <v/>
      </c>
      <c r="CL252" s="610" t="str">
        <f>IF(ISBLANK(H252),"",IF(AND(ISNUMBER(F252),ISNUMBER(G252),ISNUMBER(H252)),ROUND(F252/(H252*G252),2),ROUND(F252/(VALUE(LEFT(H252,SUM(LEN(H252)-LEN(SUBSTITUTE(H252,{"0","1","2","3","4","5","6","7","8","9","."},"")))))*G252),2)))</f>
        <v/>
      </c>
      <c r="CM252" s="616" t="str">
        <f t="shared" si="318"/>
        <v/>
      </c>
      <c r="CN252" s="616" t="str">
        <f>IF(ISNUMBER(P252),MAX('Adjustment factors'!$S$16,(0.2+0.8*P252)),IF(ISTEXT(N252),VLOOKUP(N252,Afactors,2,FALSE),""))</f>
        <v/>
      </c>
      <c r="CO252" s="616" t="str">
        <f>IF(ISNUMBER(S252),MAX('Adjustment factors'!$S$16,0.2+0.8*S252),IF(ISTEXT(Q252),VLOOKUP(Q252,Afactors,2,FALSE),""))</f>
        <v/>
      </c>
      <c r="CP252" s="611" t="str">
        <f t="shared" si="305"/>
        <v/>
      </c>
      <c r="CQ252" s="612" t="str">
        <f t="shared" si="306"/>
        <v/>
      </c>
      <c r="CR252" s="340"/>
      <c r="CS252" s="340"/>
      <c r="CT252" s="340"/>
      <c r="CU252" s="340"/>
      <c r="CV252" s="333"/>
      <c r="CW252" s="333"/>
      <c r="CX252" s="333"/>
      <c r="CY252" s="333"/>
      <c r="DA252" s="313" t="str">
        <f t="shared" si="288"/>
        <v>OK</v>
      </c>
      <c r="DB252" s="313" t="str">
        <f t="shared" si="289"/>
        <v>OK</v>
      </c>
      <c r="DC252" s="313" t="str">
        <f t="shared" si="290"/>
        <v>OK</v>
      </c>
      <c r="DD252" s="313" t="str">
        <f t="shared" si="291"/>
        <v>OK</v>
      </c>
      <c r="DE252" s="153" t="str">
        <f t="shared" si="292"/>
        <v>OK</v>
      </c>
      <c r="DF252" s="314" t="str">
        <f t="shared" si="293"/>
        <v>OK</v>
      </c>
      <c r="DG252" s="482" t="str">
        <f t="shared" si="307"/>
        <v>OK</v>
      </c>
      <c r="DH252" s="482" t="str">
        <f>IF(OR(AND(T252='Adjustment factors'!$R$28,'Class 3, 5-9'!U252='Adjustment factors'!$R$29),AND('Class 3, 5-9'!T252='Adjustment factors'!$R$29,'Class 3, 5-9'!U252='Adjustment factors'!$R$28)),"Invalid combination of adjustment factors",IF(AND(T252=U252,NOT(ISBLANK(T252)),NOT(ISBLANK(U252))),"Same colour factor selected twice","OK"))</f>
        <v>OK</v>
      </c>
      <c r="DI252" s="313" t="str">
        <f t="shared" si="294"/>
        <v>OK</v>
      </c>
      <c r="DJ252" s="153" t="str">
        <f t="shared" si="319"/>
        <v>OK</v>
      </c>
      <c r="DK252" s="153" t="str">
        <f t="shared" si="295"/>
        <v>OK</v>
      </c>
      <c r="DL252" s="313" t="str">
        <f t="shared" si="296"/>
        <v>OK</v>
      </c>
      <c r="DM252" s="153" t="str">
        <f t="shared" si="297"/>
        <v>OK</v>
      </c>
      <c r="DN252" s="153" t="str">
        <f t="shared" si="320"/>
        <v>OK</v>
      </c>
      <c r="DO252" s="154" t="str">
        <f t="shared" si="321"/>
        <v>OK</v>
      </c>
      <c r="DP252" s="153" t="str">
        <f t="shared" si="298"/>
        <v>OK</v>
      </c>
      <c r="DQ252" s="313" t="str">
        <f t="shared" si="299"/>
        <v>OK</v>
      </c>
      <c r="DR252" s="153" t="str">
        <f t="shared" si="322"/>
        <v>OK</v>
      </c>
      <c r="DS252" s="153" t="str">
        <f t="shared" si="300"/>
        <v>OK</v>
      </c>
      <c r="DT252" s="313" t="str">
        <f t="shared" si="335"/>
        <v>OK</v>
      </c>
      <c r="DU252" s="153" t="str">
        <f t="shared" si="301"/>
        <v>OK</v>
      </c>
      <c r="DV252" s="153" t="str">
        <f t="shared" si="323"/>
        <v>OK</v>
      </c>
      <c r="DW252" s="154" t="str">
        <f t="shared" si="324"/>
        <v>OK</v>
      </c>
      <c r="DX252" s="157">
        <f t="shared" si="325"/>
        <v>0</v>
      </c>
      <c r="DY252" s="156" t="str">
        <f t="shared" si="326"/>
        <v>OK</v>
      </c>
    </row>
    <row r="253" spans="1:129" ht="13" hidden="1" x14ac:dyDescent="0.3">
      <c r="A253" s="333"/>
      <c r="B253" s="333"/>
      <c r="C253" s="331" t="str">
        <f t="shared" si="334"/>
        <v>-</v>
      </c>
      <c r="D253" s="584">
        <f t="shared" si="253"/>
        <v>230</v>
      </c>
      <c r="E253" s="585"/>
      <c r="F253" s="586"/>
      <c r="G253" s="600"/>
      <c r="H253" s="587"/>
      <c r="I253" s="601"/>
      <c r="J253" s="585"/>
      <c r="K253" s="617"/>
      <c r="L253" s="602"/>
      <c r="M253" s="603"/>
      <c r="N253" s="588"/>
      <c r="O253" s="604"/>
      <c r="P253" s="605"/>
      <c r="Q253" s="588"/>
      <c r="R253" s="604"/>
      <c r="S253" s="605"/>
      <c r="T253" s="606"/>
      <c r="U253" s="606"/>
      <c r="V253" s="429" t="str">
        <f t="shared" si="331"/>
        <v/>
      </c>
      <c r="W253" s="430" t="str">
        <f t="shared" si="330"/>
        <v/>
      </c>
      <c r="X253" s="66" t="str">
        <f>IF(AND(ISNUMBER(P253),N253=FixedDim),MAX('Adjustment factors'!$S$16,0.2+0.8*P253),IF(ISTEXT(N253),VLOOKUP(N253,Afactors,2,TRUE),""))</f>
        <v/>
      </c>
      <c r="Y253" s="17" t="str">
        <f>IF(AND(ISNUMBER(S253),Q253=FixedDim),MAX('Adjustment factors'!$S$16,0.2+0.8*S253),IF(ISTEXT(Q253),VLOOKUP(Q253,Afactors,2,TRUE),""))</f>
        <v/>
      </c>
      <c r="Z253" s="297" t="str">
        <f>IF(ISBLANK(T253),"",VLOOKUP(T253,'Adjustment factors'!$R$27:$S$30,2,TRUE))</f>
        <v/>
      </c>
      <c r="AA253" s="297" t="str">
        <f>IF(ISBLANK(U253),"",VLOOKUP(U253,'Adjustment factors'!$R$27:$S$30,2,TRUE))</f>
        <v/>
      </c>
      <c r="AB253" s="480">
        <f t="shared" si="302"/>
        <v>1</v>
      </c>
      <c r="AC253" s="18" t="b">
        <f t="shared" si="259"/>
        <v>0</v>
      </c>
      <c r="AD253" s="18" t="b">
        <f t="shared" si="260"/>
        <v>0</v>
      </c>
      <c r="AE253" s="18" t="b">
        <f t="shared" si="327"/>
        <v>0</v>
      </c>
      <c r="AF253" s="17" t="str">
        <f t="shared" si="261"/>
        <v/>
      </c>
      <c r="AG253" s="18" t="str">
        <f t="shared" si="262"/>
        <v/>
      </c>
      <c r="AH253" s="17" t="str">
        <f t="shared" si="328"/>
        <v/>
      </c>
      <c r="AI253" s="297" t="e">
        <f t="shared" si="303"/>
        <v>#VALUE!</v>
      </c>
      <c r="AJ253" s="79" t="e">
        <f t="shared" si="263"/>
        <v>#VALUE!</v>
      </c>
      <c r="AK253" s="17" t="str">
        <f t="shared" si="329"/>
        <v/>
      </c>
      <c r="AL253" s="80" t="e">
        <f t="shared" si="264"/>
        <v>#VALUE!</v>
      </c>
      <c r="AM253" s="139" t="b">
        <f t="shared" si="265"/>
        <v>1</v>
      </c>
      <c r="AN253" s="139" t="b">
        <f>AND(COUNTA(E253)&gt;0,ISNUMBER(F253),OR(COUNT(G253:H253)=0,COUNT(G253:H253)=2,AND(ISNUMBER(G253),ISNUMBER(VALUE(LEFT(H253,SUM(LEN(H253)-LEN(SUBSTITUTE(H253,{"0","1","2","3","4","5","6","7","8","9","."},"")))))))),ISNUMBER(I253),ISTEXT(J253))</f>
        <v>0</v>
      </c>
      <c r="AO253" s="19" t="b">
        <f t="shared" si="266"/>
        <v>0</v>
      </c>
      <c r="AP253" s="19" t="b">
        <f t="shared" si="267"/>
        <v>1</v>
      </c>
      <c r="AQ253" s="19" t="b">
        <f>IF(AND(COUNTBLANK(E253:J253)=6,OR(AN254:AN$523)),NOT(AN253))</f>
        <v>0</v>
      </c>
      <c r="AR253" s="19" t="str">
        <f t="shared" si="268"/>
        <v/>
      </c>
      <c r="AS253" s="19" t="b">
        <f t="shared" si="269"/>
        <v>1</v>
      </c>
      <c r="AT253" s="19" t="str">
        <f t="shared" si="270"/>
        <v/>
      </c>
      <c r="AU253" s="19" t="b">
        <f t="shared" si="271"/>
        <v>1</v>
      </c>
      <c r="AV253" s="140" t="str">
        <f t="shared" si="311"/>
        <v/>
      </c>
      <c r="AW253" s="19" t="str">
        <f t="shared" si="272"/>
        <v/>
      </c>
      <c r="AX253" s="81">
        <f t="shared" si="273"/>
        <v>0</v>
      </c>
      <c r="AY253" s="81" t="str">
        <f t="shared" si="274"/>
        <v/>
      </c>
      <c r="AZ253" s="307" t="str">
        <f t="shared" si="304"/>
        <v/>
      </c>
      <c r="BA253" s="281" t="str">
        <f t="shared" si="312"/>
        <v/>
      </c>
      <c r="BB253" s="281" t="str">
        <f t="shared" si="313"/>
        <v/>
      </c>
      <c r="BC253" s="953"/>
      <c r="BD253" s="955"/>
      <c r="BE253" s="219" t="str">
        <f t="shared" si="275"/>
        <v>n/a</v>
      </c>
      <c r="BF253" s="215" t="b">
        <f t="shared" si="276"/>
        <v>0</v>
      </c>
      <c r="BG253" s="145" t="b">
        <f t="shared" si="277"/>
        <v>0</v>
      </c>
      <c r="BH253" s="145" t="b">
        <f t="shared" si="278"/>
        <v>0</v>
      </c>
      <c r="BI253" s="216" t="b">
        <f t="shared" si="279"/>
        <v>0</v>
      </c>
      <c r="BJ253" s="215" t="b">
        <f t="shared" si="280"/>
        <v>0</v>
      </c>
      <c r="BK253" s="145" t="b">
        <f t="shared" si="281"/>
        <v>0</v>
      </c>
      <c r="BL253" s="216" t="b">
        <f t="shared" si="282"/>
        <v>0</v>
      </c>
      <c r="BM253" s="217" t="str">
        <f t="shared" si="314"/>
        <v/>
      </c>
      <c r="BN253" s="146" t="str">
        <f t="shared" si="315"/>
        <v/>
      </c>
      <c r="BO253" s="147" t="str">
        <f t="shared" si="316"/>
        <v/>
      </c>
      <c r="BP253" s="148" t="str">
        <f t="shared" si="317"/>
        <v/>
      </c>
      <c r="BT253" s="50">
        <f t="shared" si="254"/>
        <v>230</v>
      </c>
      <c r="BU253" s="50" t="str">
        <f t="shared" si="333"/>
        <v>-</v>
      </c>
      <c r="BW253" s="333"/>
      <c r="BX253" s="333"/>
      <c r="BY253" s="333"/>
      <c r="BZ253" s="333"/>
      <c r="CA253" s="333"/>
      <c r="CB253" s="333"/>
      <c r="CC253" s="333"/>
      <c r="CD253" s="333"/>
      <c r="CE253" s="333"/>
      <c r="CF253" s="333"/>
      <c r="CG253" s="354">
        <f t="shared" si="283"/>
        <v>230</v>
      </c>
      <c r="CH253" s="613">
        <f t="shared" si="284"/>
        <v>0</v>
      </c>
      <c r="CI253" s="613">
        <f t="shared" si="285"/>
        <v>0</v>
      </c>
      <c r="CJ253" s="614" t="str">
        <f t="shared" si="286"/>
        <v/>
      </c>
      <c r="CK253" s="615" t="str">
        <f t="shared" si="287"/>
        <v/>
      </c>
      <c r="CL253" s="610" t="str">
        <f>IF(ISBLANK(H253),"",IF(AND(ISNUMBER(F253),ISNUMBER(G253),ISNUMBER(H253)),ROUND(F253/(H253*G253),2),ROUND(F253/(VALUE(LEFT(H253,SUM(LEN(H253)-LEN(SUBSTITUTE(H253,{"0","1","2","3","4","5","6","7","8","9","."},"")))))*G253),2)))</f>
        <v/>
      </c>
      <c r="CM253" s="616" t="str">
        <f t="shared" si="318"/>
        <v/>
      </c>
      <c r="CN253" s="616" t="str">
        <f>IF(ISNUMBER(P253),MAX('Adjustment factors'!$S$16,(0.2+0.8*P253)),IF(ISTEXT(N253),VLOOKUP(N253,Afactors,2,FALSE),""))</f>
        <v/>
      </c>
      <c r="CO253" s="616" t="str">
        <f>IF(ISNUMBER(S253),MAX('Adjustment factors'!$S$16,0.2+0.8*S253),IF(ISTEXT(Q253),VLOOKUP(Q253,Afactors,2,FALSE),""))</f>
        <v/>
      </c>
      <c r="CP253" s="611" t="str">
        <f t="shared" si="305"/>
        <v/>
      </c>
      <c r="CQ253" s="612" t="str">
        <f t="shared" si="306"/>
        <v/>
      </c>
      <c r="CR253" s="340"/>
      <c r="CS253" s="340"/>
      <c r="CT253" s="340"/>
      <c r="CU253" s="340"/>
      <c r="CV253" s="333"/>
      <c r="CW253" s="333"/>
      <c r="CX253" s="333"/>
      <c r="CY253" s="333"/>
      <c r="DA253" s="313" t="str">
        <f t="shared" si="288"/>
        <v>OK</v>
      </c>
      <c r="DB253" s="313" t="str">
        <f t="shared" si="289"/>
        <v>OK</v>
      </c>
      <c r="DC253" s="313" t="str">
        <f t="shared" si="290"/>
        <v>OK</v>
      </c>
      <c r="DD253" s="313" t="str">
        <f t="shared" si="291"/>
        <v>OK</v>
      </c>
      <c r="DE253" s="153" t="str">
        <f t="shared" si="292"/>
        <v>OK</v>
      </c>
      <c r="DF253" s="314" t="str">
        <f t="shared" si="293"/>
        <v>OK</v>
      </c>
      <c r="DG253" s="482" t="str">
        <f t="shared" si="307"/>
        <v>OK</v>
      </c>
      <c r="DH253" s="482" t="str">
        <f>IF(OR(AND(T253='Adjustment factors'!$R$28,'Class 3, 5-9'!U253='Adjustment factors'!$R$29),AND('Class 3, 5-9'!T253='Adjustment factors'!$R$29,'Class 3, 5-9'!U253='Adjustment factors'!$R$28)),"Invalid combination of adjustment factors",IF(AND(T253=U253,NOT(ISBLANK(T253)),NOT(ISBLANK(U253))),"Same colour factor selected twice","OK"))</f>
        <v>OK</v>
      </c>
      <c r="DI253" s="313" t="str">
        <f t="shared" si="294"/>
        <v>OK</v>
      </c>
      <c r="DJ253" s="153" t="str">
        <f t="shared" si="319"/>
        <v>OK</v>
      </c>
      <c r="DK253" s="153" t="str">
        <f t="shared" si="295"/>
        <v>OK</v>
      </c>
      <c r="DL253" s="313" t="str">
        <f t="shared" si="296"/>
        <v>OK</v>
      </c>
      <c r="DM253" s="153" t="str">
        <f t="shared" si="297"/>
        <v>OK</v>
      </c>
      <c r="DN253" s="153" t="str">
        <f t="shared" si="320"/>
        <v>OK</v>
      </c>
      <c r="DO253" s="154" t="str">
        <f t="shared" si="321"/>
        <v>OK</v>
      </c>
      <c r="DP253" s="153" t="str">
        <f t="shared" si="298"/>
        <v>OK</v>
      </c>
      <c r="DQ253" s="313" t="str">
        <f t="shared" si="299"/>
        <v>OK</v>
      </c>
      <c r="DR253" s="153" t="str">
        <f t="shared" si="322"/>
        <v>OK</v>
      </c>
      <c r="DS253" s="153" t="str">
        <f t="shared" si="300"/>
        <v>OK</v>
      </c>
      <c r="DT253" s="313" t="str">
        <f t="shared" si="335"/>
        <v>OK</v>
      </c>
      <c r="DU253" s="153" t="str">
        <f t="shared" si="301"/>
        <v>OK</v>
      </c>
      <c r="DV253" s="153" t="str">
        <f t="shared" si="323"/>
        <v>OK</v>
      </c>
      <c r="DW253" s="154" t="str">
        <f t="shared" si="324"/>
        <v>OK</v>
      </c>
      <c r="DX253" s="157">
        <f t="shared" si="325"/>
        <v>0</v>
      </c>
      <c r="DY253" s="156" t="str">
        <f t="shared" si="326"/>
        <v>OK</v>
      </c>
    </row>
    <row r="254" spans="1:129" ht="13" hidden="1" x14ac:dyDescent="0.3">
      <c r="A254" s="333"/>
      <c r="B254" s="333"/>
      <c r="C254" s="331" t="str">
        <f t="shared" si="334"/>
        <v>-</v>
      </c>
      <c r="D254" s="584">
        <f t="shared" si="253"/>
        <v>231</v>
      </c>
      <c r="E254" s="585"/>
      <c r="F254" s="586"/>
      <c r="G254" s="600"/>
      <c r="H254" s="587"/>
      <c r="I254" s="601"/>
      <c r="J254" s="585"/>
      <c r="K254" s="617"/>
      <c r="L254" s="602"/>
      <c r="M254" s="603"/>
      <c r="N254" s="588"/>
      <c r="O254" s="604"/>
      <c r="P254" s="605"/>
      <c r="Q254" s="588"/>
      <c r="R254" s="604"/>
      <c r="S254" s="605"/>
      <c r="T254" s="606"/>
      <c r="U254" s="606"/>
      <c r="V254" s="429" t="str">
        <f t="shared" si="331"/>
        <v/>
      </c>
      <c r="W254" s="430" t="str">
        <f t="shared" si="330"/>
        <v/>
      </c>
      <c r="X254" s="66" t="str">
        <f>IF(AND(ISNUMBER(P254),N254=FixedDim),MAX('Adjustment factors'!$S$16,0.2+0.8*P254),IF(ISTEXT(N254),VLOOKUP(N254,Afactors,2,TRUE),""))</f>
        <v/>
      </c>
      <c r="Y254" s="17" t="str">
        <f>IF(AND(ISNUMBER(S254),Q254=FixedDim),MAX('Adjustment factors'!$S$16,0.2+0.8*S254),IF(ISTEXT(Q254),VLOOKUP(Q254,Afactors,2,TRUE),""))</f>
        <v/>
      </c>
      <c r="Z254" s="297" t="str">
        <f>IF(ISBLANK(T254),"",VLOOKUP(T254,'Adjustment factors'!$R$27:$S$30,2,TRUE))</f>
        <v/>
      </c>
      <c r="AA254" s="297" t="str">
        <f>IF(ISBLANK(U254),"",VLOOKUP(U254,'Adjustment factors'!$R$27:$S$30,2,TRUE))</f>
        <v/>
      </c>
      <c r="AB254" s="480">
        <f t="shared" si="302"/>
        <v>1</v>
      </c>
      <c r="AC254" s="18" t="b">
        <f t="shared" si="259"/>
        <v>0</v>
      </c>
      <c r="AD254" s="18" t="b">
        <f t="shared" si="260"/>
        <v>0</v>
      </c>
      <c r="AE254" s="18" t="b">
        <f t="shared" si="327"/>
        <v>0</v>
      </c>
      <c r="AF254" s="17" t="str">
        <f t="shared" si="261"/>
        <v/>
      </c>
      <c r="AG254" s="18" t="str">
        <f t="shared" si="262"/>
        <v/>
      </c>
      <c r="AH254" s="17" t="str">
        <f t="shared" si="328"/>
        <v/>
      </c>
      <c r="AI254" s="297" t="e">
        <f t="shared" si="303"/>
        <v>#VALUE!</v>
      </c>
      <c r="AJ254" s="79" t="e">
        <f t="shared" si="263"/>
        <v>#VALUE!</v>
      </c>
      <c r="AK254" s="17" t="str">
        <f t="shared" si="329"/>
        <v/>
      </c>
      <c r="AL254" s="80" t="e">
        <f t="shared" si="264"/>
        <v>#VALUE!</v>
      </c>
      <c r="AM254" s="139" t="b">
        <f t="shared" si="265"/>
        <v>1</v>
      </c>
      <c r="AN254" s="139" t="b">
        <f>AND(COUNTA(E254)&gt;0,ISNUMBER(F254),OR(COUNT(G254:H254)=0,COUNT(G254:H254)=2,AND(ISNUMBER(G254),ISNUMBER(VALUE(LEFT(H254,SUM(LEN(H254)-LEN(SUBSTITUTE(H254,{"0","1","2","3","4","5","6","7","8","9","."},"")))))))),ISNUMBER(I254),ISTEXT(J254))</f>
        <v>0</v>
      </c>
      <c r="AO254" s="19" t="b">
        <f t="shared" si="266"/>
        <v>0</v>
      </c>
      <c r="AP254" s="19" t="b">
        <f t="shared" si="267"/>
        <v>1</v>
      </c>
      <c r="AQ254" s="19" t="b">
        <f>IF(AND(COUNTBLANK(E254:J254)=6,OR(AN255:AN$523)),NOT(AN254))</f>
        <v>0</v>
      </c>
      <c r="AR254" s="19" t="str">
        <f t="shared" si="268"/>
        <v/>
      </c>
      <c r="AS254" s="19" t="b">
        <f t="shared" si="269"/>
        <v>1</v>
      </c>
      <c r="AT254" s="19" t="str">
        <f t="shared" si="270"/>
        <v/>
      </c>
      <c r="AU254" s="19" t="b">
        <f t="shared" si="271"/>
        <v>1</v>
      </c>
      <c r="AV254" s="140" t="str">
        <f t="shared" si="311"/>
        <v/>
      </c>
      <c r="AW254" s="19" t="str">
        <f t="shared" si="272"/>
        <v/>
      </c>
      <c r="AX254" s="81">
        <f t="shared" si="273"/>
        <v>0</v>
      </c>
      <c r="AY254" s="81" t="str">
        <f t="shared" si="274"/>
        <v/>
      </c>
      <c r="AZ254" s="307" t="str">
        <f t="shared" si="304"/>
        <v/>
      </c>
      <c r="BA254" s="281" t="str">
        <f t="shared" si="312"/>
        <v/>
      </c>
      <c r="BB254" s="281" t="str">
        <f t="shared" si="313"/>
        <v/>
      </c>
      <c r="BC254" s="953"/>
      <c r="BD254" s="955"/>
      <c r="BE254" s="219" t="str">
        <f t="shared" si="275"/>
        <v>n/a</v>
      </c>
      <c r="BF254" s="215" t="b">
        <f t="shared" si="276"/>
        <v>0</v>
      </c>
      <c r="BG254" s="145" t="b">
        <f t="shared" si="277"/>
        <v>0</v>
      </c>
      <c r="BH254" s="145" t="b">
        <f t="shared" si="278"/>
        <v>0</v>
      </c>
      <c r="BI254" s="216" t="b">
        <f t="shared" si="279"/>
        <v>0</v>
      </c>
      <c r="BJ254" s="215" t="b">
        <f t="shared" si="280"/>
        <v>0</v>
      </c>
      <c r="BK254" s="145" t="b">
        <f t="shared" si="281"/>
        <v>0</v>
      </c>
      <c r="BL254" s="216" t="b">
        <f t="shared" si="282"/>
        <v>0</v>
      </c>
      <c r="BM254" s="217" t="str">
        <f t="shared" si="314"/>
        <v/>
      </c>
      <c r="BN254" s="146" t="str">
        <f t="shared" si="315"/>
        <v/>
      </c>
      <c r="BO254" s="147" t="str">
        <f t="shared" si="316"/>
        <v/>
      </c>
      <c r="BP254" s="148" t="str">
        <f t="shared" si="317"/>
        <v/>
      </c>
      <c r="BT254" s="50">
        <f t="shared" si="254"/>
        <v>231</v>
      </c>
      <c r="BU254" s="50" t="str">
        <f t="shared" si="333"/>
        <v>-</v>
      </c>
      <c r="BW254" s="333"/>
      <c r="BX254" s="333"/>
      <c r="BY254" s="333"/>
      <c r="BZ254" s="333"/>
      <c r="CA254" s="333"/>
      <c r="CB254" s="333"/>
      <c r="CC254" s="333"/>
      <c r="CD254" s="333"/>
      <c r="CE254" s="333"/>
      <c r="CF254" s="333"/>
      <c r="CG254" s="354">
        <f t="shared" si="283"/>
        <v>231</v>
      </c>
      <c r="CH254" s="613">
        <f t="shared" si="284"/>
        <v>0</v>
      </c>
      <c r="CI254" s="613">
        <f t="shared" si="285"/>
        <v>0</v>
      </c>
      <c r="CJ254" s="614" t="str">
        <f t="shared" si="286"/>
        <v/>
      </c>
      <c r="CK254" s="615" t="str">
        <f t="shared" si="287"/>
        <v/>
      </c>
      <c r="CL254" s="610" t="str">
        <f>IF(ISBLANK(H254),"",IF(AND(ISNUMBER(F254),ISNUMBER(G254),ISNUMBER(H254)),ROUND(F254/(H254*G254),2),ROUND(F254/(VALUE(LEFT(H254,SUM(LEN(H254)-LEN(SUBSTITUTE(H254,{"0","1","2","3","4","5","6","7","8","9","."},"")))))*G254),2)))</f>
        <v/>
      </c>
      <c r="CM254" s="616" t="str">
        <f t="shared" si="318"/>
        <v/>
      </c>
      <c r="CN254" s="616" t="str">
        <f>IF(ISNUMBER(P254),MAX('Adjustment factors'!$S$16,(0.2+0.8*P254)),IF(ISTEXT(N254),VLOOKUP(N254,Afactors,2,FALSE),""))</f>
        <v/>
      </c>
      <c r="CO254" s="616" t="str">
        <f>IF(ISNUMBER(S254),MAX('Adjustment factors'!$S$16,0.2+0.8*S254),IF(ISTEXT(Q254),VLOOKUP(Q254,Afactors,2,FALSE),""))</f>
        <v/>
      </c>
      <c r="CP254" s="611" t="str">
        <f t="shared" si="305"/>
        <v/>
      </c>
      <c r="CQ254" s="612" t="str">
        <f t="shared" si="306"/>
        <v/>
      </c>
      <c r="CR254" s="340"/>
      <c r="CS254" s="340"/>
      <c r="CT254" s="340"/>
      <c r="CU254" s="340"/>
      <c r="CV254" s="333"/>
      <c r="CW254" s="333"/>
      <c r="CX254" s="333"/>
      <c r="CY254" s="333"/>
      <c r="DA254" s="313" t="str">
        <f t="shared" si="288"/>
        <v>OK</v>
      </c>
      <c r="DB254" s="313" t="str">
        <f t="shared" si="289"/>
        <v>OK</v>
      </c>
      <c r="DC254" s="313" t="str">
        <f t="shared" si="290"/>
        <v>OK</v>
      </c>
      <c r="DD254" s="313" t="str">
        <f t="shared" si="291"/>
        <v>OK</v>
      </c>
      <c r="DE254" s="153" t="str">
        <f t="shared" si="292"/>
        <v>OK</v>
      </c>
      <c r="DF254" s="314" t="str">
        <f t="shared" si="293"/>
        <v>OK</v>
      </c>
      <c r="DG254" s="482" t="str">
        <f t="shared" si="307"/>
        <v>OK</v>
      </c>
      <c r="DH254" s="482" t="str">
        <f>IF(OR(AND(T254='Adjustment factors'!$R$28,'Class 3, 5-9'!U254='Adjustment factors'!$R$29),AND('Class 3, 5-9'!T254='Adjustment factors'!$R$29,'Class 3, 5-9'!U254='Adjustment factors'!$R$28)),"Invalid combination of adjustment factors",IF(AND(T254=U254,NOT(ISBLANK(T254)),NOT(ISBLANK(U254))),"Same colour factor selected twice","OK"))</f>
        <v>OK</v>
      </c>
      <c r="DI254" s="313" t="str">
        <f t="shared" si="294"/>
        <v>OK</v>
      </c>
      <c r="DJ254" s="153" t="str">
        <f t="shared" si="319"/>
        <v>OK</v>
      </c>
      <c r="DK254" s="153" t="str">
        <f t="shared" si="295"/>
        <v>OK</v>
      </c>
      <c r="DL254" s="313" t="str">
        <f t="shared" si="296"/>
        <v>OK</v>
      </c>
      <c r="DM254" s="153" t="str">
        <f t="shared" si="297"/>
        <v>OK</v>
      </c>
      <c r="DN254" s="153" t="str">
        <f t="shared" si="320"/>
        <v>OK</v>
      </c>
      <c r="DO254" s="154" t="str">
        <f t="shared" si="321"/>
        <v>OK</v>
      </c>
      <c r="DP254" s="153" t="str">
        <f t="shared" si="298"/>
        <v>OK</v>
      </c>
      <c r="DQ254" s="313" t="str">
        <f t="shared" si="299"/>
        <v>OK</v>
      </c>
      <c r="DR254" s="153" t="str">
        <f t="shared" si="322"/>
        <v>OK</v>
      </c>
      <c r="DS254" s="153" t="str">
        <f t="shared" si="300"/>
        <v>OK</v>
      </c>
      <c r="DT254" s="313" t="str">
        <f t="shared" si="335"/>
        <v>OK</v>
      </c>
      <c r="DU254" s="153" t="str">
        <f t="shared" si="301"/>
        <v>OK</v>
      </c>
      <c r="DV254" s="153" t="str">
        <f t="shared" si="323"/>
        <v>OK</v>
      </c>
      <c r="DW254" s="154" t="str">
        <f t="shared" si="324"/>
        <v>OK</v>
      </c>
      <c r="DX254" s="157">
        <f t="shared" si="325"/>
        <v>0</v>
      </c>
      <c r="DY254" s="156" t="str">
        <f t="shared" si="326"/>
        <v>OK</v>
      </c>
    </row>
    <row r="255" spans="1:129" ht="13" hidden="1" x14ac:dyDescent="0.3">
      <c r="A255" s="333"/>
      <c r="B255" s="333"/>
      <c r="C255" s="331" t="str">
        <f t="shared" si="334"/>
        <v>-</v>
      </c>
      <c r="D255" s="584">
        <f t="shared" si="253"/>
        <v>232</v>
      </c>
      <c r="E255" s="585"/>
      <c r="F255" s="586"/>
      <c r="G255" s="600"/>
      <c r="H255" s="587"/>
      <c r="I255" s="601"/>
      <c r="J255" s="585"/>
      <c r="K255" s="617"/>
      <c r="L255" s="602"/>
      <c r="M255" s="603"/>
      <c r="N255" s="588"/>
      <c r="O255" s="604"/>
      <c r="P255" s="605"/>
      <c r="Q255" s="588"/>
      <c r="R255" s="604"/>
      <c r="S255" s="605"/>
      <c r="T255" s="606"/>
      <c r="U255" s="606"/>
      <c r="V255" s="429" t="str">
        <f t="shared" si="331"/>
        <v/>
      </c>
      <c r="W255" s="430" t="str">
        <f t="shared" si="330"/>
        <v/>
      </c>
      <c r="X255" s="66" t="str">
        <f>IF(AND(ISNUMBER(P255),N255=FixedDim),MAX('Adjustment factors'!$S$16,0.2+0.8*P255),IF(ISTEXT(N255),VLOOKUP(N255,Afactors,2,TRUE),""))</f>
        <v/>
      </c>
      <c r="Y255" s="17" t="str">
        <f>IF(AND(ISNUMBER(S255),Q255=FixedDim),MAX('Adjustment factors'!$S$16,0.2+0.8*S255),IF(ISTEXT(Q255),VLOOKUP(Q255,Afactors,2,TRUE),""))</f>
        <v/>
      </c>
      <c r="Z255" s="297" t="str">
        <f>IF(ISBLANK(T255),"",VLOOKUP(T255,'Adjustment factors'!$R$27:$S$30,2,TRUE))</f>
        <v/>
      </c>
      <c r="AA255" s="297" t="str">
        <f>IF(ISBLANK(U255),"",VLOOKUP(U255,'Adjustment factors'!$R$27:$S$30,2,TRUE))</f>
        <v/>
      </c>
      <c r="AB255" s="480">
        <f t="shared" si="302"/>
        <v>1</v>
      </c>
      <c r="AC255" s="18" t="b">
        <f t="shared" si="259"/>
        <v>0</v>
      </c>
      <c r="AD255" s="18" t="b">
        <f t="shared" si="260"/>
        <v>0</v>
      </c>
      <c r="AE255" s="18" t="b">
        <f t="shared" si="327"/>
        <v>0</v>
      </c>
      <c r="AF255" s="17" t="str">
        <f t="shared" si="261"/>
        <v/>
      </c>
      <c r="AG255" s="18" t="str">
        <f t="shared" si="262"/>
        <v/>
      </c>
      <c r="AH255" s="17" t="str">
        <f t="shared" si="328"/>
        <v/>
      </c>
      <c r="AI255" s="297" t="e">
        <f t="shared" si="303"/>
        <v>#VALUE!</v>
      </c>
      <c r="AJ255" s="79" t="e">
        <f t="shared" si="263"/>
        <v>#VALUE!</v>
      </c>
      <c r="AK255" s="17" t="str">
        <f t="shared" si="329"/>
        <v/>
      </c>
      <c r="AL255" s="80" t="e">
        <f t="shared" si="264"/>
        <v>#VALUE!</v>
      </c>
      <c r="AM255" s="139" t="b">
        <f t="shared" si="265"/>
        <v>1</v>
      </c>
      <c r="AN255" s="139" t="b">
        <f>AND(COUNTA(E255)&gt;0,ISNUMBER(F255),OR(COUNT(G255:H255)=0,COUNT(G255:H255)=2,AND(ISNUMBER(G255),ISNUMBER(VALUE(LEFT(H255,SUM(LEN(H255)-LEN(SUBSTITUTE(H255,{"0","1","2","3","4","5","6","7","8","9","."},"")))))))),ISNUMBER(I255),ISTEXT(J255))</f>
        <v>0</v>
      </c>
      <c r="AO255" s="19" t="b">
        <f t="shared" si="266"/>
        <v>0</v>
      </c>
      <c r="AP255" s="19" t="b">
        <f t="shared" si="267"/>
        <v>1</v>
      </c>
      <c r="AQ255" s="19" t="b">
        <f>IF(AND(COUNTBLANK(E255:J255)=6,OR(AN256:AN$523)),NOT(AN255))</f>
        <v>0</v>
      </c>
      <c r="AR255" s="19" t="str">
        <f t="shared" si="268"/>
        <v/>
      </c>
      <c r="AS255" s="19" t="b">
        <f t="shared" si="269"/>
        <v>1</v>
      </c>
      <c r="AT255" s="19" t="str">
        <f t="shared" si="270"/>
        <v/>
      </c>
      <c r="AU255" s="19" t="b">
        <f t="shared" si="271"/>
        <v>1</v>
      </c>
      <c r="AV255" s="140" t="str">
        <f t="shared" si="311"/>
        <v/>
      </c>
      <c r="AW255" s="19" t="str">
        <f t="shared" si="272"/>
        <v/>
      </c>
      <c r="AX255" s="81">
        <f t="shared" si="273"/>
        <v>0</v>
      </c>
      <c r="AY255" s="81" t="str">
        <f t="shared" si="274"/>
        <v/>
      </c>
      <c r="AZ255" s="307" t="str">
        <f t="shared" si="304"/>
        <v/>
      </c>
      <c r="BA255" s="281" t="str">
        <f t="shared" si="312"/>
        <v/>
      </c>
      <c r="BB255" s="281" t="str">
        <f t="shared" si="313"/>
        <v/>
      </c>
      <c r="BC255" s="953"/>
      <c r="BD255" s="955"/>
      <c r="BE255" s="219" t="str">
        <f t="shared" si="275"/>
        <v>n/a</v>
      </c>
      <c r="BF255" s="215" t="b">
        <f t="shared" si="276"/>
        <v>0</v>
      </c>
      <c r="BG255" s="145" t="b">
        <f t="shared" si="277"/>
        <v>0</v>
      </c>
      <c r="BH255" s="145" t="b">
        <f t="shared" si="278"/>
        <v>0</v>
      </c>
      <c r="BI255" s="216" t="b">
        <f t="shared" si="279"/>
        <v>0</v>
      </c>
      <c r="BJ255" s="215" t="b">
        <f t="shared" si="280"/>
        <v>0</v>
      </c>
      <c r="BK255" s="145" t="b">
        <f t="shared" si="281"/>
        <v>0</v>
      </c>
      <c r="BL255" s="216" t="b">
        <f t="shared" si="282"/>
        <v>0</v>
      </c>
      <c r="BM255" s="217" t="str">
        <f t="shared" si="314"/>
        <v/>
      </c>
      <c r="BN255" s="146" t="str">
        <f t="shared" si="315"/>
        <v/>
      </c>
      <c r="BO255" s="147" t="str">
        <f t="shared" si="316"/>
        <v/>
      </c>
      <c r="BP255" s="148" t="str">
        <f t="shared" si="317"/>
        <v/>
      </c>
      <c r="BT255" s="50">
        <f t="shared" si="254"/>
        <v>232</v>
      </c>
      <c r="BU255" s="50" t="str">
        <f t="shared" si="333"/>
        <v>-</v>
      </c>
      <c r="BW255" s="333"/>
      <c r="BX255" s="333"/>
      <c r="BY255" s="333"/>
      <c r="BZ255" s="333"/>
      <c r="CA255" s="333"/>
      <c r="CB255" s="333"/>
      <c r="CC255" s="333"/>
      <c r="CD255" s="333"/>
      <c r="CE255" s="333"/>
      <c r="CF255" s="333"/>
      <c r="CG255" s="354">
        <f t="shared" si="283"/>
        <v>232</v>
      </c>
      <c r="CH255" s="613">
        <f t="shared" si="284"/>
        <v>0</v>
      </c>
      <c r="CI255" s="613">
        <f t="shared" si="285"/>
        <v>0</v>
      </c>
      <c r="CJ255" s="614" t="str">
        <f t="shared" si="286"/>
        <v/>
      </c>
      <c r="CK255" s="615" t="str">
        <f t="shared" si="287"/>
        <v/>
      </c>
      <c r="CL255" s="610" t="str">
        <f>IF(ISBLANK(H255),"",IF(AND(ISNUMBER(F255),ISNUMBER(G255),ISNUMBER(H255)),ROUND(F255/(H255*G255),2),ROUND(F255/(VALUE(LEFT(H255,SUM(LEN(H255)-LEN(SUBSTITUTE(H255,{"0","1","2","3","4","5","6","7","8","9","."},"")))))*G255),2)))</f>
        <v/>
      </c>
      <c r="CM255" s="616" t="str">
        <f t="shared" si="318"/>
        <v/>
      </c>
      <c r="CN255" s="616" t="str">
        <f>IF(ISNUMBER(P255),MAX('Adjustment factors'!$S$16,(0.2+0.8*P255)),IF(ISTEXT(N255),VLOOKUP(N255,Afactors,2,FALSE),""))</f>
        <v/>
      </c>
      <c r="CO255" s="616" t="str">
        <f>IF(ISNUMBER(S255),MAX('Adjustment factors'!$S$16,0.2+0.8*S255),IF(ISTEXT(Q255),VLOOKUP(Q255,Afactors,2,FALSE),""))</f>
        <v/>
      </c>
      <c r="CP255" s="611" t="str">
        <f t="shared" si="305"/>
        <v/>
      </c>
      <c r="CQ255" s="612" t="str">
        <f t="shared" si="306"/>
        <v/>
      </c>
      <c r="CR255" s="340"/>
      <c r="CS255" s="340"/>
      <c r="CT255" s="340"/>
      <c r="CU255" s="340"/>
      <c r="CV255" s="333"/>
      <c r="CW255" s="333"/>
      <c r="CX255" s="333"/>
      <c r="CY255" s="333"/>
      <c r="DA255" s="313" t="str">
        <f t="shared" si="288"/>
        <v>OK</v>
      </c>
      <c r="DB255" s="313" t="str">
        <f t="shared" si="289"/>
        <v>OK</v>
      </c>
      <c r="DC255" s="313" t="str">
        <f t="shared" si="290"/>
        <v>OK</v>
      </c>
      <c r="DD255" s="313" t="str">
        <f t="shared" si="291"/>
        <v>OK</v>
      </c>
      <c r="DE255" s="153" t="str">
        <f t="shared" si="292"/>
        <v>OK</v>
      </c>
      <c r="DF255" s="314" t="str">
        <f t="shared" si="293"/>
        <v>OK</v>
      </c>
      <c r="DG255" s="482" t="str">
        <f t="shared" si="307"/>
        <v>OK</v>
      </c>
      <c r="DH255" s="482" t="str">
        <f>IF(OR(AND(T255='Adjustment factors'!$R$28,'Class 3, 5-9'!U255='Adjustment factors'!$R$29),AND('Class 3, 5-9'!T255='Adjustment factors'!$R$29,'Class 3, 5-9'!U255='Adjustment factors'!$R$28)),"Invalid combination of adjustment factors",IF(AND(T255=U255,NOT(ISBLANK(T255)),NOT(ISBLANK(U255))),"Same colour factor selected twice","OK"))</f>
        <v>OK</v>
      </c>
      <c r="DI255" s="313" t="str">
        <f t="shared" si="294"/>
        <v>OK</v>
      </c>
      <c r="DJ255" s="153" t="str">
        <f t="shared" si="319"/>
        <v>OK</v>
      </c>
      <c r="DK255" s="153" t="str">
        <f t="shared" si="295"/>
        <v>OK</v>
      </c>
      <c r="DL255" s="313" t="str">
        <f t="shared" si="296"/>
        <v>OK</v>
      </c>
      <c r="DM255" s="153" t="str">
        <f t="shared" si="297"/>
        <v>OK</v>
      </c>
      <c r="DN255" s="153" t="str">
        <f t="shared" si="320"/>
        <v>OK</v>
      </c>
      <c r="DO255" s="154" t="str">
        <f t="shared" si="321"/>
        <v>OK</v>
      </c>
      <c r="DP255" s="153" t="str">
        <f t="shared" si="298"/>
        <v>OK</v>
      </c>
      <c r="DQ255" s="313" t="str">
        <f t="shared" si="299"/>
        <v>OK</v>
      </c>
      <c r="DR255" s="153" t="str">
        <f t="shared" si="322"/>
        <v>OK</v>
      </c>
      <c r="DS255" s="153" t="str">
        <f t="shared" si="300"/>
        <v>OK</v>
      </c>
      <c r="DT255" s="313" t="str">
        <f t="shared" si="335"/>
        <v>OK</v>
      </c>
      <c r="DU255" s="153" t="str">
        <f t="shared" si="301"/>
        <v>OK</v>
      </c>
      <c r="DV255" s="153" t="str">
        <f t="shared" si="323"/>
        <v>OK</v>
      </c>
      <c r="DW255" s="154" t="str">
        <f t="shared" si="324"/>
        <v>OK</v>
      </c>
      <c r="DX255" s="157">
        <f t="shared" si="325"/>
        <v>0</v>
      </c>
      <c r="DY255" s="156" t="str">
        <f t="shared" si="326"/>
        <v>OK</v>
      </c>
    </row>
    <row r="256" spans="1:129" ht="13" hidden="1" x14ac:dyDescent="0.3">
      <c r="A256" s="333"/>
      <c r="B256" s="333"/>
      <c r="C256" s="331" t="str">
        <f t="shared" si="334"/>
        <v>-</v>
      </c>
      <c r="D256" s="584">
        <f t="shared" si="253"/>
        <v>233</v>
      </c>
      <c r="E256" s="585"/>
      <c r="F256" s="586"/>
      <c r="G256" s="600"/>
      <c r="H256" s="587"/>
      <c r="I256" s="601"/>
      <c r="J256" s="585"/>
      <c r="K256" s="617"/>
      <c r="L256" s="602"/>
      <c r="M256" s="603"/>
      <c r="N256" s="588"/>
      <c r="O256" s="604"/>
      <c r="P256" s="605"/>
      <c r="Q256" s="588"/>
      <c r="R256" s="604"/>
      <c r="S256" s="605"/>
      <c r="T256" s="606"/>
      <c r="U256" s="606"/>
      <c r="V256" s="429" t="str">
        <f t="shared" si="331"/>
        <v/>
      </c>
      <c r="W256" s="430" t="str">
        <f t="shared" si="330"/>
        <v/>
      </c>
      <c r="X256" s="66" t="str">
        <f>IF(AND(ISNUMBER(P256),N256=FixedDim),MAX('Adjustment factors'!$S$16,0.2+0.8*P256),IF(ISTEXT(N256),VLOOKUP(N256,Afactors,2,TRUE),""))</f>
        <v/>
      </c>
      <c r="Y256" s="17" t="str">
        <f>IF(AND(ISNUMBER(S256),Q256=FixedDim),MAX('Adjustment factors'!$S$16,0.2+0.8*S256),IF(ISTEXT(Q256),VLOOKUP(Q256,Afactors,2,TRUE),""))</f>
        <v/>
      </c>
      <c r="Z256" s="297" t="str">
        <f>IF(ISBLANK(T256),"",VLOOKUP(T256,'Adjustment factors'!$R$27:$S$30,2,TRUE))</f>
        <v/>
      </c>
      <c r="AA256" s="297" t="str">
        <f>IF(ISBLANK(U256),"",VLOOKUP(U256,'Adjustment factors'!$R$27:$S$30,2,TRUE))</f>
        <v/>
      </c>
      <c r="AB256" s="480">
        <f t="shared" si="302"/>
        <v>1</v>
      </c>
      <c r="AC256" s="18" t="b">
        <f t="shared" si="259"/>
        <v>0</v>
      </c>
      <c r="AD256" s="18" t="b">
        <f t="shared" si="260"/>
        <v>0</v>
      </c>
      <c r="AE256" s="18" t="b">
        <f t="shared" si="327"/>
        <v>0</v>
      </c>
      <c r="AF256" s="17" t="str">
        <f t="shared" si="261"/>
        <v/>
      </c>
      <c r="AG256" s="18" t="str">
        <f t="shared" si="262"/>
        <v/>
      </c>
      <c r="AH256" s="17" t="str">
        <f t="shared" si="328"/>
        <v/>
      </c>
      <c r="AI256" s="297" t="e">
        <f t="shared" si="303"/>
        <v>#VALUE!</v>
      </c>
      <c r="AJ256" s="79" t="e">
        <f t="shared" si="263"/>
        <v>#VALUE!</v>
      </c>
      <c r="AK256" s="17" t="str">
        <f t="shared" si="329"/>
        <v/>
      </c>
      <c r="AL256" s="80" t="e">
        <f t="shared" si="264"/>
        <v>#VALUE!</v>
      </c>
      <c r="AM256" s="139" t="b">
        <f t="shared" si="265"/>
        <v>1</v>
      </c>
      <c r="AN256" s="139" t="b">
        <f>AND(COUNTA(E256)&gt;0,ISNUMBER(F256),OR(COUNT(G256:H256)=0,COUNT(G256:H256)=2,AND(ISNUMBER(G256),ISNUMBER(VALUE(LEFT(H256,SUM(LEN(H256)-LEN(SUBSTITUTE(H256,{"0","1","2","3","4","5","6","7","8","9","."},"")))))))),ISNUMBER(I256),ISTEXT(J256))</f>
        <v>0</v>
      </c>
      <c r="AO256" s="19" t="b">
        <f t="shared" si="266"/>
        <v>0</v>
      </c>
      <c r="AP256" s="19" t="b">
        <f t="shared" si="267"/>
        <v>1</v>
      </c>
      <c r="AQ256" s="19" t="b">
        <f>IF(AND(COUNTBLANK(E256:J256)=6,OR(AN257:AN$523)),NOT(AN256))</f>
        <v>0</v>
      </c>
      <c r="AR256" s="19" t="str">
        <f t="shared" si="268"/>
        <v/>
      </c>
      <c r="AS256" s="19" t="b">
        <f t="shared" si="269"/>
        <v>1</v>
      </c>
      <c r="AT256" s="19" t="str">
        <f t="shared" si="270"/>
        <v/>
      </c>
      <c r="AU256" s="19" t="b">
        <f t="shared" si="271"/>
        <v>1</v>
      </c>
      <c r="AV256" s="140" t="str">
        <f t="shared" si="311"/>
        <v/>
      </c>
      <c r="AW256" s="19" t="str">
        <f t="shared" si="272"/>
        <v/>
      </c>
      <c r="AX256" s="81">
        <f t="shared" si="273"/>
        <v>0</v>
      </c>
      <c r="AY256" s="81" t="str">
        <f t="shared" si="274"/>
        <v/>
      </c>
      <c r="AZ256" s="307" t="str">
        <f t="shared" si="304"/>
        <v/>
      </c>
      <c r="BA256" s="281" t="str">
        <f t="shared" si="312"/>
        <v/>
      </c>
      <c r="BB256" s="281" t="str">
        <f t="shared" si="313"/>
        <v/>
      </c>
      <c r="BC256" s="953"/>
      <c r="BD256" s="955"/>
      <c r="BE256" s="219" t="str">
        <f t="shared" si="275"/>
        <v>n/a</v>
      </c>
      <c r="BF256" s="215" t="b">
        <f t="shared" si="276"/>
        <v>0</v>
      </c>
      <c r="BG256" s="145" t="b">
        <f t="shared" si="277"/>
        <v>0</v>
      </c>
      <c r="BH256" s="145" t="b">
        <f t="shared" si="278"/>
        <v>0</v>
      </c>
      <c r="BI256" s="216" t="b">
        <f t="shared" si="279"/>
        <v>0</v>
      </c>
      <c r="BJ256" s="215" t="b">
        <f t="shared" si="280"/>
        <v>0</v>
      </c>
      <c r="BK256" s="145" t="b">
        <f t="shared" si="281"/>
        <v>0</v>
      </c>
      <c r="BL256" s="216" t="b">
        <f t="shared" si="282"/>
        <v>0</v>
      </c>
      <c r="BM256" s="217" t="str">
        <f t="shared" si="314"/>
        <v/>
      </c>
      <c r="BN256" s="146" t="str">
        <f t="shared" si="315"/>
        <v/>
      </c>
      <c r="BO256" s="147" t="str">
        <f t="shared" si="316"/>
        <v/>
      </c>
      <c r="BP256" s="148" t="str">
        <f t="shared" si="317"/>
        <v/>
      </c>
      <c r="BT256" s="50">
        <f t="shared" si="254"/>
        <v>233</v>
      </c>
      <c r="BU256" s="50" t="str">
        <f t="shared" si="333"/>
        <v>-</v>
      </c>
      <c r="BW256" s="333"/>
      <c r="BX256" s="333"/>
      <c r="BY256" s="333"/>
      <c r="BZ256" s="333"/>
      <c r="CA256" s="333"/>
      <c r="CB256" s="333"/>
      <c r="CC256" s="333"/>
      <c r="CD256" s="333"/>
      <c r="CE256" s="333"/>
      <c r="CF256" s="333"/>
      <c r="CG256" s="354">
        <f t="shared" si="283"/>
        <v>233</v>
      </c>
      <c r="CH256" s="613">
        <f t="shared" si="284"/>
        <v>0</v>
      </c>
      <c r="CI256" s="613">
        <f t="shared" si="285"/>
        <v>0</v>
      </c>
      <c r="CJ256" s="614" t="str">
        <f t="shared" si="286"/>
        <v/>
      </c>
      <c r="CK256" s="615" t="str">
        <f t="shared" si="287"/>
        <v/>
      </c>
      <c r="CL256" s="610" t="str">
        <f>IF(ISBLANK(H256),"",IF(AND(ISNUMBER(F256),ISNUMBER(G256),ISNUMBER(H256)),ROUND(F256/(H256*G256),2),ROUND(F256/(VALUE(LEFT(H256,SUM(LEN(H256)-LEN(SUBSTITUTE(H256,{"0","1","2","3","4","5","6","7","8","9","."},"")))))*G256),2)))</f>
        <v/>
      </c>
      <c r="CM256" s="616" t="str">
        <f t="shared" si="318"/>
        <v/>
      </c>
      <c r="CN256" s="616" t="str">
        <f>IF(ISNUMBER(P256),MAX('Adjustment factors'!$S$16,(0.2+0.8*P256)),IF(ISTEXT(N256),VLOOKUP(N256,Afactors,2,FALSE),""))</f>
        <v/>
      </c>
      <c r="CO256" s="616" t="str">
        <f>IF(ISNUMBER(S256),MAX('Adjustment factors'!$S$16,0.2+0.8*S256),IF(ISTEXT(Q256),VLOOKUP(Q256,Afactors,2,FALSE),""))</f>
        <v/>
      </c>
      <c r="CP256" s="611" t="str">
        <f t="shared" si="305"/>
        <v/>
      </c>
      <c r="CQ256" s="612" t="str">
        <f t="shared" si="306"/>
        <v/>
      </c>
      <c r="CR256" s="340"/>
      <c r="CS256" s="340"/>
      <c r="CT256" s="340"/>
      <c r="CU256" s="340"/>
      <c r="CV256" s="333"/>
      <c r="CW256" s="333"/>
      <c r="CX256" s="333"/>
      <c r="CY256" s="333"/>
      <c r="DA256" s="313" t="str">
        <f t="shared" si="288"/>
        <v>OK</v>
      </c>
      <c r="DB256" s="313" t="str">
        <f t="shared" si="289"/>
        <v>OK</v>
      </c>
      <c r="DC256" s="313" t="str">
        <f t="shared" si="290"/>
        <v>OK</v>
      </c>
      <c r="DD256" s="313" t="str">
        <f t="shared" si="291"/>
        <v>OK</v>
      </c>
      <c r="DE256" s="153" t="str">
        <f t="shared" si="292"/>
        <v>OK</v>
      </c>
      <c r="DF256" s="314" t="str">
        <f t="shared" si="293"/>
        <v>OK</v>
      </c>
      <c r="DG256" s="482" t="str">
        <f t="shared" si="307"/>
        <v>OK</v>
      </c>
      <c r="DH256" s="482" t="str">
        <f>IF(OR(AND(T256='Adjustment factors'!$R$28,'Class 3, 5-9'!U256='Adjustment factors'!$R$29),AND('Class 3, 5-9'!T256='Adjustment factors'!$R$29,'Class 3, 5-9'!U256='Adjustment factors'!$R$28)),"Invalid combination of adjustment factors",IF(AND(T256=U256,NOT(ISBLANK(T256)),NOT(ISBLANK(U256))),"Same colour factor selected twice","OK"))</f>
        <v>OK</v>
      </c>
      <c r="DI256" s="313" t="str">
        <f t="shared" si="294"/>
        <v>OK</v>
      </c>
      <c r="DJ256" s="153" t="str">
        <f t="shared" si="319"/>
        <v>OK</v>
      </c>
      <c r="DK256" s="153" t="str">
        <f t="shared" si="295"/>
        <v>OK</v>
      </c>
      <c r="DL256" s="313" t="str">
        <f t="shared" si="296"/>
        <v>OK</v>
      </c>
      <c r="DM256" s="153" t="str">
        <f t="shared" si="297"/>
        <v>OK</v>
      </c>
      <c r="DN256" s="153" t="str">
        <f t="shared" si="320"/>
        <v>OK</v>
      </c>
      <c r="DO256" s="154" t="str">
        <f t="shared" si="321"/>
        <v>OK</v>
      </c>
      <c r="DP256" s="153" t="str">
        <f t="shared" si="298"/>
        <v>OK</v>
      </c>
      <c r="DQ256" s="313" t="str">
        <f t="shared" si="299"/>
        <v>OK</v>
      </c>
      <c r="DR256" s="153" t="str">
        <f t="shared" si="322"/>
        <v>OK</v>
      </c>
      <c r="DS256" s="153" t="str">
        <f t="shared" si="300"/>
        <v>OK</v>
      </c>
      <c r="DT256" s="313" t="str">
        <f t="shared" si="335"/>
        <v>OK</v>
      </c>
      <c r="DU256" s="153" t="str">
        <f t="shared" si="301"/>
        <v>OK</v>
      </c>
      <c r="DV256" s="153" t="str">
        <f t="shared" si="323"/>
        <v>OK</v>
      </c>
      <c r="DW256" s="154" t="str">
        <f t="shared" si="324"/>
        <v>OK</v>
      </c>
      <c r="DX256" s="157">
        <f t="shared" si="325"/>
        <v>0</v>
      </c>
      <c r="DY256" s="156" t="str">
        <f t="shared" si="326"/>
        <v>OK</v>
      </c>
    </row>
    <row r="257" spans="1:129" ht="13" hidden="1" x14ac:dyDescent="0.3">
      <c r="A257" s="333"/>
      <c r="B257" s="333"/>
      <c r="C257" s="331" t="str">
        <f t="shared" si="334"/>
        <v>-</v>
      </c>
      <c r="D257" s="584">
        <f t="shared" ref="D257:D320" si="336">D256+1</f>
        <v>234</v>
      </c>
      <c r="E257" s="585"/>
      <c r="F257" s="586"/>
      <c r="G257" s="600"/>
      <c r="H257" s="587"/>
      <c r="I257" s="601"/>
      <c r="J257" s="585"/>
      <c r="K257" s="617"/>
      <c r="L257" s="602"/>
      <c r="M257" s="603"/>
      <c r="N257" s="588"/>
      <c r="O257" s="604"/>
      <c r="P257" s="605"/>
      <c r="Q257" s="588"/>
      <c r="R257" s="604"/>
      <c r="S257" s="605"/>
      <c r="T257" s="606"/>
      <c r="U257" s="606"/>
      <c r="V257" s="429" t="str">
        <f t="shared" si="331"/>
        <v/>
      </c>
      <c r="W257" s="430" t="str">
        <f t="shared" si="330"/>
        <v/>
      </c>
      <c r="X257" s="66" t="str">
        <f>IF(AND(ISNUMBER(P257),N257=FixedDim),MAX('Adjustment factors'!$S$16,0.2+0.8*P257),IF(ISTEXT(N257),VLOOKUP(N257,Afactors,2,TRUE),""))</f>
        <v/>
      </c>
      <c r="Y257" s="17" t="str">
        <f>IF(AND(ISNUMBER(S257),Q257=FixedDim),MAX('Adjustment factors'!$S$16,0.2+0.8*S257),IF(ISTEXT(Q257),VLOOKUP(Q257,Afactors,2,TRUE),""))</f>
        <v/>
      </c>
      <c r="Z257" s="297" t="str">
        <f>IF(ISBLANK(T257),"",VLOOKUP(T257,'Adjustment factors'!$R$27:$S$30,2,TRUE))</f>
        <v/>
      </c>
      <c r="AA257" s="297" t="str">
        <f>IF(ISBLANK(U257),"",VLOOKUP(U257,'Adjustment factors'!$R$27:$S$30,2,TRUE))</f>
        <v/>
      </c>
      <c r="AB257" s="480">
        <f t="shared" si="302"/>
        <v>1</v>
      </c>
      <c r="AC257" s="18" t="b">
        <f t="shared" si="259"/>
        <v>0</v>
      </c>
      <c r="AD257" s="18" t="b">
        <f t="shared" si="260"/>
        <v>0</v>
      </c>
      <c r="AE257" s="18" t="b">
        <f t="shared" si="327"/>
        <v>0</v>
      </c>
      <c r="AF257" s="17" t="str">
        <f t="shared" si="261"/>
        <v/>
      </c>
      <c r="AG257" s="18" t="str">
        <f t="shared" si="262"/>
        <v/>
      </c>
      <c r="AH257" s="17" t="str">
        <f t="shared" si="328"/>
        <v/>
      </c>
      <c r="AI257" s="297" t="e">
        <f t="shared" si="303"/>
        <v>#VALUE!</v>
      </c>
      <c r="AJ257" s="79" t="e">
        <f t="shared" si="263"/>
        <v>#VALUE!</v>
      </c>
      <c r="AK257" s="17" t="str">
        <f t="shared" si="329"/>
        <v/>
      </c>
      <c r="AL257" s="80" t="e">
        <f t="shared" si="264"/>
        <v>#VALUE!</v>
      </c>
      <c r="AM257" s="139" t="b">
        <f t="shared" si="265"/>
        <v>1</v>
      </c>
      <c r="AN257" s="139" t="b">
        <f>AND(COUNTA(E257)&gt;0,ISNUMBER(F257),OR(COUNT(G257:H257)=0,COUNT(G257:H257)=2,AND(ISNUMBER(G257),ISNUMBER(VALUE(LEFT(H257,SUM(LEN(H257)-LEN(SUBSTITUTE(H257,{"0","1","2","3","4","5","6","7","8","9","."},"")))))))),ISNUMBER(I257),ISTEXT(J257))</f>
        <v>0</v>
      </c>
      <c r="AO257" s="19" t="b">
        <f t="shared" si="266"/>
        <v>0</v>
      </c>
      <c r="AP257" s="19" t="b">
        <f t="shared" si="267"/>
        <v>1</v>
      </c>
      <c r="AQ257" s="19" t="b">
        <f>IF(AND(COUNTBLANK(E257:J257)=6,OR(AN258:AN$523)),NOT(AN257))</f>
        <v>0</v>
      </c>
      <c r="AR257" s="19" t="str">
        <f t="shared" si="268"/>
        <v/>
      </c>
      <c r="AS257" s="19" t="b">
        <f t="shared" si="269"/>
        <v>1</v>
      </c>
      <c r="AT257" s="19" t="str">
        <f t="shared" si="270"/>
        <v/>
      </c>
      <c r="AU257" s="19" t="b">
        <f t="shared" si="271"/>
        <v>1</v>
      </c>
      <c r="AV257" s="140" t="str">
        <f t="shared" si="311"/>
        <v/>
      </c>
      <c r="AW257" s="19" t="str">
        <f t="shared" si="272"/>
        <v/>
      </c>
      <c r="AX257" s="81">
        <f t="shared" si="273"/>
        <v>0</v>
      </c>
      <c r="AY257" s="81" t="str">
        <f t="shared" si="274"/>
        <v/>
      </c>
      <c r="AZ257" s="307" t="str">
        <f t="shared" si="304"/>
        <v/>
      </c>
      <c r="BA257" s="281" t="str">
        <f t="shared" si="312"/>
        <v/>
      </c>
      <c r="BB257" s="281" t="str">
        <f t="shared" si="313"/>
        <v/>
      </c>
      <c r="BC257" s="953"/>
      <c r="BD257" s="955"/>
      <c r="BE257" s="219" t="str">
        <f t="shared" si="275"/>
        <v>n/a</v>
      </c>
      <c r="BF257" s="215" t="b">
        <f t="shared" si="276"/>
        <v>0</v>
      </c>
      <c r="BG257" s="145" t="b">
        <f t="shared" si="277"/>
        <v>0</v>
      </c>
      <c r="BH257" s="145" t="b">
        <f t="shared" si="278"/>
        <v>0</v>
      </c>
      <c r="BI257" s="216" t="b">
        <f t="shared" si="279"/>
        <v>0</v>
      </c>
      <c r="BJ257" s="215" t="b">
        <f t="shared" si="280"/>
        <v>0</v>
      </c>
      <c r="BK257" s="145" t="b">
        <f t="shared" si="281"/>
        <v>0</v>
      </c>
      <c r="BL257" s="216" t="b">
        <f t="shared" si="282"/>
        <v>0</v>
      </c>
      <c r="BM257" s="217" t="str">
        <f t="shared" si="314"/>
        <v/>
      </c>
      <c r="BN257" s="146" t="str">
        <f t="shared" si="315"/>
        <v/>
      </c>
      <c r="BO257" s="147" t="str">
        <f t="shared" si="316"/>
        <v/>
      </c>
      <c r="BP257" s="148" t="str">
        <f t="shared" si="317"/>
        <v/>
      </c>
      <c r="BT257" s="50">
        <f t="shared" ref="BT257:BT320" si="337">BT256+1</f>
        <v>234</v>
      </c>
      <c r="BU257" s="50" t="str">
        <f t="shared" si="333"/>
        <v>-</v>
      </c>
      <c r="BW257" s="333"/>
      <c r="BX257" s="333"/>
      <c r="BY257" s="333"/>
      <c r="BZ257" s="333"/>
      <c r="CA257" s="333"/>
      <c r="CB257" s="333"/>
      <c r="CC257" s="333"/>
      <c r="CD257" s="333"/>
      <c r="CE257" s="333"/>
      <c r="CF257" s="333"/>
      <c r="CG257" s="354">
        <f t="shared" si="283"/>
        <v>234</v>
      </c>
      <c r="CH257" s="613">
        <f t="shared" si="284"/>
        <v>0</v>
      </c>
      <c r="CI257" s="613">
        <f t="shared" si="285"/>
        <v>0</v>
      </c>
      <c r="CJ257" s="614" t="str">
        <f t="shared" si="286"/>
        <v/>
      </c>
      <c r="CK257" s="615" t="str">
        <f t="shared" si="287"/>
        <v/>
      </c>
      <c r="CL257" s="610" t="str">
        <f>IF(ISBLANK(H257),"",IF(AND(ISNUMBER(F257),ISNUMBER(G257),ISNUMBER(H257)),ROUND(F257/(H257*G257),2),ROUND(F257/(VALUE(LEFT(H257,SUM(LEN(H257)-LEN(SUBSTITUTE(H257,{"0","1","2","3","4","5","6","7","8","9","."},"")))))*G257),2)))</f>
        <v/>
      </c>
      <c r="CM257" s="616" t="str">
        <f t="shared" si="318"/>
        <v/>
      </c>
      <c r="CN257" s="616" t="str">
        <f>IF(ISNUMBER(P257),MAX('Adjustment factors'!$S$16,(0.2+0.8*P257)),IF(ISTEXT(N257),VLOOKUP(N257,Afactors,2,FALSE),""))</f>
        <v/>
      </c>
      <c r="CO257" s="616" t="str">
        <f>IF(ISNUMBER(S257),MAX('Adjustment factors'!$S$16,0.2+0.8*S257),IF(ISTEXT(Q257),VLOOKUP(Q257,Afactors,2,FALSE),""))</f>
        <v/>
      </c>
      <c r="CP257" s="611" t="str">
        <f t="shared" si="305"/>
        <v/>
      </c>
      <c r="CQ257" s="612" t="str">
        <f t="shared" si="306"/>
        <v/>
      </c>
      <c r="CR257" s="340"/>
      <c r="CS257" s="340"/>
      <c r="CT257" s="340"/>
      <c r="CU257" s="340"/>
      <c r="CV257" s="333"/>
      <c r="CW257" s="333"/>
      <c r="CX257" s="333"/>
      <c r="CY257" s="333"/>
      <c r="DA257" s="313" t="str">
        <f t="shared" si="288"/>
        <v>OK</v>
      </c>
      <c r="DB257" s="313" t="str">
        <f t="shared" si="289"/>
        <v>OK</v>
      </c>
      <c r="DC257" s="313" t="str">
        <f t="shared" si="290"/>
        <v>OK</v>
      </c>
      <c r="DD257" s="313" t="str">
        <f t="shared" si="291"/>
        <v>OK</v>
      </c>
      <c r="DE257" s="153" t="str">
        <f t="shared" si="292"/>
        <v>OK</v>
      </c>
      <c r="DF257" s="314" t="str">
        <f t="shared" si="293"/>
        <v>OK</v>
      </c>
      <c r="DG257" s="482" t="str">
        <f t="shared" si="307"/>
        <v>OK</v>
      </c>
      <c r="DH257" s="482" t="str">
        <f>IF(OR(AND(T257='Adjustment factors'!$R$28,'Class 3, 5-9'!U257='Adjustment factors'!$R$29),AND('Class 3, 5-9'!T257='Adjustment factors'!$R$29,'Class 3, 5-9'!U257='Adjustment factors'!$R$28)),"Invalid combination of adjustment factors",IF(AND(T257=U257,NOT(ISBLANK(T257)),NOT(ISBLANK(U257))),"Same colour factor selected twice","OK"))</f>
        <v>OK</v>
      </c>
      <c r="DI257" s="313" t="str">
        <f t="shared" si="294"/>
        <v>OK</v>
      </c>
      <c r="DJ257" s="153" t="str">
        <f t="shared" si="319"/>
        <v>OK</v>
      </c>
      <c r="DK257" s="153" t="str">
        <f t="shared" si="295"/>
        <v>OK</v>
      </c>
      <c r="DL257" s="313" t="str">
        <f t="shared" si="296"/>
        <v>OK</v>
      </c>
      <c r="DM257" s="153" t="str">
        <f t="shared" si="297"/>
        <v>OK</v>
      </c>
      <c r="DN257" s="153" t="str">
        <f t="shared" si="320"/>
        <v>OK</v>
      </c>
      <c r="DO257" s="154" t="str">
        <f t="shared" si="321"/>
        <v>OK</v>
      </c>
      <c r="DP257" s="153" t="str">
        <f t="shared" si="298"/>
        <v>OK</v>
      </c>
      <c r="DQ257" s="313" t="str">
        <f t="shared" si="299"/>
        <v>OK</v>
      </c>
      <c r="DR257" s="153" t="str">
        <f t="shared" si="322"/>
        <v>OK</v>
      </c>
      <c r="DS257" s="153" t="str">
        <f t="shared" si="300"/>
        <v>OK</v>
      </c>
      <c r="DT257" s="313" t="str">
        <f t="shared" si="335"/>
        <v>OK</v>
      </c>
      <c r="DU257" s="153" t="str">
        <f t="shared" si="301"/>
        <v>OK</v>
      </c>
      <c r="DV257" s="153" t="str">
        <f t="shared" si="323"/>
        <v>OK</v>
      </c>
      <c r="DW257" s="154" t="str">
        <f t="shared" si="324"/>
        <v>OK</v>
      </c>
      <c r="DX257" s="157">
        <f t="shared" si="325"/>
        <v>0</v>
      </c>
      <c r="DY257" s="156" t="str">
        <f t="shared" si="326"/>
        <v>OK</v>
      </c>
    </row>
    <row r="258" spans="1:129" ht="13" hidden="1" x14ac:dyDescent="0.3">
      <c r="A258" s="333"/>
      <c r="B258" s="333"/>
      <c r="C258" s="331" t="str">
        <f t="shared" si="334"/>
        <v>-</v>
      </c>
      <c r="D258" s="584">
        <f t="shared" si="336"/>
        <v>235</v>
      </c>
      <c r="E258" s="585"/>
      <c r="F258" s="586"/>
      <c r="G258" s="600"/>
      <c r="H258" s="587"/>
      <c r="I258" s="601"/>
      <c r="J258" s="585"/>
      <c r="K258" s="617"/>
      <c r="L258" s="602"/>
      <c r="M258" s="603"/>
      <c r="N258" s="588"/>
      <c r="O258" s="604"/>
      <c r="P258" s="605"/>
      <c r="Q258" s="588"/>
      <c r="R258" s="604"/>
      <c r="S258" s="605"/>
      <c r="T258" s="606"/>
      <c r="U258" s="606"/>
      <c r="V258" s="429" t="str">
        <f t="shared" si="331"/>
        <v/>
      </c>
      <c r="W258" s="430" t="str">
        <f t="shared" si="330"/>
        <v/>
      </c>
      <c r="X258" s="66" t="str">
        <f>IF(AND(ISNUMBER(P258),N258=FixedDim),MAX('Adjustment factors'!$S$16,0.2+0.8*P258),IF(ISTEXT(N258),VLOOKUP(N258,Afactors,2,TRUE),""))</f>
        <v/>
      </c>
      <c r="Y258" s="17" t="str">
        <f>IF(AND(ISNUMBER(S258),Q258=FixedDim),MAX('Adjustment factors'!$S$16,0.2+0.8*S258),IF(ISTEXT(Q258),VLOOKUP(Q258,Afactors,2,TRUE),""))</f>
        <v/>
      </c>
      <c r="Z258" s="297" t="str">
        <f>IF(ISBLANK(T258),"",VLOOKUP(T258,'Adjustment factors'!$R$27:$S$30,2,TRUE))</f>
        <v/>
      </c>
      <c r="AA258" s="297" t="str">
        <f>IF(ISBLANK(U258),"",VLOOKUP(U258,'Adjustment factors'!$R$27:$S$30,2,TRUE))</f>
        <v/>
      </c>
      <c r="AB258" s="480">
        <f t="shared" si="302"/>
        <v>1</v>
      </c>
      <c r="AC258" s="18" t="b">
        <f t="shared" si="259"/>
        <v>0</v>
      </c>
      <c r="AD258" s="18" t="b">
        <f t="shared" si="260"/>
        <v>0</v>
      </c>
      <c r="AE258" s="18" t="b">
        <f t="shared" si="327"/>
        <v>0</v>
      </c>
      <c r="AF258" s="17" t="str">
        <f t="shared" si="261"/>
        <v/>
      </c>
      <c r="AG258" s="18" t="str">
        <f t="shared" si="262"/>
        <v/>
      </c>
      <c r="AH258" s="17" t="str">
        <f t="shared" si="328"/>
        <v/>
      </c>
      <c r="AI258" s="297" t="e">
        <f t="shared" si="303"/>
        <v>#VALUE!</v>
      </c>
      <c r="AJ258" s="79" t="e">
        <f t="shared" si="263"/>
        <v>#VALUE!</v>
      </c>
      <c r="AK258" s="17" t="str">
        <f t="shared" si="329"/>
        <v/>
      </c>
      <c r="AL258" s="80" t="e">
        <f t="shared" si="264"/>
        <v>#VALUE!</v>
      </c>
      <c r="AM258" s="139" t="b">
        <f t="shared" si="265"/>
        <v>1</v>
      </c>
      <c r="AN258" s="139" t="b">
        <f>AND(COUNTA(E258)&gt;0,ISNUMBER(F258),OR(COUNT(G258:H258)=0,COUNT(G258:H258)=2,AND(ISNUMBER(G258),ISNUMBER(VALUE(LEFT(H258,SUM(LEN(H258)-LEN(SUBSTITUTE(H258,{"0","1","2","3","4","5","6","7","8","9","."},"")))))))),ISNUMBER(I258),ISTEXT(J258))</f>
        <v>0</v>
      </c>
      <c r="AO258" s="19" t="b">
        <f t="shared" si="266"/>
        <v>0</v>
      </c>
      <c r="AP258" s="19" t="b">
        <f t="shared" si="267"/>
        <v>1</v>
      </c>
      <c r="AQ258" s="19" t="b">
        <f>IF(AND(COUNTBLANK(E258:J258)=6,OR(AN259:AN$523)),NOT(AN258))</f>
        <v>0</v>
      </c>
      <c r="AR258" s="19" t="str">
        <f t="shared" si="268"/>
        <v/>
      </c>
      <c r="AS258" s="19" t="b">
        <f t="shared" si="269"/>
        <v>1</v>
      </c>
      <c r="AT258" s="19" t="str">
        <f t="shared" si="270"/>
        <v/>
      </c>
      <c r="AU258" s="19" t="b">
        <f t="shared" si="271"/>
        <v>1</v>
      </c>
      <c r="AV258" s="140" t="str">
        <f t="shared" si="311"/>
        <v/>
      </c>
      <c r="AW258" s="19" t="str">
        <f t="shared" si="272"/>
        <v/>
      </c>
      <c r="AX258" s="81">
        <f t="shared" si="273"/>
        <v>0</v>
      </c>
      <c r="AY258" s="81" t="str">
        <f t="shared" si="274"/>
        <v/>
      </c>
      <c r="AZ258" s="307" t="str">
        <f t="shared" si="304"/>
        <v/>
      </c>
      <c r="BA258" s="281" t="str">
        <f t="shared" si="312"/>
        <v/>
      </c>
      <c r="BB258" s="281" t="str">
        <f t="shared" si="313"/>
        <v/>
      </c>
      <c r="BC258" s="953"/>
      <c r="BD258" s="955"/>
      <c r="BE258" s="219" t="str">
        <f t="shared" si="275"/>
        <v>n/a</v>
      </c>
      <c r="BF258" s="215" t="b">
        <f t="shared" si="276"/>
        <v>0</v>
      </c>
      <c r="BG258" s="145" t="b">
        <f t="shared" si="277"/>
        <v>0</v>
      </c>
      <c r="BH258" s="145" t="b">
        <f t="shared" si="278"/>
        <v>0</v>
      </c>
      <c r="BI258" s="216" t="b">
        <f t="shared" si="279"/>
        <v>0</v>
      </c>
      <c r="BJ258" s="215" t="b">
        <f t="shared" si="280"/>
        <v>0</v>
      </c>
      <c r="BK258" s="145" t="b">
        <f t="shared" si="281"/>
        <v>0</v>
      </c>
      <c r="BL258" s="216" t="b">
        <f t="shared" si="282"/>
        <v>0</v>
      </c>
      <c r="BM258" s="217" t="str">
        <f t="shared" si="314"/>
        <v/>
      </c>
      <c r="BN258" s="146" t="str">
        <f t="shared" si="315"/>
        <v/>
      </c>
      <c r="BO258" s="147" t="str">
        <f t="shared" si="316"/>
        <v/>
      </c>
      <c r="BP258" s="148" t="str">
        <f t="shared" si="317"/>
        <v/>
      </c>
      <c r="BT258" s="50">
        <f t="shared" si="337"/>
        <v>235</v>
      </c>
      <c r="BU258" s="50" t="str">
        <f t="shared" si="333"/>
        <v>-</v>
      </c>
      <c r="BW258" s="333"/>
      <c r="BX258" s="333"/>
      <c r="BY258" s="333"/>
      <c r="BZ258" s="333"/>
      <c r="CA258" s="333"/>
      <c r="CB258" s="333"/>
      <c r="CC258" s="333"/>
      <c r="CD258" s="333"/>
      <c r="CE258" s="333"/>
      <c r="CF258" s="333"/>
      <c r="CG258" s="354">
        <f t="shared" si="283"/>
        <v>235</v>
      </c>
      <c r="CH258" s="613">
        <f t="shared" si="284"/>
        <v>0</v>
      </c>
      <c r="CI258" s="613">
        <f t="shared" si="285"/>
        <v>0</v>
      </c>
      <c r="CJ258" s="614" t="str">
        <f t="shared" si="286"/>
        <v/>
      </c>
      <c r="CK258" s="615" t="str">
        <f t="shared" si="287"/>
        <v/>
      </c>
      <c r="CL258" s="610" t="str">
        <f>IF(ISBLANK(H258),"",IF(AND(ISNUMBER(F258),ISNUMBER(G258),ISNUMBER(H258)),ROUND(F258/(H258*G258),2),ROUND(F258/(VALUE(LEFT(H258,SUM(LEN(H258)-LEN(SUBSTITUTE(H258,{"0","1","2","3","4","5","6","7","8","9","."},"")))))*G258),2)))</f>
        <v/>
      </c>
      <c r="CM258" s="616" t="str">
        <f t="shared" si="318"/>
        <v/>
      </c>
      <c r="CN258" s="616" t="str">
        <f>IF(ISNUMBER(P258),MAX('Adjustment factors'!$S$16,(0.2+0.8*P258)),IF(ISTEXT(N258),VLOOKUP(N258,Afactors,2,FALSE),""))</f>
        <v/>
      </c>
      <c r="CO258" s="616" t="str">
        <f>IF(ISNUMBER(S258),MAX('Adjustment factors'!$S$16,0.2+0.8*S258),IF(ISTEXT(Q258),VLOOKUP(Q258,Afactors,2,FALSE),""))</f>
        <v/>
      </c>
      <c r="CP258" s="611" t="str">
        <f t="shared" si="305"/>
        <v/>
      </c>
      <c r="CQ258" s="612" t="str">
        <f t="shared" si="306"/>
        <v/>
      </c>
      <c r="CR258" s="340"/>
      <c r="CS258" s="340"/>
      <c r="CT258" s="340"/>
      <c r="CU258" s="340"/>
      <c r="CV258" s="333"/>
      <c r="CW258" s="333"/>
      <c r="CX258" s="333"/>
      <c r="CY258" s="333"/>
      <c r="DA258" s="313" t="str">
        <f t="shared" si="288"/>
        <v>OK</v>
      </c>
      <c r="DB258" s="313" t="str">
        <f t="shared" si="289"/>
        <v>OK</v>
      </c>
      <c r="DC258" s="313" t="str">
        <f t="shared" si="290"/>
        <v>OK</v>
      </c>
      <c r="DD258" s="313" t="str">
        <f t="shared" si="291"/>
        <v>OK</v>
      </c>
      <c r="DE258" s="153" t="str">
        <f t="shared" si="292"/>
        <v>OK</v>
      </c>
      <c r="DF258" s="314" t="str">
        <f t="shared" si="293"/>
        <v>OK</v>
      </c>
      <c r="DG258" s="482" t="str">
        <f t="shared" si="307"/>
        <v>OK</v>
      </c>
      <c r="DH258" s="482" t="str">
        <f>IF(OR(AND(T258='Adjustment factors'!$R$28,'Class 3, 5-9'!U258='Adjustment factors'!$R$29),AND('Class 3, 5-9'!T258='Adjustment factors'!$R$29,'Class 3, 5-9'!U258='Adjustment factors'!$R$28)),"Invalid combination of adjustment factors",IF(AND(T258=U258,NOT(ISBLANK(T258)),NOT(ISBLANK(U258))),"Same colour factor selected twice","OK"))</f>
        <v>OK</v>
      </c>
      <c r="DI258" s="313" t="str">
        <f t="shared" si="294"/>
        <v>OK</v>
      </c>
      <c r="DJ258" s="153" t="str">
        <f t="shared" si="319"/>
        <v>OK</v>
      </c>
      <c r="DK258" s="153" t="str">
        <f t="shared" si="295"/>
        <v>OK</v>
      </c>
      <c r="DL258" s="313" t="str">
        <f t="shared" si="296"/>
        <v>OK</v>
      </c>
      <c r="DM258" s="153" t="str">
        <f t="shared" si="297"/>
        <v>OK</v>
      </c>
      <c r="DN258" s="153" t="str">
        <f t="shared" si="320"/>
        <v>OK</v>
      </c>
      <c r="DO258" s="154" t="str">
        <f t="shared" si="321"/>
        <v>OK</v>
      </c>
      <c r="DP258" s="153" t="str">
        <f t="shared" si="298"/>
        <v>OK</v>
      </c>
      <c r="DQ258" s="313" t="str">
        <f t="shared" si="299"/>
        <v>OK</v>
      </c>
      <c r="DR258" s="153" t="str">
        <f t="shared" si="322"/>
        <v>OK</v>
      </c>
      <c r="DS258" s="153" t="str">
        <f t="shared" si="300"/>
        <v>OK</v>
      </c>
      <c r="DT258" s="313" t="str">
        <f t="shared" si="335"/>
        <v>OK</v>
      </c>
      <c r="DU258" s="153" t="str">
        <f t="shared" si="301"/>
        <v>OK</v>
      </c>
      <c r="DV258" s="153" t="str">
        <f t="shared" si="323"/>
        <v>OK</v>
      </c>
      <c r="DW258" s="154" t="str">
        <f t="shared" si="324"/>
        <v>OK</v>
      </c>
      <c r="DX258" s="157">
        <f t="shared" si="325"/>
        <v>0</v>
      </c>
      <c r="DY258" s="156" t="str">
        <f t="shared" si="326"/>
        <v>OK</v>
      </c>
    </row>
    <row r="259" spans="1:129" ht="13" hidden="1" x14ac:dyDescent="0.3">
      <c r="A259" s="333"/>
      <c r="B259" s="333"/>
      <c r="C259" s="331" t="str">
        <f t="shared" si="334"/>
        <v>-</v>
      </c>
      <c r="D259" s="584">
        <f t="shared" si="336"/>
        <v>236</v>
      </c>
      <c r="E259" s="585"/>
      <c r="F259" s="586"/>
      <c r="G259" s="600"/>
      <c r="H259" s="587"/>
      <c r="I259" s="601"/>
      <c r="J259" s="585"/>
      <c r="K259" s="617"/>
      <c r="L259" s="602"/>
      <c r="M259" s="603"/>
      <c r="N259" s="588"/>
      <c r="O259" s="604"/>
      <c r="P259" s="605"/>
      <c r="Q259" s="588"/>
      <c r="R259" s="604"/>
      <c r="S259" s="605"/>
      <c r="T259" s="606"/>
      <c r="U259" s="606"/>
      <c r="V259" s="429" t="str">
        <f t="shared" si="331"/>
        <v/>
      </c>
      <c r="W259" s="430" t="str">
        <f t="shared" si="330"/>
        <v/>
      </c>
      <c r="X259" s="66" t="str">
        <f>IF(AND(ISNUMBER(P259),N259=FixedDim),MAX('Adjustment factors'!$S$16,0.2+0.8*P259),IF(ISTEXT(N259),VLOOKUP(N259,Afactors,2,TRUE),""))</f>
        <v/>
      </c>
      <c r="Y259" s="17" t="str">
        <f>IF(AND(ISNUMBER(S259),Q259=FixedDim),MAX('Adjustment factors'!$S$16,0.2+0.8*S259),IF(ISTEXT(Q259),VLOOKUP(Q259,Afactors,2,TRUE),""))</f>
        <v/>
      </c>
      <c r="Z259" s="297" t="str">
        <f>IF(ISBLANK(T259),"",VLOOKUP(T259,'Adjustment factors'!$R$27:$S$30,2,TRUE))</f>
        <v/>
      </c>
      <c r="AA259" s="297" t="str">
        <f>IF(ISBLANK(U259),"",VLOOKUP(U259,'Adjustment factors'!$R$27:$S$30,2,TRUE))</f>
        <v/>
      </c>
      <c r="AB259" s="480">
        <f t="shared" si="302"/>
        <v>1</v>
      </c>
      <c r="AC259" s="18" t="b">
        <f t="shared" si="259"/>
        <v>0</v>
      </c>
      <c r="AD259" s="18" t="b">
        <f t="shared" si="260"/>
        <v>0</v>
      </c>
      <c r="AE259" s="18" t="b">
        <f t="shared" si="327"/>
        <v>0</v>
      </c>
      <c r="AF259" s="17" t="str">
        <f t="shared" si="261"/>
        <v/>
      </c>
      <c r="AG259" s="18" t="str">
        <f t="shared" si="262"/>
        <v/>
      </c>
      <c r="AH259" s="17" t="str">
        <f t="shared" si="328"/>
        <v/>
      </c>
      <c r="AI259" s="297" t="e">
        <f t="shared" si="303"/>
        <v>#VALUE!</v>
      </c>
      <c r="AJ259" s="79" t="e">
        <f t="shared" si="263"/>
        <v>#VALUE!</v>
      </c>
      <c r="AK259" s="17" t="str">
        <f t="shared" si="329"/>
        <v/>
      </c>
      <c r="AL259" s="80" t="e">
        <f t="shared" si="264"/>
        <v>#VALUE!</v>
      </c>
      <c r="AM259" s="139" t="b">
        <f t="shared" si="265"/>
        <v>1</v>
      </c>
      <c r="AN259" s="139" t="b">
        <f>AND(COUNTA(E259)&gt;0,ISNUMBER(F259),OR(COUNT(G259:H259)=0,COUNT(G259:H259)=2,AND(ISNUMBER(G259),ISNUMBER(VALUE(LEFT(H259,SUM(LEN(H259)-LEN(SUBSTITUTE(H259,{"0","1","2","3","4","5","6","7","8","9","."},"")))))))),ISNUMBER(I259),ISTEXT(J259))</f>
        <v>0</v>
      </c>
      <c r="AO259" s="19" t="b">
        <f t="shared" si="266"/>
        <v>0</v>
      </c>
      <c r="AP259" s="19" t="b">
        <f t="shared" si="267"/>
        <v>1</v>
      </c>
      <c r="AQ259" s="19" t="b">
        <f>IF(AND(COUNTBLANK(E259:J259)=6,OR(AN260:AN$523)),NOT(AN259))</f>
        <v>0</v>
      </c>
      <c r="AR259" s="19" t="str">
        <f t="shared" si="268"/>
        <v/>
      </c>
      <c r="AS259" s="19" t="b">
        <f t="shared" si="269"/>
        <v>1</v>
      </c>
      <c r="AT259" s="19" t="str">
        <f t="shared" si="270"/>
        <v/>
      </c>
      <c r="AU259" s="19" t="b">
        <f t="shared" si="271"/>
        <v>1</v>
      </c>
      <c r="AV259" s="140" t="str">
        <f t="shared" si="311"/>
        <v/>
      </c>
      <c r="AW259" s="19" t="str">
        <f t="shared" si="272"/>
        <v/>
      </c>
      <c r="AX259" s="81">
        <f t="shared" si="273"/>
        <v>0</v>
      </c>
      <c r="AY259" s="81" t="str">
        <f t="shared" si="274"/>
        <v/>
      </c>
      <c r="AZ259" s="307" t="str">
        <f t="shared" si="304"/>
        <v/>
      </c>
      <c r="BA259" s="281" t="str">
        <f t="shared" si="312"/>
        <v/>
      </c>
      <c r="BB259" s="281" t="str">
        <f t="shared" si="313"/>
        <v/>
      </c>
      <c r="BC259" s="953"/>
      <c r="BD259" s="955"/>
      <c r="BE259" s="219" t="str">
        <f t="shared" si="275"/>
        <v>n/a</v>
      </c>
      <c r="BF259" s="215" t="b">
        <f t="shared" si="276"/>
        <v>0</v>
      </c>
      <c r="BG259" s="145" t="b">
        <f t="shared" si="277"/>
        <v>0</v>
      </c>
      <c r="BH259" s="145" t="b">
        <f t="shared" si="278"/>
        <v>0</v>
      </c>
      <c r="BI259" s="216" t="b">
        <f t="shared" si="279"/>
        <v>0</v>
      </c>
      <c r="BJ259" s="215" t="b">
        <f t="shared" si="280"/>
        <v>0</v>
      </c>
      <c r="BK259" s="145" t="b">
        <f t="shared" si="281"/>
        <v>0</v>
      </c>
      <c r="BL259" s="216" t="b">
        <f t="shared" si="282"/>
        <v>0</v>
      </c>
      <c r="BM259" s="217" t="str">
        <f t="shared" si="314"/>
        <v/>
      </c>
      <c r="BN259" s="146" t="str">
        <f t="shared" si="315"/>
        <v/>
      </c>
      <c r="BO259" s="147" t="str">
        <f t="shared" si="316"/>
        <v/>
      </c>
      <c r="BP259" s="148" t="str">
        <f t="shared" si="317"/>
        <v/>
      </c>
      <c r="BT259" s="50">
        <f t="shared" si="337"/>
        <v>236</v>
      </c>
      <c r="BU259" s="50" t="str">
        <f t="shared" si="333"/>
        <v>-</v>
      </c>
      <c r="BW259" s="333"/>
      <c r="BX259" s="333"/>
      <c r="BY259" s="333"/>
      <c r="BZ259" s="333"/>
      <c r="CA259" s="333"/>
      <c r="CB259" s="333"/>
      <c r="CC259" s="333"/>
      <c r="CD259" s="333"/>
      <c r="CE259" s="333"/>
      <c r="CF259" s="333"/>
      <c r="CG259" s="354">
        <f t="shared" si="283"/>
        <v>236</v>
      </c>
      <c r="CH259" s="613">
        <f t="shared" si="284"/>
        <v>0</v>
      </c>
      <c r="CI259" s="613">
        <f t="shared" si="285"/>
        <v>0</v>
      </c>
      <c r="CJ259" s="614" t="str">
        <f t="shared" si="286"/>
        <v/>
      </c>
      <c r="CK259" s="615" t="str">
        <f t="shared" si="287"/>
        <v/>
      </c>
      <c r="CL259" s="610" t="str">
        <f>IF(ISBLANK(H259),"",IF(AND(ISNUMBER(F259),ISNUMBER(G259),ISNUMBER(H259)),ROUND(F259/(H259*G259),2),ROUND(F259/(VALUE(LEFT(H259,SUM(LEN(H259)-LEN(SUBSTITUTE(H259,{"0","1","2","3","4","5","6","7","8","9","."},"")))))*G259),2)))</f>
        <v/>
      </c>
      <c r="CM259" s="616" t="str">
        <f t="shared" si="318"/>
        <v/>
      </c>
      <c r="CN259" s="616" t="str">
        <f>IF(ISNUMBER(P259),MAX('Adjustment factors'!$S$16,(0.2+0.8*P259)),IF(ISTEXT(N259),VLOOKUP(N259,Afactors,2,FALSE),""))</f>
        <v/>
      </c>
      <c r="CO259" s="616" t="str">
        <f>IF(ISNUMBER(S259),MAX('Adjustment factors'!$S$16,0.2+0.8*S259),IF(ISTEXT(Q259),VLOOKUP(Q259,Afactors,2,FALSE),""))</f>
        <v/>
      </c>
      <c r="CP259" s="611" t="str">
        <f t="shared" si="305"/>
        <v/>
      </c>
      <c r="CQ259" s="612" t="str">
        <f t="shared" si="306"/>
        <v/>
      </c>
      <c r="CR259" s="340"/>
      <c r="CS259" s="340"/>
      <c r="CT259" s="340"/>
      <c r="CU259" s="340"/>
      <c r="CV259" s="333"/>
      <c r="CW259" s="333"/>
      <c r="CX259" s="333"/>
      <c r="CY259" s="333"/>
      <c r="DA259" s="313" t="str">
        <f t="shared" si="288"/>
        <v>OK</v>
      </c>
      <c r="DB259" s="313" t="str">
        <f t="shared" si="289"/>
        <v>OK</v>
      </c>
      <c r="DC259" s="313" t="str">
        <f t="shared" si="290"/>
        <v>OK</v>
      </c>
      <c r="DD259" s="313" t="str">
        <f t="shared" si="291"/>
        <v>OK</v>
      </c>
      <c r="DE259" s="153" t="str">
        <f t="shared" si="292"/>
        <v>OK</v>
      </c>
      <c r="DF259" s="314" t="str">
        <f t="shared" si="293"/>
        <v>OK</v>
      </c>
      <c r="DG259" s="482" t="str">
        <f t="shared" si="307"/>
        <v>OK</v>
      </c>
      <c r="DH259" s="482" t="str">
        <f>IF(OR(AND(T259='Adjustment factors'!$R$28,'Class 3, 5-9'!U259='Adjustment factors'!$R$29),AND('Class 3, 5-9'!T259='Adjustment factors'!$R$29,'Class 3, 5-9'!U259='Adjustment factors'!$R$28)),"Invalid combination of adjustment factors",IF(AND(T259=U259,NOT(ISBLANK(T259)),NOT(ISBLANK(U259))),"Same colour factor selected twice","OK"))</f>
        <v>OK</v>
      </c>
      <c r="DI259" s="313" t="str">
        <f t="shared" si="294"/>
        <v>OK</v>
      </c>
      <c r="DJ259" s="153" t="str">
        <f t="shared" si="319"/>
        <v>OK</v>
      </c>
      <c r="DK259" s="153" t="str">
        <f t="shared" si="295"/>
        <v>OK</v>
      </c>
      <c r="DL259" s="313" t="str">
        <f t="shared" si="296"/>
        <v>OK</v>
      </c>
      <c r="DM259" s="153" t="str">
        <f t="shared" si="297"/>
        <v>OK</v>
      </c>
      <c r="DN259" s="153" t="str">
        <f t="shared" si="320"/>
        <v>OK</v>
      </c>
      <c r="DO259" s="154" t="str">
        <f t="shared" si="321"/>
        <v>OK</v>
      </c>
      <c r="DP259" s="153" t="str">
        <f t="shared" si="298"/>
        <v>OK</v>
      </c>
      <c r="DQ259" s="313" t="str">
        <f t="shared" si="299"/>
        <v>OK</v>
      </c>
      <c r="DR259" s="153" t="str">
        <f t="shared" si="322"/>
        <v>OK</v>
      </c>
      <c r="DS259" s="153" t="str">
        <f t="shared" si="300"/>
        <v>OK</v>
      </c>
      <c r="DT259" s="313" t="str">
        <f t="shared" si="335"/>
        <v>OK</v>
      </c>
      <c r="DU259" s="153" t="str">
        <f t="shared" si="301"/>
        <v>OK</v>
      </c>
      <c r="DV259" s="153" t="str">
        <f t="shared" si="323"/>
        <v>OK</v>
      </c>
      <c r="DW259" s="154" t="str">
        <f t="shared" si="324"/>
        <v>OK</v>
      </c>
      <c r="DX259" s="157">
        <f t="shared" si="325"/>
        <v>0</v>
      </c>
      <c r="DY259" s="156" t="str">
        <f t="shared" si="326"/>
        <v>OK</v>
      </c>
    </row>
    <row r="260" spans="1:129" ht="13" hidden="1" x14ac:dyDescent="0.3">
      <c r="A260" s="333"/>
      <c r="B260" s="333"/>
      <c r="C260" s="331" t="str">
        <f t="shared" si="334"/>
        <v>-</v>
      </c>
      <c r="D260" s="584">
        <f t="shared" si="336"/>
        <v>237</v>
      </c>
      <c r="E260" s="585"/>
      <c r="F260" s="586"/>
      <c r="G260" s="600"/>
      <c r="H260" s="587"/>
      <c r="I260" s="601"/>
      <c r="J260" s="585"/>
      <c r="K260" s="617"/>
      <c r="L260" s="602"/>
      <c r="M260" s="603"/>
      <c r="N260" s="588"/>
      <c r="O260" s="604"/>
      <c r="P260" s="605"/>
      <c r="Q260" s="588"/>
      <c r="R260" s="604"/>
      <c r="S260" s="605"/>
      <c r="T260" s="606"/>
      <c r="U260" s="606"/>
      <c r="V260" s="429" t="str">
        <f t="shared" si="331"/>
        <v/>
      </c>
      <c r="W260" s="430" t="str">
        <f t="shared" si="330"/>
        <v/>
      </c>
      <c r="X260" s="66" t="str">
        <f>IF(AND(ISNUMBER(P260),N260=FixedDim),MAX('Adjustment factors'!$S$16,0.2+0.8*P260),IF(ISTEXT(N260),VLOOKUP(N260,Afactors,2,TRUE),""))</f>
        <v/>
      </c>
      <c r="Y260" s="17" t="str">
        <f>IF(AND(ISNUMBER(S260),Q260=FixedDim),MAX('Adjustment factors'!$S$16,0.2+0.8*S260),IF(ISTEXT(Q260),VLOOKUP(Q260,Afactors,2,TRUE),""))</f>
        <v/>
      </c>
      <c r="Z260" s="297" t="str">
        <f>IF(ISBLANK(T260),"",VLOOKUP(T260,'Adjustment factors'!$R$27:$S$30,2,TRUE))</f>
        <v/>
      </c>
      <c r="AA260" s="297" t="str">
        <f>IF(ISBLANK(U260),"",VLOOKUP(U260,'Adjustment factors'!$R$27:$S$30,2,TRUE))</f>
        <v/>
      </c>
      <c r="AB260" s="480">
        <f t="shared" si="302"/>
        <v>1</v>
      </c>
      <c r="AC260" s="18" t="b">
        <f t="shared" si="259"/>
        <v>0</v>
      </c>
      <c r="AD260" s="18" t="b">
        <f t="shared" si="260"/>
        <v>0</v>
      </c>
      <c r="AE260" s="18" t="b">
        <f t="shared" si="327"/>
        <v>0</v>
      </c>
      <c r="AF260" s="17" t="str">
        <f t="shared" si="261"/>
        <v/>
      </c>
      <c r="AG260" s="18" t="str">
        <f t="shared" si="262"/>
        <v/>
      </c>
      <c r="AH260" s="17" t="str">
        <f t="shared" si="328"/>
        <v/>
      </c>
      <c r="AI260" s="297" t="e">
        <f t="shared" si="303"/>
        <v>#VALUE!</v>
      </c>
      <c r="AJ260" s="79" t="e">
        <f t="shared" si="263"/>
        <v>#VALUE!</v>
      </c>
      <c r="AK260" s="17" t="str">
        <f t="shared" si="329"/>
        <v/>
      </c>
      <c r="AL260" s="80" t="e">
        <f t="shared" si="264"/>
        <v>#VALUE!</v>
      </c>
      <c r="AM260" s="139" t="b">
        <f t="shared" si="265"/>
        <v>1</v>
      </c>
      <c r="AN260" s="139" t="b">
        <f>AND(COUNTA(E260)&gt;0,ISNUMBER(F260),OR(COUNT(G260:H260)=0,COUNT(G260:H260)=2,AND(ISNUMBER(G260),ISNUMBER(VALUE(LEFT(H260,SUM(LEN(H260)-LEN(SUBSTITUTE(H260,{"0","1","2","3","4","5","6","7","8","9","."},"")))))))),ISNUMBER(I260),ISTEXT(J260))</f>
        <v>0</v>
      </c>
      <c r="AO260" s="19" t="b">
        <f t="shared" si="266"/>
        <v>0</v>
      </c>
      <c r="AP260" s="19" t="b">
        <f t="shared" si="267"/>
        <v>1</v>
      </c>
      <c r="AQ260" s="19" t="b">
        <f>IF(AND(COUNTBLANK(E260:J260)=6,OR(AN261:AN$523)),NOT(AN260))</f>
        <v>0</v>
      </c>
      <c r="AR260" s="19" t="str">
        <f t="shared" si="268"/>
        <v/>
      </c>
      <c r="AS260" s="19" t="b">
        <f t="shared" si="269"/>
        <v>1</v>
      </c>
      <c r="AT260" s="19" t="str">
        <f t="shared" si="270"/>
        <v/>
      </c>
      <c r="AU260" s="19" t="b">
        <f t="shared" si="271"/>
        <v>1</v>
      </c>
      <c r="AV260" s="140" t="str">
        <f t="shared" si="311"/>
        <v/>
      </c>
      <c r="AW260" s="19" t="str">
        <f t="shared" si="272"/>
        <v/>
      </c>
      <c r="AX260" s="81">
        <f t="shared" si="273"/>
        <v>0</v>
      </c>
      <c r="AY260" s="81" t="str">
        <f t="shared" si="274"/>
        <v/>
      </c>
      <c r="AZ260" s="307" t="str">
        <f t="shared" si="304"/>
        <v/>
      </c>
      <c r="BA260" s="281" t="str">
        <f t="shared" si="312"/>
        <v/>
      </c>
      <c r="BB260" s="281" t="str">
        <f t="shared" si="313"/>
        <v/>
      </c>
      <c r="BC260" s="953"/>
      <c r="BD260" s="955"/>
      <c r="BE260" s="219" t="str">
        <f t="shared" si="275"/>
        <v>n/a</v>
      </c>
      <c r="BF260" s="215" t="b">
        <f t="shared" si="276"/>
        <v>0</v>
      </c>
      <c r="BG260" s="145" t="b">
        <f t="shared" si="277"/>
        <v>0</v>
      </c>
      <c r="BH260" s="145" t="b">
        <f t="shared" si="278"/>
        <v>0</v>
      </c>
      <c r="BI260" s="216" t="b">
        <f t="shared" si="279"/>
        <v>0</v>
      </c>
      <c r="BJ260" s="215" t="b">
        <f t="shared" si="280"/>
        <v>0</v>
      </c>
      <c r="BK260" s="145" t="b">
        <f t="shared" si="281"/>
        <v>0</v>
      </c>
      <c r="BL260" s="216" t="b">
        <f t="shared" si="282"/>
        <v>0</v>
      </c>
      <c r="BM260" s="217" t="str">
        <f t="shared" si="314"/>
        <v/>
      </c>
      <c r="BN260" s="146" t="str">
        <f t="shared" si="315"/>
        <v/>
      </c>
      <c r="BO260" s="147" t="str">
        <f t="shared" si="316"/>
        <v/>
      </c>
      <c r="BP260" s="148" t="str">
        <f t="shared" si="317"/>
        <v/>
      </c>
      <c r="BT260" s="50">
        <f t="shared" si="337"/>
        <v>237</v>
      </c>
      <c r="BU260" s="50" t="str">
        <f t="shared" si="333"/>
        <v>-</v>
      </c>
      <c r="BW260" s="333"/>
      <c r="BX260" s="333"/>
      <c r="BY260" s="333"/>
      <c r="BZ260" s="333"/>
      <c r="CA260" s="333"/>
      <c r="CB260" s="333"/>
      <c r="CC260" s="333"/>
      <c r="CD260" s="333"/>
      <c r="CE260" s="333"/>
      <c r="CF260" s="333"/>
      <c r="CG260" s="354">
        <f t="shared" si="283"/>
        <v>237</v>
      </c>
      <c r="CH260" s="613">
        <f t="shared" si="284"/>
        <v>0</v>
      </c>
      <c r="CI260" s="613">
        <f t="shared" si="285"/>
        <v>0</v>
      </c>
      <c r="CJ260" s="614" t="str">
        <f t="shared" si="286"/>
        <v/>
      </c>
      <c r="CK260" s="615" t="str">
        <f t="shared" si="287"/>
        <v/>
      </c>
      <c r="CL260" s="610" t="str">
        <f>IF(ISBLANK(H260),"",IF(AND(ISNUMBER(F260),ISNUMBER(G260),ISNUMBER(H260)),ROUND(F260/(H260*G260),2),ROUND(F260/(VALUE(LEFT(H260,SUM(LEN(H260)-LEN(SUBSTITUTE(H260,{"0","1","2","3","4","5","6","7","8","9","."},"")))))*G260),2)))</f>
        <v/>
      </c>
      <c r="CM260" s="616" t="str">
        <f t="shared" si="318"/>
        <v/>
      </c>
      <c r="CN260" s="616" t="str">
        <f>IF(ISNUMBER(P260),MAX('Adjustment factors'!$S$16,(0.2+0.8*P260)),IF(ISTEXT(N260),VLOOKUP(N260,Afactors,2,FALSE),""))</f>
        <v/>
      </c>
      <c r="CO260" s="616" t="str">
        <f>IF(ISNUMBER(S260),MAX('Adjustment factors'!$S$16,0.2+0.8*S260),IF(ISTEXT(Q260),VLOOKUP(Q260,Afactors,2,FALSE),""))</f>
        <v/>
      </c>
      <c r="CP260" s="611" t="str">
        <f t="shared" si="305"/>
        <v/>
      </c>
      <c r="CQ260" s="612" t="str">
        <f t="shared" si="306"/>
        <v/>
      </c>
      <c r="CR260" s="340"/>
      <c r="CS260" s="340"/>
      <c r="CT260" s="340"/>
      <c r="CU260" s="340"/>
      <c r="CV260" s="333"/>
      <c r="CW260" s="333"/>
      <c r="CX260" s="333"/>
      <c r="CY260" s="333"/>
      <c r="DA260" s="313" t="str">
        <f t="shared" si="288"/>
        <v>OK</v>
      </c>
      <c r="DB260" s="313" t="str">
        <f t="shared" si="289"/>
        <v>OK</v>
      </c>
      <c r="DC260" s="313" t="str">
        <f t="shared" si="290"/>
        <v>OK</v>
      </c>
      <c r="DD260" s="313" t="str">
        <f t="shared" si="291"/>
        <v>OK</v>
      </c>
      <c r="DE260" s="153" t="str">
        <f t="shared" si="292"/>
        <v>OK</v>
      </c>
      <c r="DF260" s="314" t="str">
        <f t="shared" si="293"/>
        <v>OK</v>
      </c>
      <c r="DG260" s="482" t="str">
        <f t="shared" si="307"/>
        <v>OK</v>
      </c>
      <c r="DH260" s="482" t="str">
        <f>IF(OR(AND(T260='Adjustment factors'!$R$28,'Class 3, 5-9'!U260='Adjustment factors'!$R$29),AND('Class 3, 5-9'!T260='Adjustment factors'!$R$29,'Class 3, 5-9'!U260='Adjustment factors'!$R$28)),"Invalid combination of adjustment factors",IF(AND(T260=U260,NOT(ISBLANK(T260)),NOT(ISBLANK(U260))),"Same colour factor selected twice","OK"))</f>
        <v>OK</v>
      </c>
      <c r="DI260" s="313" t="str">
        <f t="shared" si="294"/>
        <v>OK</v>
      </c>
      <c r="DJ260" s="153" t="str">
        <f t="shared" si="319"/>
        <v>OK</v>
      </c>
      <c r="DK260" s="153" t="str">
        <f t="shared" si="295"/>
        <v>OK</v>
      </c>
      <c r="DL260" s="313" t="str">
        <f t="shared" si="296"/>
        <v>OK</v>
      </c>
      <c r="DM260" s="153" t="str">
        <f t="shared" si="297"/>
        <v>OK</v>
      </c>
      <c r="DN260" s="153" t="str">
        <f t="shared" si="320"/>
        <v>OK</v>
      </c>
      <c r="DO260" s="154" t="str">
        <f t="shared" si="321"/>
        <v>OK</v>
      </c>
      <c r="DP260" s="153" t="str">
        <f t="shared" si="298"/>
        <v>OK</v>
      </c>
      <c r="DQ260" s="313" t="str">
        <f t="shared" si="299"/>
        <v>OK</v>
      </c>
      <c r="DR260" s="153" t="str">
        <f t="shared" si="322"/>
        <v>OK</v>
      </c>
      <c r="DS260" s="153" t="str">
        <f t="shared" si="300"/>
        <v>OK</v>
      </c>
      <c r="DT260" s="313" t="str">
        <f t="shared" si="335"/>
        <v>OK</v>
      </c>
      <c r="DU260" s="153" t="str">
        <f t="shared" si="301"/>
        <v>OK</v>
      </c>
      <c r="DV260" s="153" t="str">
        <f t="shared" si="323"/>
        <v>OK</v>
      </c>
      <c r="DW260" s="154" t="str">
        <f t="shared" si="324"/>
        <v>OK</v>
      </c>
      <c r="DX260" s="157">
        <f t="shared" si="325"/>
        <v>0</v>
      </c>
      <c r="DY260" s="156" t="str">
        <f t="shared" si="326"/>
        <v>OK</v>
      </c>
    </row>
    <row r="261" spans="1:129" ht="13" hidden="1" x14ac:dyDescent="0.3">
      <c r="A261" s="333"/>
      <c r="B261" s="333"/>
      <c r="C261" s="331" t="str">
        <f t="shared" si="334"/>
        <v>-</v>
      </c>
      <c r="D261" s="584">
        <f t="shared" si="336"/>
        <v>238</v>
      </c>
      <c r="E261" s="585"/>
      <c r="F261" s="586"/>
      <c r="G261" s="600"/>
      <c r="H261" s="587"/>
      <c r="I261" s="601"/>
      <c r="J261" s="585"/>
      <c r="K261" s="617"/>
      <c r="L261" s="602"/>
      <c r="M261" s="603"/>
      <c r="N261" s="588"/>
      <c r="O261" s="604"/>
      <c r="P261" s="605"/>
      <c r="Q261" s="588"/>
      <c r="R261" s="604"/>
      <c r="S261" s="605"/>
      <c r="T261" s="606"/>
      <c r="U261" s="606"/>
      <c r="V261" s="429" t="str">
        <f t="shared" si="331"/>
        <v/>
      </c>
      <c r="W261" s="430" t="str">
        <f t="shared" si="330"/>
        <v/>
      </c>
      <c r="X261" s="66" t="str">
        <f>IF(AND(ISNUMBER(P261),N261=FixedDim),MAX('Adjustment factors'!$S$16,0.2+0.8*P261),IF(ISTEXT(N261),VLOOKUP(N261,Afactors,2,TRUE),""))</f>
        <v/>
      </c>
      <c r="Y261" s="17" t="str">
        <f>IF(AND(ISNUMBER(S261),Q261=FixedDim),MAX('Adjustment factors'!$S$16,0.2+0.8*S261),IF(ISTEXT(Q261),VLOOKUP(Q261,Afactors,2,TRUE),""))</f>
        <v/>
      </c>
      <c r="Z261" s="297" t="str">
        <f>IF(ISBLANK(T261),"",VLOOKUP(T261,'Adjustment factors'!$R$27:$S$30,2,TRUE))</f>
        <v/>
      </c>
      <c r="AA261" s="297" t="str">
        <f>IF(ISBLANK(U261),"",VLOOKUP(U261,'Adjustment factors'!$R$27:$S$30,2,TRUE))</f>
        <v/>
      </c>
      <c r="AB261" s="480">
        <f t="shared" si="302"/>
        <v>1</v>
      </c>
      <c r="AC261" s="18" t="b">
        <f t="shared" si="259"/>
        <v>0</v>
      </c>
      <c r="AD261" s="18" t="b">
        <f t="shared" si="260"/>
        <v>0</v>
      </c>
      <c r="AE261" s="18" t="b">
        <f t="shared" si="327"/>
        <v>0</v>
      </c>
      <c r="AF261" s="17" t="str">
        <f t="shared" si="261"/>
        <v/>
      </c>
      <c r="AG261" s="18" t="str">
        <f t="shared" si="262"/>
        <v/>
      </c>
      <c r="AH261" s="17" t="str">
        <f t="shared" si="328"/>
        <v/>
      </c>
      <c r="AI261" s="297" t="e">
        <f t="shared" si="303"/>
        <v>#VALUE!</v>
      </c>
      <c r="AJ261" s="79" t="e">
        <f t="shared" si="263"/>
        <v>#VALUE!</v>
      </c>
      <c r="AK261" s="17" t="str">
        <f t="shared" si="329"/>
        <v/>
      </c>
      <c r="AL261" s="80" t="e">
        <f t="shared" si="264"/>
        <v>#VALUE!</v>
      </c>
      <c r="AM261" s="139" t="b">
        <f t="shared" si="265"/>
        <v>1</v>
      </c>
      <c r="AN261" s="139" t="b">
        <f>AND(COUNTA(E261)&gt;0,ISNUMBER(F261),OR(COUNT(G261:H261)=0,COUNT(G261:H261)=2,AND(ISNUMBER(G261),ISNUMBER(VALUE(LEFT(H261,SUM(LEN(H261)-LEN(SUBSTITUTE(H261,{"0","1","2","3","4","5","6","7","8","9","."},"")))))))),ISNUMBER(I261),ISTEXT(J261))</f>
        <v>0</v>
      </c>
      <c r="AO261" s="19" t="b">
        <f t="shared" si="266"/>
        <v>0</v>
      </c>
      <c r="AP261" s="19" t="b">
        <f t="shared" si="267"/>
        <v>1</v>
      </c>
      <c r="AQ261" s="19" t="b">
        <f>IF(AND(COUNTBLANK(E261:J261)=6,OR(AN262:AN$523)),NOT(AN261))</f>
        <v>0</v>
      </c>
      <c r="AR261" s="19" t="str">
        <f t="shared" si="268"/>
        <v/>
      </c>
      <c r="AS261" s="19" t="b">
        <f t="shared" si="269"/>
        <v>1</v>
      </c>
      <c r="AT261" s="19" t="str">
        <f t="shared" si="270"/>
        <v/>
      </c>
      <c r="AU261" s="19" t="b">
        <f t="shared" si="271"/>
        <v>1</v>
      </c>
      <c r="AV261" s="140" t="str">
        <f t="shared" si="311"/>
        <v/>
      </c>
      <c r="AW261" s="19" t="str">
        <f t="shared" si="272"/>
        <v/>
      </c>
      <c r="AX261" s="81">
        <f t="shared" si="273"/>
        <v>0</v>
      </c>
      <c r="AY261" s="81" t="str">
        <f t="shared" si="274"/>
        <v/>
      </c>
      <c r="AZ261" s="307" t="str">
        <f t="shared" si="304"/>
        <v/>
      </c>
      <c r="BA261" s="281" t="str">
        <f t="shared" si="312"/>
        <v/>
      </c>
      <c r="BB261" s="281" t="str">
        <f t="shared" si="313"/>
        <v/>
      </c>
      <c r="BC261" s="953"/>
      <c r="BD261" s="955"/>
      <c r="BE261" s="219" t="str">
        <f t="shared" si="275"/>
        <v>n/a</v>
      </c>
      <c r="BF261" s="215" t="b">
        <f t="shared" si="276"/>
        <v>0</v>
      </c>
      <c r="BG261" s="145" t="b">
        <f t="shared" si="277"/>
        <v>0</v>
      </c>
      <c r="BH261" s="145" t="b">
        <f t="shared" si="278"/>
        <v>0</v>
      </c>
      <c r="BI261" s="216" t="b">
        <f t="shared" si="279"/>
        <v>0</v>
      </c>
      <c r="BJ261" s="215" t="b">
        <f t="shared" si="280"/>
        <v>0</v>
      </c>
      <c r="BK261" s="145" t="b">
        <f t="shared" si="281"/>
        <v>0</v>
      </c>
      <c r="BL261" s="216" t="b">
        <f t="shared" si="282"/>
        <v>0</v>
      </c>
      <c r="BM261" s="217" t="str">
        <f t="shared" si="314"/>
        <v/>
      </c>
      <c r="BN261" s="146" t="str">
        <f t="shared" si="315"/>
        <v/>
      </c>
      <c r="BO261" s="147" t="str">
        <f t="shared" si="316"/>
        <v/>
      </c>
      <c r="BP261" s="148" t="str">
        <f t="shared" si="317"/>
        <v/>
      </c>
      <c r="BT261" s="50">
        <f t="shared" si="337"/>
        <v>238</v>
      </c>
      <c r="BU261" s="50" t="str">
        <f t="shared" si="333"/>
        <v>-</v>
      </c>
      <c r="BW261" s="333"/>
      <c r="BX261" s="333"/>
      <c r="BY261" s="333"/>
      <c r="BZ261" s="333"/>
      <c r="CA261" s="333"/>
      <c r="CB261" s="333"/>
      <c r="CC261" s="333"/>
      <c r="CD261" s="333"/>
      <c r="CE261" s="333"/>
      <c r="CF261" s="333"/>
      <c r="CG261" s="354">
        <f t="shared" si="283"/>
        <v>238</v>
      </c>
      <c r="CH261" s="613">
        <f t="shared" si="284"/>
        <v>0</v>
      </c>
      <c r="CI261" s="613">
        <f t="shared" si="285"/>
        <v>0</v>
      </c>
      <c r="CJ261" s="614" t="str">
        <f t="shared" si="286"/>
        <v/>
      </c>
      <c r="CK261" s="615" t="str">
        <f t="shared" si="287"/>
        <v/>
      </c>
      <c r="CL261" s="610" t="str">
        <f>IF(ISBLANK(H261),"",IF(AND(ISNUMBER(F261),ISNUMBER(G261),ISNUMBER(H261)),ROUND(F261/(H261*G261),2),ROUND(F261/(VALUE(LEFT(H261,SUM(LEN(H261)-LEN(SUBSTITUTE(H261,{"0","1","2","3","4","5","6","7","8","9","."},"")))))*G261),2)))</f>
        <v/>
      </c>
      <c r="CM261" s="616" t="str">
        <f t="shared" si="318"/>
        <v/>
      </c>
      <c r="CN261" s="616" t="str">
        <f>IF(ISNUMBER(P261),MAX('Adjustment factors'!$S$16,(0.2+0.8*P261)),IF(ISTEXT(N261),VLOOKUP(N261,Afactors,2,FALSE),""))</f>
        <v/>
      </c>
      <c r="CO261" s="616" t="str">
        <f>IF(ISNUMBER(S261),MAX('Adjustment factors'!$S$16,0.2+0.8*S261),IF(ISTEXT(Q261),VLOOKUP(Q261,Afactors,2,FALSE),""))</f>
        <v/>
      </c>
      <c r="CP261" s="611" t="str">
        <f t="shared" si="305"/>
        <v/>
      </c>
      <c r="CQ261" s="612" t="str">
        <f t="shared" si="306"/>
        <v/>
      </c>
      <c r="CR261" s="340"/>
      <c r="CS261" s="340"/>
      <c r="CT261" s="340"/>
      <c r="CU261" s="340"/>
      <c r="CV261" s="333"/>
      <c r="CW261" s="333"/>
      <c r="CX261" s="333"/>
      <c r="CY261" s="333"/>
      <c r="DA261" s="313" t="str">
        <f t="shared" si="288"/>
        <v>OK</v>
      </c>
      <c r="DB261" s="313" t="str">
        <f t="shared" si="289"/>
        <v>OK</v>
      </c>
      <c r="DC261" s="313" t="str">
        <f t="shared" si="290"/>
        <v>OK</v>
      </c>
      <c r="DD261" s="313" t="str">
        <f t="shared" si="291"/>
        <v>OK</v>
      </c>
      <c r="DE261" s="153" t="str">
        <f t="shared" si="292"/>
        <v>OK</v>
      </c>
      <c r="DF261" s="314" t="str">
        <f t="shared" si="293"/>
        <v>OK</v>
      </c>
      <c r="DG261" s="482" t="str">
        <f t="shared" si="307"/>
        <v>OK</v>
      </c>
      <c r="DH261" s="482" t="str">
        <f>IF(OR(AND(T261='Adjustment factors'!$R$28,'Class 3, 5-9'!U261='Adjustment factors'!$R$29),AND('Class 3, 5-9'!T261='Adjustment factors'!$R$29,'Class 3, 5-9'!U261='Adjustment factors'!$R$28)),"Invalid combination of adjustment factors",IF(AND(T261=U261,NOT(ISBLANK(T261)),NOT(ISBLANK(U261))),"Same colour factor selected twice","OK"))</f>
        <v>OK</v>
      </c>
      <c r="DI261" s="313" t="str">
        <f t="shared" si="294"/>
        <v>OK</v>
      </c>
      <c r="DJ261" s="153" t="str">
        <f t="shared" si="319"/>
        <v>OK</v>
      </c>
      <c r="DK261" s="153" t="str">
        <f t="shared" si="295"/>
        <v>OK</v>
      </c>
      <c r="DL261" s="313" t="str">
        <f t="shared" si="296"/>
        <v>OK</v>
      </c>
      <c r="DM261" s="153" t="str">
        <f t="shared" si="297"/>
        <v>OK</v>
      </c>
      <c r="DN261" s="153" t="str">
        <f t="shared" si="320"/>
        <v>OK</v>
      </c>
      <c r="DO261" s="154" t="str">
        <f t="shared" si="321"/>
        <v>OK</v>
      </c>
      <c r="DP261" s="153" t="str">
        <f t="shared" si="298"/>
        <v>OK</v>
      </c>
      <c r="DQ261" s="313" t="str">
        <f t="shared" si="299"/>
        <v>OK</v>
      </c>
      <c r="DR261" s="153" t="str">
        <f t="shared" si="322"/>
        <v>OK</v>
      </c>
      <c r="DS261" s="153" t="str">
        <f t="shared" si="300"/>
        <v>OK</v>
      </c>
      <c r="DT261" s="313" t="str">
        <f t="shared" si="335"/>
        <v>OK</v>
      </c>
      <c r="DU261" s="153" t="str">
        <f t="shared" si="301"/>
        <v>OK</v>
      </c>
      <c r="DV261" s="153" t="str">
        <f t="shared" si="323"/>
        <v>OK</v>
      </c>
      <c r="DW261" s="154" t="str">
        <f t="shared" si="324"/>
        <v>OK</v>
      </c>
      <c r="DX261" s="157">
        <f t="shared" si="325"/>
        <v>0</v>
      </c>
      <c r="DY261" s="156" t="str">
        <f t="shared" si="326"/>
        <v>OK</v>
      </c>
    </row>
    <row r="262" spans="1:129" ht="13" hidden="1" x14ac:dyDescent="0.3">
      <c r="A262" s="333"/>
      <c r="B262" s="333"/>
      <c r="C262" s="331" t="str">
        <f t="shared" si="334"/>
        <v>-</v>
      </c>
      <c r="D262" s="584">
        <f t="shared" si="336"/>
        <v>239</v>
      </c>
      <c r="E262" s="585"/>
      <c r="F262" s="586"/>
      <c r="G262" s="600"/>
      <c r="H262" s="587"/>
      <c r="I262" s="601"/>
      <c r="J262" s="585"/>
      <c r="K262" s="617"/>
      <c r="L262" s="602"/>
      <c r="M262" s="603"/>
      <c r="N262" s="588"/>
      <c r="O262" s="604"/>
      <c r="P262" s="605"/>
      <c r="Q262" s="588"/>
      <c r="R262" s="604"/>
      <c r="S262" s="605"/>
      <c r="T262" s="606"/>
      <c r="U262" s="606"/>
      <c r="V262" s="429" t="str">
        <f t="shared" si="331"/>
        <v/>
      </c>
      <c r="W262" s="430" t="str">
        <f t="shared" si="330"/>
        <v/>
      </c>
      <c r="X262" s="66" t="str">
        <f>IF(AND(ISNUMBER(P262),N262=FixedDim),MAX('Adjustment factors'!$S$16,0.2+0.8*P262),IF(ISTEXT(N262),VLOOKUP(N262,Afactors,2,TRUE),""))</f>
        <v/>
      </c>
      <c r="Y262" s="17" t="str">
        <f>IF(AND(ISNUMBER(S262),Q262=FixedDim),MAX('Adjustment factors'!$S$16,0.2+0.8*S262),IF(ISTEXT(Q262),VLOOKUP(Q262,Afactors,2,TRUE),""))</f>
        <v/>
      </c>
      <c r="Z262" s="297" t="str">
        <f>IF(ISBLANK(T262),"",VLOOKUP(T262,'Adjustment factors'!$R$27:$S$30,2,TRUE))</f>
        <v/>
      </c>
      <c r="AA262" s="297" t="str">
        <f>IF(ISBLANK(U262),"",VLOOKUP(U262,'Adjustment factors'!$R$27:$S$30,2,TRUE))</f>
        <v/>
      </c>
      <c r="AB262" s="480">
        <f t="shared" si="302"/>
        <v>1</v>
      </c>
      <c r="AC262" s="18" t="b">
        <f t="shared" si="259"/>
        <v>0</v>
      </c>
      <c r="AD262" s="18" t="b">
        <f t="shared" si="260"/>
        <v>0</v>
      </c>
      <c r="AE262" s="18" t="b">
        <f t="shared" si="327"/>
        <v>0</v>
      </c>
      <c r="AF262" s="17" t="str">
        <f t="shared" si="261"/>
        <v/>
      </c>
      <c r="AG262" s="18" t="str">
        <f t="shared" si="262"/>
        <v/>
      </c>
      <c r="AH262" s="17" t="str">
        <f t="shared" si="328"/>
        <v/>
      </c>
      <c r="AI262" s="297" t="e">
        <f t="shared" si="303"/>
        <v>#VALUE!</v>
      </c>
      <c r="AJ262" s="79" t="e">
        <f t="shared" si="263"/>
        <v>#VALUE!</v>
      </c>
      <c r="AK262" s="17" t="str">
        <f t="shared" si="329"/>
        <v/>
      </c>
      <c r="AL262" s="80" t="e">
        <f t="shared" si="264"/>
        <v>#VALUE!</v>
      </c>
      <c r="AM262" s="139" t="b">
        <f t="shared" si="265"/>
        <v>1</v>
      </c>
      <c r="AN262" s="139" t="b">
        <f>AND(COUNTA(E262)&gt;0,ISNUMBER(F262),OR(COUNT(G262:H262)=0,COUNT(G262:H262)=2,AND(ISNUMBER(G262),ISNUMBER(VALUE(LEFT(H262,SUM(LEN(H262)-LEN(SUBSTITUTE(H262,{"0","1","2","3","4","5","6","7","8","9","."},"")))))))),ISNUMBER(I262),ISTEXT(J262))</f>
        <v>0</v>
      </c>
      <c r="AO262" s="19" t="b">
        <f t="shared" si="266"/>
        <v>0</v>
      </c>
      <c r="AP262" s="19" t="b">
        <f t="shared" si="267"/>
        <v>1</v>
      </c>
      <c r="AQ262" s="19" t="b">
        <f>IF(AND(COUNTBLANK(E262:J262)=6,OR(AN263:AN$523)),NOT(AN262))</f>
        <v>0</v>
      </c>
      <c r="AR262" s="19" t="str">
        <f t="shared" si="268"/>
        <v/>
      </c>
      <c r="AS262" s="19" t="b">
        <f t="shared" si="269"/>
        <v>1</v>
      </c>
      <c r="AT262" s="19" t="str">
        <f t="shared" si="270"/>
        <v/>
      </c>
      <c r="AU262" s="19" t="b">
        <f t="shared" si="271"/>
        <v>1</v>
      </c>
      <c r="AV262" s="140" t="str">
        <f t="shared" si="311"/>
        <v/>
      </c>
      <c r="AW262" s="19" t="str">
        <f t="shared" si="272"/>
        <v/>
      </c>
      <c r="AX262" s="81">
        <f t="shared" si="273"/>
        <v>0</v>
      </c>
      <c r="AY262" s="81" t="str">
        <f t="shared" si="274"/>
        <v/>
      </c>
      <c r="AZ262" s="307" t="str">
        <f t="shared" si="304"/>
        <v/>
      </c>
      <c r="BA262" s="281" t="str">
        <f t="shared" si="312"/>
        <v/>
      </c>
      <c r="BB262" s="281" t="str">
        <f t="shared" si="313"/>
        <v/>
      </c>
      <c r="BC262" s="953"/>
      <c r="BD262" s="955"/>
      <c r="BE262" s="219" t="str">
        <f t="shared" si="275"/>
        <v>n/a</v>
      </c>
      <c r="BF262" s="215" t="b">
        <f t="shared" si="276"/>
        <v>0</v>
      </c>
      <c r="BG262" s="145" t="b">
        <f t="shared" si="277"/>
        <v>0</v>
      </c>
      <c r="BH262" s="145" t="b">
        <f t="shared" si="278"/>
        <v>0</v>
      </c>
      <c r="BI262" s="216" t="b">
        <f t="shared" si="279"/>
        <v>0</v>
      </c>
      <c r="BJ262" s="215" t="b">
        <f t="shared" si="280"/>
        <v>0</v>
      </c>
      <c r="BK262" s="145" t="b">
        <f t="shared" si="281"/>
        <v>0</v>
      </c>
      <c r="BL262" s="216" t="b">
        <f t="shared" si="282"/>
        <v>0</v>
      </c>
      <c r="BM262" s="217" t="str">
        <f t="shared" si="314"/>
        <v/>
      </c>
      <c r="BN262" s="146" t="str">
        <f t="shared" si="315"/>
        <v/>
      </c>
      <c r="BO262" s="147" t="str">
        <f t="shared" si="316"/>
        <v/>
      </c>
      <c r="BP262" s="148" t="str">
        <f t="shared" si="317"/>
        <v/>
      </c>
      <c r="BT262" s="50">
        <f t="shared" si="337"/>
        <v>239</v>
      </c>
      <c r="BU262" s="50" t="str">
        <f t="shared" si="333"/>
        <v>-</v>
      </c>
      <c r="BW262" s="333"/>
      <c r="BX262" s="333"/>
      <c r="BY262" s="333"/>
      <c r="BZ262" s="333"/>
      <c r="CA262" s="333"/>
      <c r="CB262" s="333"/>
      <c r="CC262" s="333"/>
      <c r="CD262" s="333"/>
      <c r="CE262" s="333"/>
      <c r="CF262" s="333"/>
      <c r="CG262" s="354">
        <f t="shared" si="283"/>
        <v>239</v>
      </c>
      <c r="CH262" s="613">
        <f t="shared" si="284"/>
        <v>0</v>
      </c>
      <c r="CI262" s="613">
        <f t="shared" si="285"/>
        <v>0</v>
      </c>
      <c r="CJ262" s="614" t="str">
        <f t="shared" si="286"/>
        <v/>
      </c>
      <c r="CK262" s="615" t="str">
        <f t="shared" si="287"/>
        <v/>
      </c>
      <c r="CL262" s="610" t="str">
        <f>IF(ISBLANK(H262),"",IF(AND(ISNUMBER(F262),ISNUMBER(G262),ISNUMBER(H262)),ROUND(F262/(H262*G262),2),ROUND(F262/(VALUE(LEFT(H262,SUM(LEN(H262)-LEN(SUBSTITUTE(H262,{"0","1","2","3","4","5","6","7","8","9","."},"")))))*G262),2)))</f>
        <v/>
      </c>
      <c r="CM262" s="616" t="str">
        <f t="shared" si="318"/>
        <v/>
      </c>
      <c r="CN262" s="616" t="str">
        <f>IF(ISNUMBER(P262),MAX('Adjustment factors'!$S$16,(0.2+0.8*P262)),IF(ISTEXT(N262),VLOOKUP(N262,Afactors,2,FALSE),""))</f>
        <v/>
      </c>
      <c r="CO262" s="616" t="str">
        <f>IF(ISNUMBER(S262),MAX('Adjustment factors'!$S$16,0.2+0.8*S262),IF(ISTEXT(Q262),VLOOKUP(Q262,Afactors,2,FALSE),""))</f>
        <v/>
      </c>
      <c r="CP262" s="611" t="str">
        <f t="shared" si="305"/>
        <v/>
      </c>
      <c r="CQ262" s="612" t="str">
        <f t="shared" si="306"/>
        <v/>
      </c>
      <c r="CR262" s="340"/>
      <c r="CS262" s="340"/>
      <c r="CT262" s="340"/>
      <c r="CU262" s="340"/>
      <c r="CV262" s="333"/>
      <c r="CW262" s="333"/>
      <c r="CX262" s="333"/>
      <c r="CY262" s="333"/>
      <c r="DA262" s="313" t="str">
        <f t="shared" si="288"/>
        <v>OK</v>
      </c>
      <c r="DB262" s="313" t="str">
        <f t="shared" si="289"/>
        <v>OK</v>
      </c>
      <c r="DC262" s="313" t="str">
        <f t="shared" si="290"/>
        <v>OK</v>
      </c>
      <c r="DD262" s="313" t="str">
        <f t="shared" si="291"/>
        <v>OK</v>
      </c>
      <c r="DE262" s="153" t="str">
        <f t="shared" si="292"/>
        <v>OK</v>
      </c>
      <c r="DF262" s="314" t="str">
        <f t="shared" si="293"/>
        <v>OK</v>
      </c>
      <c r="DG262" s="482" t="str">
        <f t="shared" si="307"/>
        <v>OK</v>
      </c>
      <c r="DH262" s="482" t="str">
        <f>IF(OR(AND(T262='Adjustment factors'!$R$28,'Class 3, 5-9'!U262='Adjustment factors'!$R$29),AND('Class 3, 5-9'!T262='Adjustment factors'!$R$29,'Class 3, 5-9'!U262='Adjustment factors'!$R$28)),"Invalid combination of adjustment factors",IF(AND(T262=U262,NOT(ISBLANK(T262)),NOT(ISBLANK(U262))),"Same colour factor selected twice","OK"))</f>
        <v>OK</v>
      </c>
      <c r="DI262" s="313" t="str">
        <f t="shared" si="294"/>
        <v>OK</v>
      </c>
      <c r="DJ262" s="153" t="str">
        <f t="shared" si="319"/>
        <v>OK</v>
      </c>
      <c r="DK262" s="153" t="str">
        <f t="shared" si="295"/>
        <v>OK</v>
      </c>
      <c r="DL262" s="313" t="str">
        <f t="shared" si="296"/>
        <v>OK</v>
      </c>
      <c r="DM262" s="153" t="str">
        <f t="shared" si="297"/>
        <v>OK</v>
      </c>
      <c r="DN262" s="153" t="str">
        <f t="shared" si="320"/>
        <v>OK</v>
      </c>
      <c r="DO262" s="154" t="str">
        <f t="shared" si="321"/>
        <v>OK</v>
      </c>
      <c r="DP262" s="153" t="str">
        <f t="shared" si="298"/>
        <v>OK</v>
      </c>
      <c r="DQ262" s="313" t="str">
        <f t="shared" si="299"/>
        <v>OK</v>
      </c>
      <c r="DR262" s="153" t="str">
        <f t="shared" si="322"/>
        <v>OK</v>
      </c>
      <c r="DS262" s="153" t="str">
        <f t="shared" si="300"/>
        <v>OK</v>
      </c>
      <c r="DT262" s="313" t="str">
        <f t="shared" si="335"/>
        <v>OK</v>
      </c>
      <c r="DU262" s="153" t="str">
        <f t="shared" si="301"/>
        <v>OK</v>
      </c>
      <c r="DV262" s="153" t="str">
        <f t="shared" si="323"/>
        <v>OK</v>
      </c>
      <c r="DW262" s="154" t="str">
        <f t="shared" si="324"/>
        <v>OK</v>
      </c>
      <c r="DX262" s="157">
        <f t="shared" si="325"/>
        <v>0</v>
      </c>
      <c r="DY262" s="156" t="str">
        <f t="shared" si="326"/>
        <v>OK</v>
      </c>
    </row>
    <row r="263" spans="1:129" ht="13" hidden="1" x14ac:dyDescent="0.3">
      <c r="A263" s="333"/>
      <c r="B263" s="333"/>
      <c r="C263" s="332" t="str">
        <f t="shared" si="334"/>
        <v>-</v>
      </c>
      <c r="D263" s="584">
        <f t="shared" si="336"/>
        <v>240</v>
      </c>
      <c r="E263" s="585"/>
      <c r="F263" s="586"/>
      <c r="G263" s="600"/>
      <c r="H263" s="587"/>
      <c r="I263" s="601"/>
      <c r="J263" s="585"/>
      <c r="K263" s="617"/>
      <c r="L263" s="602"/>
      <c r="M263" s="603"/>
      <c r="N263" s="588"/>
      <c r="O263" s="604"/>
      <c r="P263" s="605"/>
      <c r="Q263" s="588"/>
      <c r="R263" s="604"/>
      <c r="S263" s="605"/>
      <c r="T263" s="606"/>
      <c r="U263" s="606"/>
      <c r="V263" s="429" t="str">
        <f t="shared" si="331"/>
        <v/>
      </c>
      <c r="W263" s="430" t="str">
        <f t="shared" si="330"/>
        <v/>
      </c>
      <c r="X263" s="66" t="str">
        <f>IF(AND(ISNUMBER(P263),N263=FixedDim),MAX('Adjustment factors'!$S$16,0.2+0.8*P263),IF(ISTEXT(N263),VLOOKUP(N263,Afactors,2,TRUE),""))</f>
        <v/>
      </c>
      <c r="Y263" s="17" t="str">
        <f>IF(AND(ISNUMBER(S263),Q263=FixedDim),MAX('Adjustment factors'!$S$16,0.2+0.8*S263),IF(ISTEXT(Q263),VLOOKUP(Q263,Afactors,2,TRUE),""))</f>
        <v/>
      </c>
      <c r="Z263" s="297" t="str">
        <f>IF(ISBLANK(T263),"",VLOOKUP(T263,'Adjustment factors'!$R$27:$S$30,2,TRUE))</f>
        <v/>
      </c>
      <c r="AA263" s="297" t="str">
        <f>IF(ISBLANK(U263),"",VLOOKUP(U263,'Adjustment factors'!$R$27:$S$30,2,TRUE))</f>
        <v/>
      </c>
      <c r="AB263" s="480">
        <f t="shared" si="302"/>
        <v>1</v>
      </c>
      <c r="AC263" s="18" t="b">
        <f t="shared" si="259"/>
        <v>0</v>
      </c>
      <c r="AD263" s="18" t="b">
        <f t="shared" si="260"/>
        <v>0</v>
      </c>
      <c r="AE263" s="18" t="b">
        <f t="shared" si="327"/>
        <v>0</v>
      </c>
      <c r="AF263" s="17" t="str">
        <f t="shared" si="261"/>
        <v/>
      </c>
      <c r="AG263" s="18" t="str">
        <f t="shared" si="262"/>
        <v/>
      </c>
      <c r="AH263" s="17" t="str">
        <f t="shared" si="328"/>
        <v/>
      </c>
      <c r="AI263" s="297" t="e">
        <f t="shared" si="303"/>
        <v>#VALUE!</v>
      </c>
      <c r="AJ263" s="79" t="e">
        <f t="shared" si="263"/>
        <v>#VALUE!</v>
      </c>
      <c r="AK263" s="17" t="str">
        <f t="shared" si="329"/>
        <v/>
      </c>
      <c r="AL263" s="80" t="e">
        <f t="shared" si="264"/>
        <v>#VALUE!</v>
      </c>
      <c r="AM263" s="139" t="b">
        <f t="shared" si="265"/>
        <v>1</v>
      </c>
      <c r="AN263" s="139" t="b">
        <f>AND(COUNTA(E263)&gt;0,ISNUMBER(F263),OR(COUNT(G263:H263)=0,COUNT(G263:H263)=2,AND(ISNUMBER(G263),ISNUMBER(VALUE(LEFT(H263,SUM(LEN(H263)-LEN(SUBSTITUTE(H263,{"0","1","2","3","4","5","6","7","8","9","."},"")))))))),ISNUMBER(I263),ISTEXT(J263))</f>
        <v>0</v>
      </c>
      <c r="AO263" s="19" t="b">
        <f t="shared" si="266"/>
        <v>0</v>
      </c>
      <c r="AP263" s="19" t="b">
        <f t="shared" si="267"/>
        <v>1</v>
      </c>
      <c r="AQ263" s="19" t="b">
        <f>IF(AND(COUNTBLANK(E263:J263)=6,OR(AN264:AN$523)),NOT(AN263))</f>
        <v>0</v>
      </c>
      <c r="AR263" s="19" t="str">
        <f t="shared" si="268"/>
        <v/>
      </c>
      <c r="AS263" s="19" t="b">
        <f t="shared" si="269"/>
        <v>1</v>
      </c>
      <c r="AT263" s="19" t="str">
        <f t="shared" si="270"/>
        <v/>
      </c>
      <c r="AU263" s="19" t="b">
        <f t="shared" si="271"/>
        <v>1</v>
      </c>
      <c r="AV263" s="140" t="str">
        <f t="shared" si="311"/>
        <v/>
      </c>
      <c r="AW263" s="19" t="str">
        <f t="shared" si="272"/>
        <v/>
      </c>
      <c r="AX263" s="81">
        <f t="shared" si="273"/>
        <v>0</v>
      </c>
      <c r="AY263" s="81" t="str">
        <f t="shared" si="274"/>
        <v/>
      </c>
      <c r="AZ263" s="307" t="str">
        <f t="shared" si="304"/>
        <v/>
      </c>
      <c r="BA263" s="281" t="str">
        <f t="shared" si="312"/>
        <v/>
      </c>
      <c r="BB263" s="281" t="str">
        <f t="shared" si="313"/>
        <v/>
      </c>
      <c r="BC263" s="953"/>
      <c r="BD263" s="955"/>
      <c r="BE263" s="219" t="str">
        <f t="shared" si="275"/>
        <v>n/a</v>
      </c>
      <c r="BF263" s="215" t="b">
        <f t="shared" si="276"/>
        <v>0</v>
      </c>
      <c r="BG263" s="145" t="b">
        <f t="shared" si="277"/>
        <v>0</v>
      </c>
      <c r="BH263" s="145" t="b">
        <f t="shared" si="278"/>
        <v>0</v>
      </c>
      <c r="BI263" s="216" t="b">
        <f t="shared" si="279"/>
        <v>0</v>
      </c>
      <c r="BJ263" s="215" t="b">
        <f t="shared" si="280"/>
        <v>0</v>
      </c>
      <c r="BK263" s="145" t="b">
        <f t="shared" si="281"/>
        <v>0</v>
      </c>
      <c r="BL263" s="216" t="b">
        <f t="shared" si="282"/>
        <v>0</v>
      </c>
      <c r="BM263" s="217" t="str">
        <f t="shared" si="314"/>
        <v/>
      </c>
      <c r="BN263" s="146" t="str">
        <f t="shared" si="315"/>
        <v/>
      </c>
      <c r="BO263" s="147" t="str">
        <f t="shared" si="316"/>
        <v/>
      </c>
      <c r="BP263" s="148" t="str">
        <f t="shared" si="317"/>
        <v/>
      </c>
      <c r="BT263" s="50">
        <f t="shared" si="337"/>
        <v>240</v>
      </c>
      <c r="BU263" s="50" t="str">
        <f t="shared" si="333"/>
        <v>-</v>
      </c>
      <c r="BW263" s="333"/>
      <c r="BX263" s="333"/>
      <c r="BY263" s="333"/>
      <c r="BZ263" s="333"/>
      <c r="CA263" s="333"/>
      <c r="CB263" s="333"/>
      <c r="CC263" s="333"/>
      <c r="CD263" s="333"/>
      <c r="CE263" s="333"/>
      <c r="CF263" s="333"/>
      <c r="CG263" s="354">
        <f t="shared" si="283"/>
        <v>240</v>
      </c>
      <c r="CH263" s="613">
        <f t="shared" si="284"/>
        <v>0</v>
      </c>
      <c r="CI263" s="613">
        <f t="shared" si="285"/>
        <v>0</v>
      </c>
      <c r="CJ263" s="614" t="str">
        <f t="shared" si="286"/>
        <v/>
      </c>
      <c r="CK263" s="615" t="str">
        <f t="shared" si="287"/>
        <v/>
      </c>
      <c r="CL263" s="610" t="str">
        <f>IF(ISBLANK(H263),"",IF(AND(ISNUMBER(F263),ISNUMBER(G263),ISNUMBER(H263)),ROUND(F263/(H263*G263),2),ROUND(F263/(VALUE(LEFT(H263,SUM(LEN(H263)-LEN(SUBSTITUTE(H263,{"0","1","2","3","4","5","6","7","8","9","."},"")))))*G263),2)))</f>
        <v/>
      </c>
      <c r="CM263" s="616" t="str">
        <f t="shared" si="318"/>
        <v/>
      </c>
      <c r="CN263" s="616" t="str">
        <f>IF(ISNUMBER(P263),MAX('Adjustment factors'!$S$16,(0.2+0.8*P263)),IF(ISTEXT(N263),VLOOKUP(N263,Afactors,2,FALSE),""))</f>
        <v/>
      </c>
      <c r="CO263" s="616" t="str">
        <f>IF(ISNUMBER(S263),MAX('Adjustment factors'!$S$16,0.2+0.8*S263),IF(ISTEXT(Q263),VLOOKUP(Q263,Afactors,2,FALSE),""))</f>
        <v/>
      </c>
      <c r="CP263" s="611" t="str">
        <f t="shared" si="305"/>
        <v/>
      </c>
      <c r="CQ263" s="612" t="str">
        <f t="shared" si="306"/>
        <v/>
      </c>
      <c r="CR263" s="340"/>
      <c r="CS263" s="340"/>
      <c r="CT263" s="340"/>
      <c r="CU263" s="340"/>
      <c r="CV263" s="333"/>
      <c r="CW263" s="333"/>
      <c r="CX263" s="333"/>
      <c r="CY263" s="333"/>
      <c r="DA263" s="313" t="str">
        <f t="shared" si="288"/>
        <v>OK</v>
      </c>
      <c r="DB263" s="313" t="str">
        <f t="shared" si="289"/>
        <v>OK</v>
      </c>
      <c r="DC263" s="313" t="str">
        <f t="shared" si="290"/>
        <v>OK</v>
      </c>
      <c r="DD263" s="313" t="str">
        <f t="shared" si="291"/>
        <v>OK</v>
      </c>
      <c r="DE263" s="153" t="str">
        <f t="shared" si="292"/>
        <v>OK</v>
      </c>
      <c r="DF263" s="314" t="str">
        <f t="shared" si="293"/>
        <v>OK</v>
      </c>
      <c r="DG263" s="482" t="str">
        <f t="shared" si="307"/>
        <v>OK</v>
      </c>
      <c r="DH263" s="482" t="str">
        <f>IF(OR(AND(T263='Adjustment factors'!$R$28,'Class 3, 5-9'!U263='Adjustment factors'!$R$29),AND('Class 3, 5-9'!T263='Adjustment factors'!$R$29,'Class 3, 5-9'!U263='Adjustment factors'!$R$28)),"Invalid combination of adjustment factors",IF(AND(T263=U263,NOT(ISBLANK(T263)),NOT(ISBLANK(U263))),"Same colour factor selected twice","OK"))</f>
        <v>OK</v>
      </c>
      <c r="DI263" s="313" t="str">
        <f t="shared" si="294"/>
        <v>OK</v>
      </c>
      <c r="DJ263" s="153" t="str">
        <f t="shared" si="319"/>
        <v>OK</v>
      </c>
      <c r="DK263" s="153" t="str">
        <f t="shared" si="295"/>
        <v>OK</v>
      </c>
      <c r="DL263" s="313" t="str">
        <f t="shared" si="296"/>
        <v>OK</v>
      </c>
      <c r="DM263" s="153" t="str">
        <f t="shared" si="297"/>
        <v>OK</v>
      </c>
      <c r="DN263" s="153" t="str">
        <f t="shared" si="320"/>
        <v>OK</v>
      </c>
      <c r="DO263" s="154" t="str">
        <f t="shared" si="321"/>
        <v>OK</v>
      </c>
      <c r="DP263" s="153" t="str">
        <f t="shared" si="298"/>
        <v>OK</v>
      </c>
      <c r="DQ263" s="313" t="str">
        <f t="shared" si="299"/>
        <v>OK</v>
      </c>
      <c r="DR263" s="153" t="str">
        <f t="shared" si="322"/>
        <v>OK</v>
      </c>
      <c r="DS263" s="153" t="str">
        <f t="shared" si="300"/>
        <v>OK</v>
      </c>
      <c r="DT263" s="313" t="str">
        <f t="shared" si="335"/>
        <v>OK</v>
      </c>
      <c r="DU263" s="153" t="str">
        <f t="shared" si="301"/>
        <v>OK</v>
      </c>
      <c r="DV263" s="153" t="str">
        <f t="shared" si="323"/>
        <v>OK</v>
      </c>
      <c r="DW263" s="154" t="str">
        <f t="shared" si="324"/>
        <v>OK</v>
      </c>
      <c r="DX263" s="157">
        <f t="shared" si="325"/>
        <v>0</v>
      </c>
      <c r="DY263" s="156" t="str">
        <f t="shared" si="326"/>
        <v>OK</v>
      </c>
    </row>
    <row r="264" spans="1:129" ht="13" hidden="1" x14ac:dyDescent="0.3">
      <c r="A264" s="333"/>
      <c r="B264" s="333"/>
      <c r="C264" s="332" t="str">
        <f t="shared" si="334"/>
        <v>-</v>
      </c>
      <c r="D264" s="584">
        <f t="shared" si="336"/>
        <v>241</v>
      </c>
      <c r="E264" s="585"/>
      <c r="F264" s="586"/>
      <c r="G264" s="600"/>
      <c r="H264" s="587"/>
      <c r="I264" s="601"/>
      <c r="J264" s="585"/>
      <c r="K264" s="617"/>
      <c r="L264" s="602"/>
      <c r="M264" s="603"/>
      <c r="N264" s="588"/>
      <c r="O264" s="604"/>
      <c r="P264" s="605"/>
      <c r="Q264" s="588"/>
      <c r="R264" s="604"/>
      <c r="S264" s="605"/>
      <c r="T264" s="606"/>
      <c r="U264" s="606"/>
      <c r="V264" s="429" t="str">
        <f t="shared" si="331"/>
        <v/>
      </c>
      <c r="W264" s="430" t="str">
        <f t="shared" si="330"/>
        <v/>
      </c>
      <c r="X264" s="66" t="str">
        <f>IF(AND(ISNUMBER(P264),N264=FixedDim),MAX('Adjustment factors'!$S$16,0.2+0.8*P264),IF(ISTEXT(N264),VLOOKUP(N264,Afactors,2,TRUE),""))</f>
        <v/>
      </c>
      <c r="Y264" s="17" t="str">
        <f>IF(AND(ISNUMBER(S264),Q264=FixedDim),MAX('Adjustment factors'!$S$16,0.2+0.8*S264),IF(ISTEXT(Q264),VLOOKUP(Q264,Afactors,2,TRUE),""))</f>
        <v/>
      </c>
      <c r="Z264" s="297" t="str">
        <f>IF(ISBLANK(T264),"",VLOOKUP(T264,'Adjustment factors'!$R$27:$S$30,2,TRUE))</f>
        <v/>
      </c>
      <c r="AA264" s="297" t="str">
        <f>IF(ISBLANK(U264),"",VLOOKUP(U264,'Adjustment factors'!$R$27:$S$30,2,TRUE))</f>
        <v/>
      </c>
      <c r="AB264" s="480">
        <f t="shared" si="302"/>
        <v>1</v>
      </c>
      <c r="AC264" s="18" t="b">
        <f t="shared" si="259"/>
        <v>0</v>
      </c>
      <c r="AD264" s="18" t="b">
        <f t="shared" si="260"/>
        <v>0</v>
      </c>
      <c r="AE264" s="18" t="b">
        <f t="shared" si="327"/>
        <v>0</v>
      </c>
      <c r="AF264" s="17" t="str">
        <f t="shared" si="261"/>
        <v/>
      </c>
      <c r="AG264" s="18" t="str">
        <f t="shared" si="262"/>
        <v/>
      </c>
      <c r="AH264" s="17" t="str">
        <f t="shared" si="328"/>
        <v/>
      </c>
      <c r="AI264" s="297" t="e">
        <f t="shared" si="303"/>
        <v>#VALUE!</v>
      </c>
      <c r="AJ264" s="79" t="e">
        <f t="shared" si="263"/>
        <v>#VALUE!</v>
      </c>
      <c r="AK264" s="17" t="str">
        <f t="shared" si="329"/>
        <v/>
      </c>
      <c r="AL264" s="80" t="e">
        <f t="shared" si="264"/>
        <v>#VALUE!</v>
      </c>
      <c r="AM264" s="139" t="b">
        <f t="shared" si="265"/>
        <v>1</v>
      </c>
      <c r="AN264" s="139" t="b">
        <f>AND(COUNTA(E264)&gt;0,ISNUMBER(F264),OR(COUNT(G264:H264)=0,COUNT(G264:H264)=2,AND(ISNUMBER(G264),ISNUMBER(VALUE(LEFT(H264,SUM(LEN(H264)-LEN(SUBSTITUTE(H264,{"0","1","2","3","4","5","6","7","8","9","."},"")))))))),ISNUMBER(I264),ISTEXT(J264))</f>
        <v>0</v>
      </c>
      <c r="AO264" s="19" t="b">
        <f t="shared" si="266"/>
        <v>0</v>
      </c>
      <c r="AP264" s="19" t="b">
        <f t="shared" si="267"/>
        <v>1</v>
      </c>
      <c r="AQ264" s="19" t="b">
        <f>IF(AND(COUNTBLANK(E264:J264)=6,OR(AN265:AN$523)),NOT(AN264))</f>
        <v>0</v>
      </c>
      <c r="AR264" s="19" t="str">
        <f t="shared" si="268"/>
        <v/>
      </c>
      <c r="AS264" s="19" t="b">
        <f t="shared" si="269"/>
        <v>1</v>
      </c>
      <c r="AT264" s="19" t="str">
        <f t="shared" si="270"/>
        <v/>
      </c>
      <c r="AU264" s="19" t="b">
        <f t="shared" si="271"/>
        <v>1</v>
      </c>
      <c r="AV264" s="140" t="str">
        <f t="shared" si="311"/>
        <v/>
      </c>
      <c r="AW264" s="19" t="str">
        <f t="shared" si="272"/>
        <v/>
      </c>
      <c r="AX264" s="81">
        <f t="shared" si="273"/>
        <v>0</v>
      </c>
      <c r="AY264" s="81" t="str">
        <f t="shared" si="274"/>
        <v/>
      </c>
      <c r="AZ264" s="307" t="str">
        <f t="shared" si="304"/>
        <v/>
      </c>
      <c r="BA264" s="281" t="str">
        <f t="shared" si="312"/>
        <v/>
      </c>
      <c r="BB264" s="281" t="str">
        <f t="shared" si="313"/>
        <v/>
      </c>
      <c r="BC264" s="953"/>
      <c r="BD264" s="955"/>
      <c r="BE264" s="219" t="str">
        <f t="shared" si="275"/>
        <v>n/a</v>
      </c>
      <c r="BF264" s="215" t="b">
        <f t="shared" si="276"/>
        <v>0</v>
      </c>
      <c r="BG264" s="145" t="b">
        <f t="shared" si="277"/>
        <v>0</v>
      </c>
      <c r="BH264" s="145" t="b">
        <f t="shared" si="278"/>
        <v>0</v>
      </c>
      <c r="BI264" s="216" t="b">
        <f t="shared" si="279"/>
        <v>0</v>
      </c>
      <c r="BJ264" s="215" t="b">
        <f t="shared" si="280"/>
        <v>0</v>
      </c>
      <c r="BK264" s="145" t="b">
        <f t="shared" si="281"/>
        <v>0</v>
      </c>
      <c r="BL264" s="216" t="b">
        <f t="shared" si="282"/>
        <v>0</v>
      </c>
      <c r="BM264" s="217" t="str">
        <f t="shared" si="314"/>
        <v/>
      </c>
      <c r="BN264" s="146" t="str">
        <f t="shared" si="315"/>
        <v/>
      </c>
      <c r="BO264" s="147" t="str">
        <f t="shared" si="316"/>
        <v/>
      </c>
      <c r="BP264" s="148" t="str">
        <f t="shared" si="317"/>
        <v/>
      </c>
      <c r="BT264" s="50">
        <f t="shared" si="337"/>
        <v>241</v>
      </c>
      <c r="BU264" s="50" t="str">
        <f t="shared" si="333"/>
        <v>-</v>
      </c>
      <c r="BW264" s="340"/>
      <c r="BX264" s="333"/>
      <c r="BY264" s="333"/>
      <c r="BZ264" s="333"/>
      <c r="CA264" s="333"/>
      <c r="CB264" s="333"/>
      <c r="CC264" s="333"/>
      <c r="CD264" s="333"/>
      <c r="CE264" s="333"/>
      <c r="CF264" s="333"/>
      <c r="CG264" s="354">
        <f t="shared" si="283"/>
        <v>241</v>
      </c>
      <c r="CH264" s="613">
        <f t="shared" si="284"/>
        <v>0</v>
      </c>
      <c r="CI264" s="613">
        <f t="shared" si="285"/>
        <v>0</v>
      </c>
      <c r="CJ264" s="614" t="str">
        <f t="shared" si="286"/>
        <v/>
      </c>
      <c r="CK264" s="615" t="str">
        <f t="shared" si="287"/>
        <v/>
      </c>
      <c r="CL264" s="610" t="str">
        <f>IF(ISBLANK(H264),"",IF(AND(ISNUMBER(F264),ISNUMBER(G264),ISNUMBER(H264)),ROUND(F264/(H264*G264),2),ROUND(F264/(VALUE(LEFT(H264,SUM(LEN(H264)-LEN(SUBSTITUTE(H264,{"0","1","2","3","4","5","6","7","8","9","."},"")))))*G264),2)))</f>
        <v/>
      </c>
      <c r="CM264" s="616" t="str">
        <f t="shared" si="318"/>
        <v/>
      </c>
      <c r="CN264" s="616" t="str">
        <f>IF(ISNUMBER(P264),MAX('Adjustment factors'!$S$16,(0.2+0.8*P264)),IF(ISTEXT(N264),VLOOKUP(N264,Afactors,2,FALSE),""))</f>
        <v/>
      </c>
      <c r="CO264" s="616" t="str">
        <f>IF(ISNUMBER(S264),MAX('Adjustment factors'!$S$16,0.2+0.8*S264),IF(ISTEXT(Q264),VLOOKUP(Q264,Afactors,2,FALSE),""))</f>
        <v/>
      </c>
      <c r="CP264" s="611" t="str">
        <f t="shared" si="305"/>
        <v/>
      </c>
      <c r="CQ264" s="612" t="str">
        <f t="shared" si="306"/>
        <v/>
      </c>
      <c r="CR264" s="340"/>
      <c r="CS264" s="340"/>
      <c r="CT264" s="340"/>
      <c r="CU264" s="340"/>
      <c r="CV264" s="333"/>
      <c r="CW264" s="333"/>
      <c r="CX264" s="333"/>
      <c r="CY264" s="333"/>
      <c r="DA264" s="313" t="str">
        <f t="shared" si="288"/>
        <v>OK</v>
      </c>
      <c r="DB264" s="313" t="str">
        <f t="shared" si="289"/>
        <v>OK</v>
      </c>
      <c r="DC264" s="313" t="str">
        <f t="shared" si="290"/>
        <v>OK</v>
      </c>
      <c r="DD264" s="313" t="str">
        <f t="shared" si="291"/>
        <v>OK</v>
      </c>
      <c r="DE264" s="153" t="str">
        <f t="shared" si="292"/>
        <v>OK</v>
      </c>
      <c r="DF264" s="314" t="str">
        <f t="shared" si="293"/>
        <v>OK</v>
      </c>
      <c r="DG264" s="482" t="str">
        <f t="shared" si="307"/>
        <v>OK</v>
      </c>
      <c r="DH264" s="482" t="str">
        <f>IF(OR(AND(T264='Adjustment factors'!$R$28,'Class 3, 5-9'!U264='Adjustment factors'!$R$29),AND('Class 3, 5-9'!T264='Adjustment factors'!$R$29,'Class 3, 5-9'!U264='Adjustment factors'!$R$28)),"Invalid combination of adjustment factors",IF(AND(T264=U264,NOT(ISBLANK(T264)),NOT(ISBLANK(U264))),"Same colour factor selected twice","OK"))</f>
        <v>OK</v>
      </c>
      <c r="DI264" s="313" t="str">
        <f t="shared" si="294"/>
        <v>OK</v>
      </c>
      <c r="DJ264" s="153" t="str">
        <f t="shared" si="319"/>
        <v>OK</v>
      </c>
      <c r="DK264" s="153" t="str">
        <f t="shared" si="295"/>
        <v>OK</v>
      </c>
      <c r="DL264" s="313" t="str">
        <f t="shared" si="296"/>
        <v>OK</v>
      </c>
      <c r="DM264" s="153" t="str">
        <f t="shared" si="297"/>
        <v>OK</v>
      </c>
      <c r="DN264" s="153" t="str">
        <f t="shared" si="320"/>
        <v>OK</v>
      </c>
      <c r="DO264" s="154" t="str">
        <f t="shared" si="321"/>
        <v>OK</v>
      </c>
      <c r="DP264" s="153" t="str">
        <f t="shared" si="298"/>
        <v>OK</v>
      </c>
      <c r="DQ264" s="313" t="str">
        <f t="shared" si="299"/>
        <v>OK</v>
      </c>
      <c r="DR264" s="153" t="str">
        <f t="shared" si="322"/>
        <v>OK</v>
      </c>
      <c r="DS264" s="153" t="str">
        <f t="shared" si="300"/>
        <v>OK</v>
      </c>
      <c r="DT264" s="313" t="str">
        <f t="shared" si="335"/>
        <v>OK</v>
      </c>
      <c r="DU264" s="153" t="str">
        <f t="shared" si="301"/>
        <v>OK</v>
      </c>
      <c r="DV264" s="153" t="str">
        <f t="shared" si="323"/>
        <v>OK</v>
      </c>
      <c r="DW264" s="154" t="str">
        <f t="shared" si="324"/>
        <v>OK</v>
      </c>
      <c r="DX264" s="157">
        <f t="shared" si="325"/>
        <v>0</v>
      </c>
      <c r="DY264" s="156" t="str">
        <f t="shared" si="326"/>
        <v>OK</v>
      </c>
    </row>
    <row r="265" spans="1:129" ht="13" hidden="1" x14ac:dyDescent="0.3">
      <c r="A265" s="333"/>
      <c r="B265" s="333"/>
      <c r="C265" s="332" t="str">
        <f t="shared" si="334"/>
        <v>-</v>
      </c>
      <c r="D265" s="584">
        <f t="shared" si="336"/>
        <v>242</v>
      </c>
      <c r="E265" s="585"/>
      <c r="F265" s="586"/>
      <c r="G265" s="600"/>
      <c r="H265" s="587"/>
      <c r="I265" s="601"/>
      <c r="J265" s="585"/>
      <c r="K265" s="617"/>
      <c r="L265" s="602"/>
      <c r="M265" s="603"/>
      <c r="N265" s="588"/>
      <c r="O265" s="604"/>
      <c r="P265" s="605"/>
      <c r="Q265" s="588"/>
      <c r="R265" s="604"/>
      <c r="S265" s="605"/>
      <c r="T265" s="606"/>
      <c r="U265" s="606"/>
      <c r="V265" s="429" t="str">
        <f t="shared" si="331"/>
        <v/>
      </c>
      <c r="W265" s="430" t="str">
        <f t="shared" si="330"/>
        <v/>
      </c>
      <c r="X265" s="66" t="str">
        <f>IF(AND(ISNUMBER(P265),N265=FixedDim),MAX('Adjustment factors'!$S$16,0.2+0.8*P265),IF(ISTEXT(N265),VLOOKUP(N265,Afactors,2,TRUE),""))</f>
        <v/>
      </c>
      <c r="Y265" s="17" t="str">
        <f>IF(AND(ISNUMBER(S265),Q265=FixedDim),MAX('Adjustment factors'!$S$16,0.2+0.8*S265),IF(ISTEXT(Q265),VLOOKUP(Q265,Afactors,2,TRUE),""))</f>
        <v/>
      </c>
      <c r="Z265" s="297" t="str">
        <f>IF(ISBLANK(T265),"",VLOOKUP(T265,'Adjustment factors'!$R$27:$S$30,2,TRUE))</f>
        <v/>
      </c>
      <c r="AA265" s="297" t="str">
        <f>IF(ISBLANK(U265),"",VLOOKUP(U265,'Adjustment factors'!$R$27:$S$30,2,TRUE))</f>
        <v/>
      </c>
      <c r="AB265" s="480">
        <f t="shared" si="302"/>
        <v>1</v>
      </c>
      <c r="AC265" s="18" t="b">
        <f t="shared" si="259"/>
        <v>0</v>
      </c>
      <c r="AD265" s="18" t="b">
        <f t="shared" si="260"/>
        <v>0</v>
      </c>
      <c r="AE265" s="18" t="b">
        <f t="shared" si="327"/>
        <v>0</v>
      </c>
      <c r="AF265" s="17" t="str">
        <f t="shared" si="261"/>
        <v/>
      </c>
      <c r="AG265" s="18" t="str">
        <f t="shared" si="262"/>
        <v/>
      </c>
      <c r="AH265" s="17" t="str">
        <f t="shared" si="328"/>
        <v/>
      </c>
      <c r="AI265" s="297" t="e">
        <f t="shared" si="303"/>
        <v>#VALUE!</v>
      </c>
      <c r="AJ265" s="79" t="e">
        <f t="shared" si="263"/>
        <v>#VALUE!</v>
      </c>
      <c r="AK265" s="17" t="str">
        <f t="shared" si="329"/>
        <v/>
      </c>
      <c r="AL265" s="80" t="e">
        <f t="shared" si="264"/>
        <v>#VALUE!</v>
      </c>
      <c r="AM265" s="139" t="b">
        <f t="shared" si="265"/>
        <v>1</v>
      </c>
      <c r="AN265" s="139" t="b">
        <f>AND(COUNTA(E265)&gt;0,ISNUMBER(F265),OR(COUNT(G265:H265)=0,COUNT(G265:H265)=2,AND(ISNUMBER(G265),ISNUMBER(VALUE(LEFT(H265,SUM(LEN(H265)-LEN(SUBSTITUTE(H265,{"0","1","2","3","4","5","6","7","8","9","."},"")))))))),ISNUMBER(I265),ISTEXT(J265))</f>
        <v>0</v>
      </c>
      <c r="AO265" s="19" t="b">
        <f t="shared" si="266"/>
        <v>0</v>
      </c>
      <c r="AP265" s="19" t="b">
        <f t="shared" si="267"/>
        <v>1</v>
      </c>
      <c r="AQ265" s="19" t="b">
        <f>IF(AND(COUNTBLANK(E265:J265)=6,OR(AN266:AN$523)),NOT(AN265))</f>
        <v>0</v>
      </c>
      <c r="AR265" s="19" t="str">
        <f t="shared" si="268"/>
        <v/>
      </c>
      <c r="AS265" s="19" t="b">
        <f t="shared" si="269"/>
        <v>1</v>
      </c>
      <c r="AT265" s="19" t="str">
        <f t="shared" si="270"/>
        <v/>
      </c>
      <c r="AU265" s="19" t="b">
        <f t="shared" si="271"/>
        <v>1</v>
      </c>
      <c r="AV265" s="140" t="str">
        <f t="shared" si="311"/>
        <v/>
      </c>
      <c r="AW265" s="19" t="str">
        <f t="shared" si="272"/>
        <v/>
      </c>
      <c r="AX265" s="81">
        <f t="shared" si="273"/>
        <v>0</v>
      </c>
      <c r="AY265" s="81" t="str">
        <f t="shared" si="274"/>
        <v/>
      </c>
      <c r="AZ265" s="307" t="str">
        <f t="shared" si="304"/>
        <v/>
      </c>
      <c r="BA265" s="281" t="str">
        <f t="shared" si="312"/>
        <v/>
      </c>
      <c r="BB265" s="281" t="str">
        <f t="shared" si="313"/>
        <v/>
      </c>
      <c r="BC265" s="953"/>
      <c r="BD265" s="955"/>
      <c r="BE265" s="219" t="str">
        <f t="shared" si="275"/>
        <v>n/a</v>
      </c>
      <c r="BF265" s="215" t="b">
        <f t="shared" si="276"/>
        <v>0</v>
      </c>
      <c r="BG265" s="145" t="b">
        <f t="shared" si="277"/>
        <v>0</v>
      </c>
      <c r="BH265" s="145" t="b">
        <f t="shared" si="278"/>
        <v>0</v>
      </c>
      <c r="BI265" s="216" t="b">
        <f t="shared" si="279"/>
        <v>0</v>
      </c>
      <c r="BJ265" s="215" t="b">
        <f t="shared" si="280"/>
        <v>0</v>
      </c>
      <c r="BK265" s="145" t="b">
        <f t="shared" si="281"/>
        <v>0</v>
      </c>
      <c r="BL265" s="216" t="b">
        <f t="shared" si="282"/>
        <v>0</v>
      </c>
      <c r="BM265" s="217" t="str">
        <f t="shared" si="314"/>
        <v/>
      </c>
      <c r="BN265" s="146" t="str">
        <f t="shared" si="315"/>
        <v/>
      </c>
      <c r="BO265" s="147" t="str">
        <f t="shared" si="316"/>
        <v/>
      </c>
      <c r="BP265" s="148" t="str">
        <f t="shared" si="317"/>
        <v/>
      </c>
      <c r="BT265" s="50">
        <f t="shared" si="337"/>
        <v>242</v>
      </c>
      <c r="BU265" s="50" t="str">
        <f t="shared" si="333"/>
        <v>-</v>
      </c>
      <c r="BW265" s="340"/>
      <c r="BX265" s="333"/>
      <c r="BY265" s="333"/>
      <c r="BZ265" s="333"/>
      <c r="CA265" s="333"/>
      <c r="CB265" s="333"/>
      <c r="CC265" s="333"/>
      <c r="CD265" s="333"/>
      <c r="CE265" s="333"/>
      <c r="CF265" s="333"/>
      <c r="CG265" s="354">
        <f t="shared" si="283"/>
        <v>242</v>
      </c>
      <c r="CH265" s="613">
        <f t="shared" si="284"/>
        <v>0</v>
      </c>
      <c r="CI265" s="613">
        <f t="shared" si="285"/>
        <v>0</v>
      </c>
      <c r="CJ265" s="614" t="str">
        <f t="shared" si="286"/>
        <v/>
      </c>
      <c r="CK265" s="615" t="str">
        <f t="shared" si="287"/>
        <v/>
      </c>
      <c r="CL265" s="610" t="str">
        <f>IF(ISBLANK(H265),"",IF(AND(ISNUMBER(F265),ISNUMBER(G265),ISNUMBER(H265)),ROUND(F265/(H265*G265),2),ROUND(F265/(VALUE(LEFT(H265,SUM(LEN(H265)-LEN(SUBSTITUTE(H265,{"0","1","2","3","4","5","6","7","8","9","."},"")))))*G265),2)))</f>
        <v/>
      </c>
      <c r="CM265" s="616" t="str">
        <f t="shared" si="318"/>
        <v/>
      </c>
      <c r="CN265" s="616" t="str">
        <f>IF(ISNUMBER(P265),MAX('Adjustment factors'!$S$16,(0.2+0.8*P265)),IF(ISTEXT(N265),VLOOKUP(N265,Afactors,2,FALSE),""))</f>
        <v/>
      </c>
      <c r="CO265" s="616" t="str">
        <f>IF(ISNUMBER(S265),MAX('Adjustment factors'!$S$16,0.2+0.8*S265),IF(ISTEXT(Q265),VLOOKUP(Q265,Afactors,2,FALSE),""))</f>
        <v/>
      </c>
      <c r="CP265" s="611" t="str">
        <f t="shared" si="305"/>
        <v/>
      </c>
      <c r="CQ265" s="612" t="str">
        <f t="shared" si="306"/>
        <v/>
      </c>
      <c r="CR265" s="340"/>
      <c r="CS265" s="340"/>
      <c r="CT265" s="340"/>
      <c r="CU265" s="340"/>
      <c r="CV265" s="333"/>
      <c r="CW265" s="333"/>
      <c r="CX265" s="333"/>
      <c r="CY265" s="333"/>
      <c r="DA265" s="313" t="str">
        <f t="shared" si="288"/>
        <v>OK</v>
      </c>
      <c r="DB265" s="313" t="str">
        <f t="shared" si="289"/>
        <v>OK</v>
      </c>
      <c r="DC265" s="313" t="str">
        <f t="shared" si="290"/>
        <v>OK</v>
      </c>
      <c r="DD265" s="313" t="str">
        <f t="shared" si="291"/>
        <v>OK</v>
      </c>
      <c r="DE265" s="153" t="str">
        <f t="shared" si="292"/>
        <v>OK</v>
      </c>
      <c r="DF265" s="314" t="str">
        <f t="shared" si="293"/>
        <v>OK</v>
      </c>
      <c r="DG265" s="482" t="str">
        <f t="shared" si="307"/>
        <v>OK</v>
      </c>
      <c r="DH265" s="482" t="str">
        <f>IF(OR(AND(T265='Adjustment factors'!$R$28,'Class 3, 5-9'!U265='Adjustment factors'!$R$29),AND('Class 3, 5-9'!T265='Adjustment factors'!$R$29,'Class 3, 5-9'!U265='Adjustment factors'!$R$28)),"Invalid combination of adjustment factors",IF(AND(T265=U265,NOT(ISBLANK(T265)),NOT(ISBLANK(U265))),"Same colour factor selected twice","OK"))</f>
        <v>OK</v>
      </c>
      <c r="DI265" s="313" t="str">
        <f t="shared" si="294"/>
        <v>OK</v>
      </c>
      <c r="DJ265" s="153" t="str">
        <f t="shared" si="319"/>
        <v>OK</v>
      </c>
      <c r="DK265" s="153" t="str">
        <f t="shared" si="295"/>
        <v>OK</v>
      </c>
      <c r="DL265" s="313" t="str">
        <f t="shared" si="296"/>
        <v>OK</v>
      </c>
      <c r="DM265" s="153" t="str">
        <f t="shared" si="297"/>
        <v>OK</v>
      </c>
      <c r="DN265" s="153" t="str">
        <f t="shared" si="320"/>
        <v>OK</v>
      </c>
      <c r="DO265" s="154" t="str">
        <f t="shared" si="321"/>
        <v>OK</v>
      </c>
      <c r="DP265" s="153" t="str">
        <f t="shared" si="298"/>
        <v>OK</v>
      </c>
      <c r="DQ265" s="313" t="str">
        <f t="shared" si="299"/>
        <v>OK</v>
      </c>
      <c r="DR265" s="153" t="str">
        <f t="shared" si="322"/>
        <v>OK</v>
      </c>
      <c r="DS265" s="153" t="str">
        <f t="shared" si="300"/>
        <v>OK</v>
      </c>
      <c r="DT265" s="313" t="str">
        <f t="shared" si="335"/>
        <v>OK</v>
      </c>
      <c r="DU265" s="153" t="str">
        <f t="shared" si="301"/>
        <v>OK</v>
      </c>
      <c r="DV265" s="153" t="str">
        <f t="shared" si="323"/>
        <v>OK</v>
      </c>
      <c r="DW265" s="154" t="str">
        <f t="shared" si="324"/>
        <v>OK</v>
      </c>
      <c r="DX265" s="157">
        <f t="shared" si="325"/>
        <v>0</v>
      </c>
      <c r="DY265" s="156" t="str">
        <f t="shared" si="326"/>
        <v>OK</v>
      </c>
    </row>
    <row r="266" spans="1:129" ht="13" hidden="1" x14ac:dyDescent="0.3">
      <c r="A266" s="333"/>
      <c r="B266" s="333"/>
      <c r="C266" s="332" t="str">
        <f t="shared" si="334"/>
        <v>-</v>
      </c>
      <c r="D266" s="584">
        <f t="shared" si="336"/>
        <v>243</v>
      </c>
      <c r="E266" s="585"/>
      <c r="F266" s="586"/>
      <c r="G266" s="600"/>
      <c r="H266" s="587"/>
      <c r="I266" s="601"/>
      <c r="J266" s="585"/>
      <c r="K266" s="617"/>
      <c r="L266" s="602"/>
      <c r="M266" s="603"/>
      <c r="N266" s="588"/>
      <c r="O266" s="604"/>
      <c r="P266" s="605"/>
      <c r="Q266" s="588"/>
      <c r="R266" s="604"/>
      <c r="S266" s="605"/>
      <c r="T266" s="606"/>
      <c r="U266" s="606"/>
      <c r="V266" s="429" t="str">
        <f t="shared" si="331"/>
        <v/>
      </c>
      <c r="W266" s="430" t="str">
        <f t="shared" si="330"/>
        <v/>
      </c>
      <c r="X266" s="66" t="str">
        <f>IF(AND(ISNUMBER(P266),N266=FixedDim),MAX('Adjustment factors'!$S$16,0.2+0.8*P266),IF(ISTEXT(N266),VLOOKUP(N266,Afactors,2,TRUE),""))</f>
        <v/>
      </c>
      <c r="Y266" s="17" t="str">
        <f>IF(AND(ISNUMBER(S266),Q266=FixedDim),MAX('Adjustment factors'!$S$16,0.2+0.8*S266),IF(ISTEXT(Q266),VLOOKUP(Q266,Afactors,2,TRUE),""))</f>
        <v/>
      </c>
      <c r="Z266" s="297" t="str">
        <f>IF(ISBLANK(T266),"",VLOOKUP(T266,'Adjustment factors'!$R$27:$S$30,2,TRUE))</f>
        <v/>
      </c>
      <c r="AA266" s="297" t="str">
        <f>IF(ISBLANK(U266),"",VLOOKUP(U266,'Adjustment factors'!$R$27:$S$30,2,TRUE))</f>
        <v/>
      </c>
      <c r="AB266" s="480">
        <f t="shared" si="302"/>
        <v>1</v>
      </c>
      <c r="AC266" s="18" t="b">
        <f t="shared" si="259"/>
        <v>0</v>
      </c>
      <c r="AD266" s="18" t="b">
        <f t="shared" si="260"/>
        <v>0</v>
      </c>
      <c r="AE266" s="18" t="b">
        <f t="shared" si="327"/>
        <v>0</v>
      </c>
      <c r="AF266" s="17" t="str">
        <f t="shared" si="261"/>
        <v/>
      </c>
      <c r="AG266" s="18" t="str">
        <f t="shared" si="262"/>
        <v/>
      </c>
      <c r="AH266" s="17" t="str">
        <f t="shared" si="328"/>
        <v/>
      </c>
      <c r="AI266" s="297" t="e">
        <f t="shared" si="303"/>
        <v>#VALUE!</v>
      </c>
      <c r="AJ266" s="79" t="e">
        <f t="shared" si="263"/>
        <v>#VALUE!</v>
      </c>
      <c r="AK266" s="17" t="str">
        <f t="shared" si="329"/>
        <v/>
      </c>
      <c r="AL266" s="80" t="e">
        <f t="shared" si="264"/>
        <v>#VALUE!</v>
      </c>
      <c r="AM266" s="139" t="b">
        <f t="shared" si="265"/>
        <v>1</v>
      </c>
      <c r="AN266" s="139" t="b">
        <f>AND(COUNTA(E266)&gt;0,ISNUMBER(F266),OR(COUNT(G266:H266)=0,COUNT(G266:H266)=2,AND(ISNUMBER(G266),ISNUMBER(VALUE(LEFT(H266,SUM(LEN(H266)-LEN(SUBSTITUTE(H266,{"0","1","2","3","4","5","6","7","8","9","."},"")))))))),ISNUMBER(I266),ISTEXT(J266))</f>
        <v>0</v>
      </c>
      <c r="AO266" s="19" t="b">
        <f t="shared" si="266"/>
        <v>0</v>
      </c>
      <c r="AP266" s="19" t="b">
        <f t="shared" si="267"/>
        <v>1</v>
      </c>
      <c r="AQ266" s="19" t="b">
        <f>IF(AND(COUNTBLANK(E266:J266)=6,OR(AN267:AN$523)),NOT(AN266))</f>
        <v>0</v>
      </c>
      <c r="AR266" s="19" t="str">
        <f t="shared" si="268"/>
        <v/>
      </c>
      <c r="AS266" s="19" t="b">
        <f t="shared" si="269"/>
        <v>1</v>
      </c>
      <c r="AT266" s="19" t="str">
        <f t="shared" si="270"/>
        <v/>
      </c>
      <c r="AU266" s="19" t="b">
        <f t="shared" si="271"/>
        <v>1</v>
      </c>
      <c r="AV266" s="140" t="str">
        <f t="shared" si="311"/>
        <v/>
      </c>
      <c r="AW266" s="19" t="str">
        <f t="shared" si="272"/>
        <v/>
      </c>
      <c r="AX266" s="81">
        <f t="shared" si="273"/>
        <v>0</v>
      </c>
      <c r="AY266" s="81" t="str">
        <f t="shared" si="274"/>
        <v/>
      </c>
      <c r="AZ266" s="307" t="str">
        <f t="shared" si="304"/>
        <v/>
      </c>
      <c r="BA266" s="281" t="str">
        <f t="shared" si="312"/>
        <v/>
      </c>
      <c r="BB266" s="281" t="str">
        <f t="shared" si="313"/>
        <v/>
      </c>
      <c r="BC266" s="953"/>
      <c r="BD266" s="955"/>
      <c r="BE266" s="219" t="str">
        <f t="shared" si="275"/>
        <v>n/a</v>
      </c>
      <c r="BF266" s="215" t="b">
        <f t="shared" si="276"/>
        <v>0</v>
      </c>
      <c r="BG266" s="145" t="b">
        <f t="shared" si="277"/>
        <v>0</v>
      </c>
      <c r="BH266" s="145" t="b">
        <f t="shared" si="278"/>
        <v>0</v>
      </c>
      <c r="BI266" s="216" t="b">
        <f t="shared" si="279"/>
        <v>0</v>
      </c>
      <c r="BJ266" s="215" t="b">
        <f t="shared" si="280"/>
        <v>0</v>
      </c>
      <c r="BK266" s="145" t="b">
        <f t="shared" si="281"/>
        <v>0</v>
      </c>
      <c r="BL266" s="216" t="b">
        <f t="shared" si="282"/>
        <v>0</v>
      </c>
      <c r="BM266" s="217" t="str">
        <f t="shared" si="314"/>
        <v/>
      </c>
      <c r="BN266" s="146" t="str">
        <f t="shared" si="315"/>
        <v/>
      </c>
      <c r="BO266" s="147" t="str">
        <f t="shared" si="316"/>
        <v/>
      </c>
      <c r="BP266" s="148" t="str">
        <f t="shared" si="317"/>
        <v/>
      </c>
      <c r="BT266" s="50">
        <f t="shared" si="337"/>
        <v>243</v>
      </c>
      <c r="BU266" s="50" t="str">
        <f t="shared" si="333"/>
        <v>-</v>
      </c>
      <c r="BW266" s="340"/>
      <c r="BX266" s="333"/>
      <c r="BY266" s="333"/>
      <c r="BZ266" s="333"/>
      <c r="CA266" s="333"/>
      <c r="CB266" s="333"/>
      <c r="CC266" s="333"/>
      <c r="CD266" s="333"/>
      <c r="CE266" s="333"/>
      <c r="CF266" s="333"/>
      <c r="CG266" s="354">
        <f t="shared" si="283"/>
        <v>243</v>
      </c>
      <c r="CH266" s="613">
        <f t="shared" si="284"/>
        <v>0</v>
      </c>
      <c r="CI266" s="613">
        <f t="shared" si="285"/>
        <v>0</v>
      </c>
      <c r="CJ266" s="614" t="str">
        <f t="shared" si="286"/>
        <v/>
      </c>
      <c r="CK266" s="615" t="str">
        <f t="shared" si="287"/>
        <v/>
      </c>
      <c r="CL266" s="610" t="str">
        <f>IF(ISBLANK(H266),"",IF(AND(ISNUMBER(F266),ISNUMBER(G266),ISNUMBER(H266)),ROUND(F266/(H266*G266),2),ROUND(F266/(VALUE(LEFT(H266,SUM(LEN(H266)-LEN(SUBSTITUTE(H266,{"0","1","2","3","4","5","6","7","8","9","."},"")))))*G266),2)))</f>
        <v/>
      </c>
      <c r="CM266" s="616" t="str">
        <f t="shared" si="318"/>
        <v/>
      </c>
      <c r="CN266" s="616" t="str">
        <f>IF(ISNUMBER(P266),MAX('Adjustment factors'!$S$16,(0.2+0.8*P266)),IF(ISTEXT(N266),VLOOKUP(N266,Afactors,2,FALSE),""))</f>
        <v/>
      </c>
      <c r="CO266" s="616" t="str">
        <f>IF(ISNUMBER(S266),MAX('Adjustment factors'!$S$16,0.2+0.8*S266),IF(ISTEXT(Q266),VLOOKUP(Q266,Afactors,2,FALSE),""))</f>
        <v/>
      </c>
      <c r="CP266" s="611" t="str">
        <f t="shared" si="305"/>
        <v/>
      </c>
      <c r="CQ266" s="612" t="str">
        <f t="shared" si="306"/>
        <v/>
      </c>
      <c r="CR266" s="340"/>
      <c r="CS266" s="340"/>
      <c r="CT266" s="340"/>
      <c r="CU266" s="340"/>
      <c r="CV266" s="333"/>
      <c r="CW266" s="333"/>
      <c r="CX266" s="333"/>
      <c r="CY266" s="333"/>
      <c r="DA266" s="313" t="str">
        <f t="shared" si="288"/>
        <v>OK</v>
      </c>
      <c r="DB266" s="313" t="str">
        <f t="shared" si="289"/>
        <v>OK</v>
      </c>
      <c r="DC266" s="313" t="str">
        <f t="shared" si="290"/>
        <v>OK</v>
      </c>
      <c r="DD266" s="313" t="str">
        <f t="shared" si="291"/>
        <v>OK</v>
      </c>
      <c r="DE266" s="153" t="str">
        <f t="shared" si="292"/>
        <v>OK</v>
      </c>
      <c r="DF266" s="314" t="str">
        <f t="shared" si="293"/>
        <v>OK</v>
      </c>
      <c r="DG266" s="482" t="str">
        <f t="shared" si="307"/>
        <v>OK</v>
      </c>
      <c r="DH266" s="482" t="str">
        <f>IF(OR(AND(T266='Adjustment factors'!$R$28,'Class 3, 5-9'!U266='Adjustment factors'!$R$29),AND('Class 3, 5-9'!T266='Adjustment factors'!$R$29,'Class 3, 5-9'!U266='Adjustment factors'!$R$28)),"Invalid combination of adjustment factors",IF(AND(T266=U266,NOT(ISBLANK(T266)),NOT(ISBLANK(U266))),"Same colour factor selected twice","OK"))</f>
        <v>OK</v>
      </c>
      <c r="DI266" s="313" t="str">
        <f t="shared" si="294"/>
        <v>OK</v>
      </c>
      <c r="DJ266" s="153" t="str">
        <f t="shared" si="319"/>
        <v>OK</v>
      </c>
      <c r="DK266" s="153" t="str">
        <f t="shared" si="295"/>
        <v>OK</v>
      </c>
      <c r="DL266" s="313" t="str">
        <f t="shared" si="296"/>
        <v>OK</v>
      </c>
      <c r="DM266" s="153" t="str">
        <f t="shared" si="297"/>
        <v>OK</v>
      </c>
      <c r="DN266" s="153" t="str">
        <f t="shared" si="320"/>
        <v>OK</v>
      </c>
      <c r="DO266" s="154" t="str">
        <f t="shared" si="321"/>
        <v>OK</v>
      </c>
      <c r="DP266" s="153" t="str">
        <f t="shared" si="298"/>
        <v>OK</v>
      </c>
      <c r="DQ266" s="313" t="str">
        <f t="shared" si="299"/>
        <v>OK</v>
      </c>
      <c r="DR266" s="153" t="str">
        <f t="shared" si="322"/>
        <v>OK</v>
      </c>
      <c r="DS266" s="153" t="str">
        <f t="shared" si="300"/>
        <v>OK</v>
      </c>
      <c r="DT266" s="313" t="str">
        <f t="shared" si="335"/>
        <v>OK</v>
      </c>
      <c r="DU266" s="153" t="str">
        <f t="shared" si="301"/>
        <v>OK</v>
      </c>
      <c r="DV266" s="153" t="str">
        <f t="shared" si="323"/>
        <v>OK</v>
      </c>
      <c r="DW266" s="154" t="str">
        <f t="shared" si="324"/>
        <v>OK</v>
      </c>
      <c r="DX266" s="157">
        <f t="shared" si="325"/>
        <v>0</v>
      </c>
      <c r="DY266" s="156" t="str">
        <f t="shared" si="326"/>
        <v>OK</v>
      </c>
    </row>
    <row r="267" spans="1:129" ht="13" hidden="1" x14ac:dyDescent="0.3">
      <c r="A267" s="333"/>
      <c r="B267" s="333"/>
      <c r="C267" s="332" t="str">
        <f t="shared" si="334"/>
        <v>-</v>
      </c>
      <c r="D267" s="584">
        <f t="shared" si="336"/>
        <v>244</v>
      </c>
      <c r="E267" s="585"/>
      <c r="F267" s="586"/>
      <c r="G267" s="600"/>
      <c r="H267" s="587"/>
      <c r="I267" s="601"/>
      <c r="J267" s="585"/>
      <c r="K267" s="617"/>
      <c r="L267" s="602"/>
      <c r="M267" s="603"/>
      <c r="N267" s="588"/>
      <c r="O267" s="604"/>
      <c r="P267" s="605"/>
      <c r="Q267" s="588"/>
      <c r="R267" s="604"/>
      <c r="S267" s="605"/>
      <c r="T267" s="606"/>
      <c r="U267" s="606"/>
      <c r="V267" s="429" t="str">
        <f t="shared" si="331"/>
        <v/>
      </c>
      <c r="W267" s="430" t="str">
        <f t="shared" si="330"/>
        <v/>
      </c>
      <c r="X267" s="66" t="str">
        <f>IF(AND(ISNUMBER(P267),N267=FixedDim),MAX('Adjustment factors'!$S$16,0.2+0.8*P267),IF(ISTEXT(N267),VLOOKUP(N267,Afactors,2,TRUE),""))</f>
        <v/>
      </c>
      <c r="Y267" s="17" t="str">
        <f>IF(AND(ISNUMBER(S267),Q267=FixedDim),MAX('Adjustment factors'!$S$16,0.2+0.8*S267),IF(ISTEXT(Q267),VLOOKUP(Q267,Afactors,2,TRUE),""))</f>
        <v/>
      </c>
      <c r="Z267" s="297" t="str">
        <f>IF(ISBLANK(T267),"",VLOOKUP(T267,'Adjustment factors'!$R$27:$S$30,2,TRUE))</f>
        <v/>
      </c>
      <c r="AA267" s="297" t="str">
        <f>IF(ISBLANK(U267),"",VLOOKUP(U267,'Adjustment factors'!$R$27:$S$30,2,TRUE))</f>
        <v/>
      </c>
      <c r="AB267" s="480">
        <f t="shared" si="302"/>
        <v>1</v>
      </c>
      <c r="AC267" s="18" t="b">
        <f t="shared" si="259"/>
        <v>0</v>
      </c>
      <c r="AD267" s="18" t="b">
        <f t="shared" si="260"/>
        <v>0</v>
      </c>
      <c r="AE267" s="18" t="b">
        <f t="shared" si="327"/>
        <v>0</v>
      </c>
      <c r="AF267" s="17" t="str">
        <f t="shared" si="261"/>
        <v/>
      </c>
      <c r="AG267" s="18" t="str">
        <f t="shared" si="262"/>
        <v/>
      </c>
      <c r="AH267" s="17" t="str">
        <f t="shared" si="328"/>
        <v/>
      </c>
      <c r="AI267" s="297" t="e">
        <f t="shared" si="303"/>
        <v>#VALUE!</v>
      </c>
      <c r="AJ267" s="79" t="e">
        <f t="shared" si="263"/>
        <v>#VALUE!</v>
      </c>
      <c r="AK267" s="17" t="str">
        <f t="shared" si="329"/>
        <v/>
      </c>
      <c r="AL267" s="80" t="e">
        <f t="shared" si="264"/>
        <v>#VALUE!</v>
      </c>
      <c r="AM267" s="139" t="b">
        <f t="shared" si="265"/>
        <v>1</v>
      </c>
      <c r="AN267" s="139" t="b">
        <f>AND(COUNTA(E267)&gt;0,ISNUMBER(F267),OR(COUNT(G267:H267)=0,COUNT(G267:H267)=2,AND(ISNUMBER(G267),ISNUMBER(VALUE(LEFT(H267,SUM(LEN(H267)-LEN(SUBSTITUTE(H267,{"0","1","2","3","4","5","6","7","8","9","."},"")))))))),ISNUMBER(I267),ISTEXT(J267))</f>
        <v>0</v>
      </c>
      <c r="AO267" s="19" t="b">
        <f t="shared" si="266"/>
        <v>0</v>
      </c>
      <c r="AP267" s="19" t="b">
        <f t="shared" si="267"/>
        <v>1</v>
      </c>
      <c r="AQ267" s="19" t="b">
        <f>IF(AND(COUNTBLANK(E267:J267)=6,OR(AN268:AN$523)),NOT(AN267))</f>
        <v>0</v>
      </c>
      <c r="AR267" s="19" t="str">
        <f t="shared" si="268"/>
        <v/>
      </c>
      <c r="AS267" s="19" t="b">
        <f t="shared" si="269"/>
        <v>1</v>
      </c>
      <c r="AT267" s="19" t="str">
        <f t="shared" si="270"/>
        <v/>
      </c>
      <c r="AU267" s="19" t="b">
        <f t="shared" si="271"/>
        <v>1</v>
      </c>
      <c r="AV267" s="140" t="str">
        <f t="shared" si="311"/>
        <v/>
      </c>
      <c r="AW267" s="19" t="str">
        <f t="shared" si="272"/>
        <v/>
      </c>
      <c r="AX267" s="81">
        <f t="shared" si="273"/>
        <v>0</v>
      </c>
      <c r="AY267" s="81" t="str">
        <f t="shared" si="274"/>
        <v/>
      </c>
      <c r="AZ267" s="307" t="str">
        <f t="shared" si="304"/>
        <v/>
      </c>
      <c r="BA267" s="281" t="str">
        <f t="shared" si="312"/>
        <v/>
      </c>
      <c r="BB267" s="281" t="str">
        <f t="shared" si="313"/>
        <v/>
      </c>
      <c r="BC267" s="953"/>
      <c r="BD267" s="955"/>
      <c r="BE267" s="219" t="str">
        <f t="shared" si="275"/>
        <v>n/a</v>
      </c>
      <c r="BF267" s="215" t="b">
        <f t="shared" si="276"/>
        <v>0</v>
      </c>
      <c r="BG267" s="145" t="b">
        <f t="shared" si="277"/>
        <v>0</v>
      </c>
      <c r="BH267" s="145" t="b">
        <f t="shared" si="278"/>
        <v>0</v>
      </c>
      <c r="BI267" s="216" t="b">
        <f t="shared" si="279"/>
        <v>0</v>
      </c>
      <c r="BJ267" s="215" t="b">
        <f t="shared" si="280"/>
        <v>0</v>
      </c>
      <c r="BK267" s="145" t="b">
        <f t="shared" si="281"/>
        <v>0</v>
      </c>
      <c r="BL267" s="216" t="b">
        <f t="shared" si="282"/>
        <v>0</v>
      </c>
      <c r="BM267" s="217" t="str">
        <f t="shared" si="314"/>
        <v/>
      </c>
      <c r="BN267" s="146" t="str">
        <f t="shared" si="315"/>
        <v/>
      </c>
      <c r="BO267" s="147" t="str">
        <f t="shared" si="316"/>
        <v/>
      </c>
      <c r="BP267" s="148" t="str">
        <f t="shared" si="317"/>
        <v/>
      </c>
      <c r="BT267" s="50">
        <f t="shared" si="337"/>
        <v>244</v>
      </c>
      <c r="BU267" s="50" t="str">
        <f t="shared" si="333"/>
        <v>-</v>
      </c>
      <c r="BW267" s="340"/>
      <c r="BX267" s="333"/>
      <c r="BY267" s="333"/>
      <c r="BZ267" s="333"/>
      <c r="CA267" s="333"/>
      <c r="CB267" s="333"/>
      <c r="CC267" s="333"/>
      <c r="CD267" s="333"/>
      <c r="CE267" s="333"/>
      <c r="CF267" s="333"/>
      <c r="CG267" s="354">
        <f t="shared" si="283"/>
        <v>244</v>
      </c>
      <c r="CH267" s="613">
        <f t="shared" si="284"/>
        <v>0</v>
      </c>
      <c r="CI267" s="613">
        <f t="shared" si="285"/>
        <v>0</v>
      </c>
      <c r="CJ267" s="614" t="str">
        <f t="shared" si="286"/>
        <v/>
      </c>
      <c r="CK267" s="615" t="str">
        <f t="shared" si="287"/>
        <v/>
      </c>
      <c r="CL267" s="610" t="str">
        <f>IF(ISBLANK(H267),"",IF(AND(ISNUMBER(F267),ISNUMBER(G267),ISNUMBER(H267)),ROUND(F267/(H267*G267),2),ROUND(F267/(VALUE(LEFT(H267,SUM(LEN(H267)-LEN(SUBSTITUTE(H267,{"0","1","2","3","4","5","6","7","8","9","."},"")))))*G267),2)))</f>
        <v/>
      </c>
      <c r="CM267" s="616" t="str">
        <f t="shared" si="318"/>
        <v/>
      </c>
      <c r="CN267" s="616" t="str">
        <f>IF(ISNUMBER(P267),MAX('Adjustment factors'!$S$16,(0.2+0.8*P267)),IF(ISTEXT(N267),VLOOKUP(N267,Afactors,2,FALSE),""))</f>
        <v/>
      </c>
      <c r="CO267" s="616" t="str">
        <f>IF(ISNUMBER(S267),MAX('Adjustment factors'!$S$16,0.2+0.8*S267),IF(ISTEXT(Q267),VLOOKUP(Q267,Afactors,2,FALSE),""))</f>
        <v/>
      </c>
      <c r="CP267" s="611" t="str">
        <f t="shared" si="305"/>
        <v/>
      </c>
      <c r="CQ267" s="612" t="str">
        <f t="shared" si="306"/>
        <v/>
      </c>
      <c r="CR267" s="340"/>
      <c r="CS267" s="340"/>
      <c r="CT267" s="340"/>
      <c r="CU267" s="340"/>
      <c r="CV267" s="333"/>
      <c r="CW267" s="333"/>
      <c r="CX267" s="333"/>
      <c r="CY267" s="333"/>
      <c r="DA267" s="313" t="str">
        <f t="shared" si="288"/>
        <v>OK</v>
      </c>
      <c r="DB267" s="313" t="str">
        <f t="shared" si="289"/>
        <v>OK</v>
      </c>
      <c r="DC267" s="313" t="str">
        <f t="shared" si="290"/>
        <v>OK</v>
      </c>
      <c r="DD267" s="313" t="str">
        <f t="shared" si="291"/>
        <v>OK</v>
      </c>
      <c r="DE267" s="153" t="str">
        <f t="shared" si="292"/>
        <v>OK</v>
      </c>
      <c r="DF267" s="314" t="str">
        <f t="shared" si="293"/>
        <v>OK</v>
      </c>
      <c r="DG267" s="482" t="str">
        <f t="shared" si="307"/>
        <v>OK</v>
      </c>
      <c r="DH267" s="482" t="str">
        <f>IF(OR(AND(T267='Adjustment factors'!$R$28,'Class 3, 5-9'!U267='Adjustment factors'!$R$29),AND('Class 3, 5-9'!T267='Adjustment factors'!$R$29,'Class 3, 5-9'!U267='Adjustment factors'!$R$28)),"Invalid combination of adjustment factors",IF(AND(T267=U267,NOT(ISBLANK(T267)),NOT(ISBLANK(U267))),"Same colour factor selected twice","OK"))</f>
        <v>OK</v>
      </c>
      <c r="DI267" s="313" t="str">
        <f t="shared" si="294"/>
        <v>OK</v>
      </c>
      <c r="DJ267" s="153" t="str">
        <f t="shared" si="319"/>
        <v>OK</v>
      </c>
      <c r="DK267" s="153" t="str">
        <f t="shared" si="295"/>
        <v>OK</v>
      </c>
      <c r="DL267" s="313" t="str">
        <f t="shared" si="296"/>
        <v>OK</v>
      </c>
      <c r="DM267" s="153" t="str">
        <f t="shared" si="297"/>
        <v>OK</v>
      </c>
      <c r="DN267" s="153" t="str">
        <f t="shared" si="320"/>
        <v>OK</v>
      </c>
      <c r="DO267" s="154" t="str">
        <f t="shared" si="321"/>
        <v>OK</v>
      </c>
      <c r="DP267" s="153" t="str">
        <f t="shared" si="298"/>
        <v>OK</v>
      </c>
      <c r="DQ267" s="313" t="str">
        <f t="shared" si="299"/>
        <v>OK</v>
      </c>
      <c r="DR267" s="153" t="str">
        <f t="shared" si="322"/>
        <v>OK</v>
      </c>
      <c r="DS267" s="153" t="str">
        <f t="shared" si="300"/>
        <v>OK</v>
      </c>
      <c r="DT267" s="313" t="str">
        <f t="shared" si="335"/>
        <v>OK</v>
      </c>
      <c r="DU267" s="153" t="str">
        <f t="shared" si="301"/>
        <v>OK</v>
      </c>
      <c r="DV267" s="153" t="str">
        <f t="shared" si="323"/>
        <v>OK</v>
      </c>
      <c r="DW267" s="154" t="str">
        <f t="shared" si="324"/>
        <v>OK</v>
      </c>
      <c r="DX267" s="157">
        <f t="shared" si="325"/>
        <v>0</v>
      </c>
      <c r="DY267" s="156" t="str">
        <f t="shared" si="326"/>
        <v>OK</v>
      </c>
    </row>
    <row r="268" spans="1:129" ht="13" hidden="1" x14ac:dyDescent="0.3">
      <c r="A268" s="333"/>
      <c r="B268" s="333"/>
      <c r="C268" s="332" t="str">
        <f t="shared" si="334"/>
        <v>-</v>
      </c>
      <c r="D268" s="584">
        <f t="shared" si="336"/>
        <v>245</v>
      </c>
      <c r="E268" s="585"/>
      <c r="F268" s="586"/>
      <c r="G268" s="600"/>
      <c r="H268" s="587"/>
      <c r="I268" s="601"/>
      <c r="J268" s="585"/>
      <c r="K268" s="617"/>
      <c r="L268" s="602"/>
      <c r="M268" s="603"/>
      <c r="N268" s="588"/>
      <c r="O268" s="604"/>
      <c r="P268" s="605"/>
      <c r="Q268" s="588"/>
      <c r="R268" s="604"/>
      <c r="S268" s="605"/>
      <c r="T268" s="606"/>
      <c r="U268" s="606"/>
      <c r="V268" s="429" t="str">
        <f t="shared" si="331"/>
        <v/>
      </c>
      <c r="W268" s="430" t="str">
        <f t="shared" si="330"/>
        <v/>
      </c>
      <c r="X268" s="66" t="str">
        <f>IF(AND(ISNUMBER(P268),N268=FixedDim),MAX('Adjustment factors'!$S$16,0.2+0.8*P268),IF(ISTEXT(N268),VLOOKUP(N268,Afactors,2,TRUE),""))</f>
        <v/>
      </c>
      <c r="Y268" s="17" t="str">
        <f>IF(AND(ISNUMBER(S268),Q268=FixedDim),MAX('Adjustment factors'!$S$16,0.2+0.8*S268),IF(ISTEXT(Q268),VLOOKUP(Q268,Afactors,2,TRUE),""))</f>
        <v/>
      </c>
      <c r="Z268" s="297" t="str">
        <f>IF(ISBLANK(T268),"",VLOOKUP(T268,'Adjustment factors'!$R$27:$S$30,2,TRUE))</f>
        <v/>
      </c>
      <c r="AA268" s="297" t="str">
        <f>IF(ISBLANK(U268),"",VLOOKUP(U268,'Adjustment factors'!$R$27:$S$30,2,TRUE))</f>
        <v/>
      </c>
      <c r="AB268" s="480">
        <f t="shared" si="302"/>
        <v>1</v>
      </c>
      <c r="AC268" s="18" t="b">
        <f t="shared" si="259"/>
        <v>0</v>
      </c>
      <c r="AD268" s="18" t="b">
        <f t="shared" si="260"/>
        <v>0</v>
      </c>
      <c r="AE268" s="18" t="b">
        <f t="shared" si="327"/>
        <v>0</v>
      </c>
      <c r="AF268" s="17" t="str">
        <f t="shared" si="261"/>
        <v/>
      </c>
      <c r="AG268" s="18" t="str">
        <f t="shared" si="262"/>
        <v/>
      </c>
      <c r="AH268" s="17" t="str">
        <f t="shared" si="328"/>
        <v/>
      </c>
      <c r="AI268" s="297" t="e">
        <f t="shared" si="303"/>
        <v>#VALUE!</v>
      </c>
      <c r="AJ268" s="79" t="e">
        <f t="shared" si="263"/>
        <v>#VALUE!</v>
      </c>
      <c r="AK268" s="17" t="str">
        <f t="shared" si="329"/>
        <v/>
      </c>
      <c r="AL268" s="80" t="e">
        <f t="shared" si="264"/>
        <v>#VALUE!</v>
      </c>
      <c r="AM268" s="139" t="b">
        <f t="shared" si="265"/>
        <v>1</v>
      </c>
      <c r="AN268" s="139" t="b">
        <f>AND(COUNTA(E268)&gt;0,ISNUMBER(F268),OR(COUNT(G268:H268)=0,COUNT(G268:H268)=2,AND(ISNUMBER(G268),ISNUMBER(VALUE(LEFT(H268,SUM(LEN(H268)-LEN(SUBSTITUTE(H268,{"0","1","2","3","4","5","6","7","8","9","."},"")))))))),ISNUMBER(I268),ISTEXT(J268))</f>
        <v>0</v>
      </c>
      <c r="AO268" s="19" t="b">
        <f t="shared" si="266"/>
        <v>0</v>
      </c>
      <c r="AP268" s="19" t="b">
        <f t="shared" si="267"/>
        <v>1</v>
      </c>
      <c r="AQ268" s="19" t="b">
        <f>IF(AND(COUNTBLANK(E268:J268)=6,OR(AN269:AN$523)),NOT(AN268))</f>
        <v>0</v>
      </c>
      <c r="AR268" s="19" t="str">
        <f t="shared" si="268"/>
        <v/>
      </c>
      <c r="AS268" s="19" t="b">
        <f t="shared" si="269"/>
        <v>1</v>
      </c>
      <c r="AT268" s="19" t="str">
        <f t="shared" si="270"/>
        <v/>
      </c>
      <c r="AU268" s="19" t="b">
        <f t="shared" si="271"/>
        <v>1</v>
      </c>
      <c r="AV268" s="140" t="str">
        <f t="shared" si="311"/>
        <v/>
      </c>
      <c r="AW268" s="19" t="str">
        <f t="shared" si="272"/>
        <v/>
      </c>
      <c r="AX268" s="81">
        <f t="shared" si="273"/>
        <v>0</v>
      </c>
      <c r="AY268" s="81" t="str">
        <f t="shared" si="274"/>
        <v/>
      </c>
      <c r="AZ268" s="307" t="str">
        <f t="shared" si="304"/>
        <v/>
      </c>
      <c r="BA268" s="281" t="str">
        <f t="shared" si="312"/>
        <v/>
      </c>
      <c r="BB268" s="281" t="str">
        <f t="shared" si="313"/>
        <v/>
      </c>
      <c r="BC268" s="953"/>
      <c r="BD268" s="955"/>
      <c r="BE268" s="219" t="str">
        <f t="shared" si="275"/>
        <v>n/a</v>
      </c>
      <c r="BF268" s="215" t="b">
        <f t="shared" si="276"/>
        <v>0</v>
      </c>
      <c r="BG268" s="145" t="b">
        <f t="shared" si="277"/>
        <v>0</v>
      </c>
      <c r="BH268" s="145" t="b">
        <f t="shared" si="278"/>
        <v>0</v>
      </c>
      <c r="BI268" s="216" t="b">
        <f t="shared" si="279"/>
        <v>0</v>
      </c>
      <c r="BJ268" s="215" t="b">
        <f t="shared" si="280"/>
        <v>0</v>
      </c>
      <c r="BK268" s="145" t="b">
        <f t="shared" si="281"/>
        <v>0</v>
      </c>
      <c r="BL268" s="216" t="b">
        <f t="shared" si="282"/>
        <v>0</v>
      </c>
      <c r="BM268" s="217" t="str">
        <f t="shared" si="314"/>
        <v/>
      </c>
      <c r="BN268" s="146" t="str">
        <f t="shared" si="315"/>
        <v/>
      </c>
      <c r="BO268" s="147" t="str">
        <f t="shared" si="316"/>
        <v/>
      </c>
      <c r="BP268" s="148" t="str">
        <f t="shared" si="317"/>
        <v/>
      </c>
      <c r="BT268" s="50">
        <f t="shared" si="337"/>
        <v>245</v>
      </c>
      <c r="BU268" s="50" t="str">
        <f t="shared" si="333"/>
        <v>-</v>
      </c>
      <c r="BW268" s="340"/>
      <c r="BX268" s="333"/>
      <c r="BY268" s="333"/>
      <c r="BZ268" s="333"/>
      <c r="CA268" s="333"/>
      <c r="CB268" s="333"/>
      <c r="CC268" s="333"/>
      <c r="CD268" s="333"/>
      <c r="CE268" s="333"/>
      <c r="CF268" s="333"/>
      <c r="CG268" s="354">
        <f t="shared" si="283"/>
        <v>245</v>
      </c>
      <c r="CH268" s="613">
        <f t="shared" si="284"/>
        <v>0</v>
      </c>
      <c r="CI268" s="613">
        <f t="shared" si="285"/>
        <v>0</v>
      </c>
      <c r="CJ268" s="614" t="str">
        <f t="shared" si="286"/>
        <v/>
      </c>
      <c r="CK268" s="615" t="str">
        <f t="shared" si="287"/>
        <v/>
      </c>
      <c r="CL268" s="610" t="str">
        <f>IF(ISBLANK(H268),"",IF(AND(ISNUMBER(F268),ISNUMBER(G268),ISNUMBER(H268)),ROUND(F268/(H268*G268),2),ROUND(F268/(VALUE(LEFT(H268,SUM(LEN(H268)-LEN(SUBSTITUTE(H268,{"0","1","2","3","4","5","6","7","8","9","."},"")))))*G268),2)))</f>
        <v/>
      </c>
      <c r="CM268" s="616" t="str">
        <f t="shared" si="318"/>
        <v/>
      </c>
      <c r="CN268" s="616" t="str">
        <f>IF(ISNUMBER(P268),MAX('Adjustment factors'!$S$16,(0.2+0.8*P268)),IF(ISTEXT(N268),VLOOKUP(N268,Afactors,2,FALSE),""))</f>
        <v/>
      </c>
      <c r="CO268" s="616" t="str">
        <f>IF(ISNUMBER(S268),MAX('Adjustment factors'!$S$16,0.2+0.8*S268),IF(ISTEXT(Q268),VLOOKUP(Q268,Afactors,2,FALSE),""))</f>
        <v/>
      </c>
      <c r="CP268" s="611" t="str">
        <f t="shared" si="305"/>
        <v/>
      </c>
      <c r="CQ268" s="612" t="str">
        <f t="shared" si="306"/>
        <v/>
      </c>
      <c r="CR268" s="340"/>
      <c r="CS268" s="340"/>
      <c r="CT268" s="340"/>
      <c r="CU268" s="340"/>
      <c r="CV268" s="333"/>
      <c r="CW268" s="333"/>
      <c r="CX268" s="333"/>
      <c r="CY268" s="333"/>
      <c r="DA268" s="313" t="str">
        <f t="shared" si="288"/>
        <v>OK</v>
      </c>
      <c r="DB268" s="313" t="str">
        <f t="shared" si="289"/>
        <v>OK</v>
      </c>
      <c r="DC268" s="313" t="str">
        <f t="shared" si="290"/>
        <v>OK</v>
      </c>
      <c r="DD268" s="313" t="str">
        <f t="shared" si="291"/>
        <v>OK</v>
      </c>
      <c r="DE268" s="153" t="str">
        <f t="shared" si="292"/>
        <v>OK</v>
      </c>
      <c r="DF268" s="314" t="str">
        <f t="shared" si="293"/>
        <v>OK</v>
      </c>
      <c r="DG268" s="482" t="str">
        <f t="shared" si="307"/>
        <v>OK</v>
      </c>
      <c r="DH268" s="482" t="str">
        <f>IF(OR(AND(T268='Adjustment factors'!$R$28,'Class 3, 5-9'!U268='Adjustment factors'!$R$29),AND('Class 3, 5-9'!T268='Adjustment factors'!$R$29,'Class 3, 5-9'!U268='Adjustment factors'!$R$28)),"Invalid combination of adjustment factors",IF(AND(T268=U268,NOT(ISBLANK(T268)),NOT(ISBLANK(U268))),"Same colour factor selected twice","OK"))</f>
        <v>OK</v>
      </c>
      <c r="DI268" s="313" t="str">
        <f t="shared" si="294"/>
        <v>OK</v>
      </c>
      <c r="DJ268" s="153" t="str">
        <f t="shared" si="319"/>
        <v>OK</v>
      </c>
      <c r="DK268" s="153" t="str">
        <f t="shared" si="295"/>
        <v>OK</v>
      </c>
      <c r="DL268" s="313" t="str">
        <f t="shared" si="296"/>
        <v>OK</v>
      </c>
      <c r="DM268" s="153" t="str">
        <f t="shared" si="297"/>
        <v>OK</v>
      </c>
      <c r="DN268" s="153" t="str">
        <f t="shared" si="320"/>
        <v>OK</v>
      </c>
      <c r="DO268" s="154" t="str">
        <f t="shared" si="321"/>
        <v>OK</v>
      </c>
      <c r="DP268" s="153" t="str">
        <f t="shared" si="298"/>
        <v>OK</v>
      </c>
      <c r="DQ268" s="313" t="str">
        <f t="shared" si="299"/>
        <v>OK</v>
      </c>
      <c r="DR268" s="153" t="str">
        <f t="shared" si="322"/>
        <v>OK</v>
      </c>
      <c r="DS268" s="153" t="str">
        <f t="shared" si="300"/>
        <v>OK</v>
      </c>
      <c r="DT268" s="313" t="str">
        <f t="shared" si="335"/>
        <v>OK</v>
      </c>
      <c r="DU268" s="153" t="str">
        <f t="shared" si="301"/>
        <v>OK</v>
      </c>
      <c r="DV268" s="153" t="str">
        <f t="shared" si="323"/>
        <v>OK</v>
      </c>
      <c r="DW268" s="154" t="str">
        <f t="shared" si="324"/>
        <v>OK</v>
      </c>
      <c r="DX268" s="157">
        <f t="shared" si="325"/>
        <v>0</v>
      </c>
      <c r="DY268" s="156" t="str">
        <f t="shared" si="326"/>
        <v>OK</v>
      </c>
    </row>
    <row r="269" spans="1:129" ht="13" hidden="1" x14ac:dyDescent="0.3">
      <c r="A269" s="333"/>
      <c r="B269" s="333"/>
      <c r="C269" s="332" t="str">
        <f t="shared" si="334"/>
        <v>-</v>
      </c>
      <c r="D269" s="584">
        <f t="shared" si="336"/>
        <v>246</v>
      </c>
      <c r="E269" s="585"/>
      <c r="F269" s="586"/>
      <c r="G269" s="600"/>
      <c r="H269" s="587"/>
      <c r="I269" s="601"/>
      <c r="J269" s="585"/>
      <c r="K269" s="617"/>
      <c r="L269" s="602"/>
      <c r="M269" s="603"/>
      <c r="N269" s="588"/>
      <c r="O269" s="604"/>
      <c r="P269" s="605"/>
      <c r="Q269" s="588"/>
      <c r="R269" s="604"/>
      <c r="S269" s="605"/>
      <c r="T269" s="606"/>
      <c r="U269" s="606"/>
      <c r="V269" s="429" t="str">
        <f t="shared" si="331"/>
        <v/>
      </c>
      <c r="W269" s="430" t="str">
        <f t="shared" si="330"/>
        <v/>
      </c>
      <c r="X269" s="66" t="str">
        <f>IF(AND(ISNUMBER(P269),N269=FixedDim),MAX('Adjustment factors'!$S$16,0.2+0.8*P269),IF(ISTEXT(N269),VLOOKUP(N269,Afactors,2,TRUE),""))</f>
        <v/>
      </c>
      <c r="Y269" s="17" t="str">
        <f>IF(AND(ISNUMBER(S269),Q269=FixedDim),MAX('Adjustment factors'!$S$16,0.2+0.8*S269),IF(ISTEXT(Q269),VLOOKUP(Q269,Afactors,2,TRUE),""))</f>
        <v/>
      </c>
      <c r="Z269" s="297" t="str">
        <f>IF(ISBLANK(T269),"",VLOOKUP(T269,'Adjustment factors'!$R$27:$S$30,2,TRUE))</f>
        <v/>
      </c>
      <c r="AA269" s="297" t="str">
        <f>IF(ISBLANK(U269),"",VLOOKUP(U269,'Adjustment factors'!$R$27:$S$30,2,TRUE))</f>
        <v/>
      </c>
      <c r="AB269" s="480">
        <f t="shared" si="302"/>
        <v>1</v>
      </c>
      <c r="AC269" s="18" t="b">
        <f t="shared" si="259"/>
        <v>0</v>
      </c>
      <c r="AD269" s="18" t="b">
        <f t="shared" si="260"/>
        <v>0</v>
      </c>
      <c r="AE269" s="18" t="b">
        <f t="shared" si="327"/>
        <v>0</v>
      </c>
      <c r="AF269" s="17" t="str">
        <f t="shared" si="261"/>
        <v/>
      </c>
      <c r="AG269" s="18" t="str">
        <f t="shared" si="262"/>
        <v/>
      </c>
      <c r="AH269" s="17" t="str">
        <f t="shared" si="328"/>
        <v/>
      </c>
      <c r="AI269" s="297" t="e">
        <f t="shared" si="303"/>
        <v>#VALUE!</v>
      </c>
      <c r="AJ269" s="79" t="e">
        <f t="shared" si="263"/>
        <v>#VALUE!</v>
      </c>
      <c r="AK269" s="17" t="str">
        <f t="shared" si="329"/>
        <v/>
      </c>
      <c r="AL269" s="80" t="e">
        <f t="shared" si="264"/>
        <v>#VALUE!</v>
      </c>
      <c r="AM269" s="139" t="b">
        <f t="shared" si="265"/>
        <v>1</v>
      </c>
      <c r="AN269" s="139" t="b">
        <f>AND(COUNTA(E269)&gt;0,ISNUMBER(F269),OR(COUNT(G269:H269)=0,COUNT(G269:H269)=2,AND(ISNUMBER(G269),ISNUMBER(VALUE(LEFT(H269,SUM(LEN(H269)-LEN(SUBSTITUTE(H269,{"0","1","2","3","4","5","6","7","8","9","."},"")))))))),ISNUMBER(I269),ISTEXT(J269))</f>
        <v>0</v>
      </c>
      <c r="AO269" s="19" t="b">
        <f t="shared" si="266"/>
        <v>0</v>
      </c>
      <c r="AP269" s="19" t="b">
        <f t="shared" si="267"/>
        <v>1</v>
      </c>
      <c r="AQ269" s="19" t="b">
        <f>IF(AND(COUNTBLANK(E269:J269)=6,OR(AN270:AN$523)),NOT(AN269))</f>
        <v>0</v>
      </c>
      <c r="AR269" s="19" t="str">
        <f t="shared" si="268"/>
        <v/>
      </c>
      <c r="AS269" s="19" t="b">
        <f t="shared" si="269"/>
        <v>1</v>
      </c>
      <c r="AT269" s="19" t="str">
        <f t="shared" si="270"/>
        <v/>
      </c>
      <c r="AU269" s="19" t="b">
        <f t="shared" si="271"/>
        <v>1</v>
      </c>
      <c r="AV269" s="140" t="str">
        <f t="shared" si="311"/>
        <v/>
      </c>
      <c r="AW269" s="19" t="str">
        <f t="shared" si="272"/>
        <v/>
      </c>
      <c r="AX269" s="81">
        <f t="shared" si="273"/>
        <v>0</v>
      </c>
      <c r="AY269" s="81" t="str">
        <f t="shared" si="274"/>
        <v/>
      </c>
      <c r="AZ269" s="307" t="str">
        <f t="shared" si="304"/>
        <v/>
      </c>
      <c r="BA269" s="281" t="str">
        <f t="shared" si="312"/>
        <v/>
      </c>
      <c r="BB269" s="281" t="str">
        <f t="shared" si="313"/>
        <v/>
      </c>
      <c r="BC269" s="953"/>
      <c r="BD269" s="955"/>
      <c r="BE269" s="219" t="str">
        <f t="shared" si="275"/>
        <v>n/a</v>
      </c>
      <c r="BF269" s="215" t="b">
        <f t="shared" si="276"/>
        <v>0</v>
      </c>
      <c r="BG269" s="145" t="b">
        <f t="shared" si="277"/>
        <v>0</v>
      </c>
      <c r="BH269" s="145" t="b">
        <f t="shared" si="278"/>
        <v>0</v>
      </c>
      <c r="BI269" s="216" t="b">
        <f t="shared" si="279"/>
        <v>0</v>
      </c>
      <c r="BJ269" s="215" t="b">
        <f t="shared" si="280"/>
        <v>0</v>
      </c>
      <c r="BK269" s="145" t="b">
        <f t="shared" si="281"/>
        <v>0</v>
      </c>
      <c r="BL269" s="216" t="b">
        <f t="shared" si="282"/>
        <v>0</v>
      </c>
      <c r="BM269" s="217" t="str">
        <f t="shared" si="314"/>
        <v/>
      </c>
      <c r="BN269" s="146" t="str">
        <f t="shared" si="315"/>
        <v/>
      </c>
      <c r="BO269" s="147" t="str">
        <f t="shared" si="316"/>
        <v/>
      </c>
      <c r="BP269" s="148" t="str">
        <f t="shared" si="317"/>
        <v/>
      </c>
      <c r="BT269" s="50">
        <f t="shared" si="337"/>
        <v>246</v>
      </c>
      <c r="BU269" s="50" t="str">
        <f t="shared" si="333"/>
        <v>-</v>
      </c>
      <c r="BW269" s="340"/>
      <c r="BX269" s="333"/>
      <c r="BY269" s="333"/>
      <c r="BZ269" s="333"/>
      <c r="CA269" s="333"/>
      <c r="CB269" s="333"/>
      <c r="CC269" s="333"/>
      <c r="CD269" s="333"/>
      <c r="CE269" s="333"/>
      <c r="CF269" s="333"/>
      <c r="CG269" s="354">
        <f t="shared" si="283"/>
        <v>246</v>
      </c>
      <c r="CH269" s="613">
        <f t="shared" si="284"/>
        <v>0</v>
      </c>
      <c r="CI269" s="613">
        <f t="shared" si="285"/>
        <v>0</v>
      </c>
      <c r="CJ269" s="614" t="str">
        <f t="shared" si="286"/>
        <v/>
      </c>
      <c r="CK269" s="615" t="str">
        <f t="shared" si="287"/>
        <v/>
      </c>
      <c r="CL269" s="610" t="str">
        <f>IF(ISBLANK(H269),"",IF(AND(ISNUMBER(F269),ISNUMBER(G269),ISNUMBER(H269)),ROUND(F269/(H269*G269),2),ROUND(F269/(VALUE(LEFT(H269,SUM(LEN(H269)-LEN(SUBSTITUTE(H269,{"0","1","2","3","4","5","6","7","8","9","."},"")))))*G269),2)))</f>
        <v/>
      </c>
      <c r="CM269" s="616" t="str">
        <f t="shared" si="318"/>
        <v/>
      </c>
      <c r="CN269" s="616" t="str">
        <f>IF(ISNUMBER(P269),MAX('Adjustment factors'!$S$16,(0.2+0.8*P269)),IF(ISTEXT(N269),VLOOKUP(N269,Afactors,2,FALSE),""))</f>
        <v/>
      </c>
      <c r="CO269" s="616" t="str">
        <f>IF(ISNUMBER(S269),MAX('Adjustment factors'!$S$16,0.2+0.8*S269),IF(ISTEXT(Q269),VLOOKUP(Q269,Afactors,2,FALSE),""))</f>
        <v/>
      </c>
      <c r="CP269" s="611" t="str">
        <f t="shared" si="305"/>
        <v/>
      </c>
      <c r="CQ269" s="612" t="str">
        <f t="shared" si="306"/>
        <v/>
      </c>
      <c r="CR269" s="340"/>
      <c r="CS269" s="340"/>
      <c r="CT269" s="340"/>
      <c r="CU269" s="340"/>
      <c r="CV269" s="333"/>
      <c r="CW269" s="333"/>
      <c r="CX269" s="333"/>
      <c r="CY269" s="333"/>
      <c r="DA269" s="313" t="str">
        <f t="shared" si="288"/>
        <v>OK</v>
      </c>
      <c r="DB269" s="313" t="str">
        <f t="shared" si="289"/>
        <v>OK</v>
      </c>
      <c r="DC269" s="313" t="str">
        <f t="shared" si="290"/>
        <v>OK</v>
      </c>
      <c r="DD269" s="313" t="str">
        <f t="shared" si="291"/>
        <v>OK</v>
      </c>
      <c r="DE269" s="153" t="str">
        <f t="shared" si="292"/>
        <v>OK</v>
      </c>
      <c r="DF269" s="314" t="str">
        <f t="shared" si="293"/>
        <v>OK</v>
      </c>
      <c r="DG269" s="482" t="str">
        <f t="shared" si="307"/>
        <v>OK</v>
      </c>
      <c r="DH269" s="482" t="str">
        <f>IF(OR(AND(T269='Adjustment factors'!$R$28,'Class 3, 5-9'!U269='Adjustment factors'!$R$29),AND('Class 3, 5-9'!T269='Adjustment factors'!$R$29,'Class 3, 5-9'!U269='Adjustment factors'!$R$28)),"Invalid combination of adjustment factors",IF(AND(T269=U269,NOT(ISBLANK(T269)),NOT(ISBLANK(U269))),"Same colour factor selected twice","OK"))</f>
        <v>OK</v>
      </c>
      <c r="DI269" s="313" t="str">
        <f t="shared" si="294"/>
        <v>OK</v>
      </c>
      <c r="DJ269" s="153" t="str">
        <f t="shared" si="319"/>
        <v>OK</v>
      </c>
      <c r="DK269" s="153" t="str">
        <f t="shared" si="295"/>
        <v>OK</v>
      </c>
      <c r="DL269" s="313" t="str">
        <f t="shared" si="296"/>
        <v>OK</v>
      </c>
      <c r="DM269" s="153" t="str">
        <f t="shared" si="297"/>
        <v>OK</v>
      </c>
      <c r="DN269" s="153" t="str">
        <f t="shared" si="320"/>
        <v>OK</v>
      </c>
      <c r="DO269" s="154" t="str">
        <f t="shared" si="321"/>
        <v>OK</v>
      </c>
      <c r="DP269" s="153" t="str">
        <f t="shared" si="298"/>
        <v>OK</v>
      </c>
      <c r="DQ269" s="313" t="str">
        <f t="shared" si="299"/>
        <v>OK</v>
      </c>
      <c r="DR269" s="153" t="str">
        <f t="shared" si="322"/>
        <v>OK</v>
      </c>
      <c r="DS269" s="153" t="str">
        <f t="shared" si="300"/>
        <v>OK</v>
      </c>
      <c r="DT269" s="313" t="str">
        <f t="shared" si="335"/>
        <v>OK</v>
      </c>
      <c r="DU269" s="153" t="str">
        <f t="shared" si="301"/>
        <v>OK</v>
      </c>
      <c r="DV269" s="153" t="str">
        <f t="shared" si="323"/>
        <v>OK</v>
      </c>
      <c r="DW269" s="154" t="str">
        <f t="shared" si="324"/>
        <v>OK</v>
      </c>
      <c r="DX269" s="157">
        <f t="shared" si="325"/>
        <v>0</v>
      </c>
      <c r="DY269" s="156" t="str">
        <f t="shared" si="326"/>
        <v>OK</v>
      </c>
    </row>
    <row r="270" spans="1:129" ht="13" hidden="1" x14ac:dyDescent="0.3">
      <c r="A270" s="333"/>
      <c r="B270" s="333"/>
      <c r="C270" s="332" t="str">
        <f t="shared" si="334"/>
        <v>-</v>
      </c>
      <c r="D270" s="584">
        <f t="shared" si="336"/>
        <v>247</v>
      </c>
      <c r="E270" s="585"/>
      <c r="F270" s="586"/>
      <c r="G270" s="600"/>
      <c r="H270" s="587"/>
      <c r="I270" s="601"/>
      <c r="J270" s="585"/>
      <c r="K270" s="617"/>
      <c r="L270" s="602"/>
      <c r="M270" s="603"/>
      <c r="N270" s="588"/>
      <c r="O270" s="604"/>
      <c r="P270" s="605"/>
      <c r="Q270" s="588"/>
      <c r="R270" s="604"/>
      <c r="S270" s="605"/>
      <c r="T270" s="606"/>
      <c r="U270" s="606"/>
      <c r="V270" s="429" t="str">
        <f t="shared" si="331"/>
        <v/>
      </c>
      <c r="W270" s="430" t="str">
        <f t="shared" si="330"/>
        <v/>
      </c>
      <c r="X270" s="66" t="str">
        <f>IF(AND(ISNUMBER(P270),N270=FixedDim),MAX('Adjustment factors'!$S$16,0.2+0.8*P270),IF(ISTEXT(N270),VLOOKUP(N270,Afactors,2,TRUE),""))</f>
        <v/>
      </c>
      <c r="Y270" s="17" t="str">
        <f>IF(AND(ISNUMBER(S270),Q270=FixedDim),MAX('Adjustment factors'!$S$16,0.2+0.8*S270),IF(ISTEXT(Q270),VLOOKUP(Q270,Afactors,2,TRUE),""))</f>
        <v/>
      </c>
      <c r="Z270" s="297" t="str">
        <f>IF(ISBLANK(T270),"",VLOOKUP(T270,'Adjustment factors'!$R$27:$S$30,2,TRUE))</f>
        <v/>
      </c>
      <c r="AA270" s="297" t="str">
        <f>IF(ISBLANK(U270),"",VLOOKUP(U270,'Adjustment factors'!$R$27:$S$30,2,TRUE))</f>
        <v/>
      </c>
      <c r="AB270" s="480">
        <f t="shared" si="302"/>
        <v>1</v>
      </c>
      <c r="AC270" s="18" t="b">
        <f t="shared" si="259"/>
        <v>0</v>
      </c>
      <c r="AD270" s="18" t="b">
        <f t="shared" si="260"/>
        <v>0</v>
      </c>
      <c r="AE270" s="18" t="b">
        <f t="shared" si="327"/>
        <v>0</v>
      </c>
      <c r="AF270" s="17" t="str">
        <f t="shared" si="261"/>
        <v/>
      </c>
      <c r="AG270" s="18" t="str">
        <f t="shared" si="262"/>
        <v/>
      </c>
      <c r="AH270" s="17" t="str">
        <f t="shared" si="328"/>
        <v/>
      </c>
      <c r="AI270" s="297" t="e">
        <f t="shared" si="303"/>
        <v>#VALUE!</v>
      </c>
      <c r="AJ270" s="79" t="e">
        <f t="shared" si="263"/>
        <v>#VALUE!</v>
      </c>
      <c r="AK270" s="17" t="str">
        <f t="shared" si="329"/>
        <v/>
      </c>
      <c r="AL270" s="80" t="e">
        <f t="shared" si="264"/>
        <v>#VALUE!</v>
      </c>
      <c r="AM270" s="139" t="b">
        <f t="shared" si="265"/>
        <v>1</v>
      </c>
      <c r="AN270" s="139" t="b">
        <f>AND(COUNTA(E270)&gt;0,ISNUMBER(F270),OR(COUNT(G270:H270)=0,COUNT(G270:H270)=2,AND(ISNUMBER(G270),ISNUMBER(VALUE(LEFT(H270,SUM(LEN(H270)-LEN(SUBSTITUTE(H270,{"0","1","2","3","4","5","6","7","8","9","."},"")))))))),ISNUMBER(I270),ISTEXT(J270))</f>
        <v>0</v>
      </c>
      <c r="AO270" s="19" t="b">
        <f t="shared" si="266"/>
        <v>0</v>
      </c>
      <c r="AP270" s="19" t="b">
        <f t="shared" si="267"/>
        <v>1</v>
      </c>
      <c r="AQ270" s="19" t="b">
        <f>IF(AND(COUNTBLANK(E270:J270)=6,OR(AN271:AN$523)),NOT(AN270))</f>
        <v>0</v>
      </c>
      <c r="AR270" s="19" t="str">
        <f t="shared" si="268"/>
        <v/>
      </c>
      <c r="AS270" s="19" t="b">
        <f t="shared" si="269"/>
        <v>1</v>
      </c>
      <c r="AT270" s="19" t="str">
        <f t="shared" si="270"/>
        <v/>
      </c>
      <c r="AU270" s="19" t="b">
        <f t="shared" si="271"/>
        <v>1</v>
      </c>
      <c r="AV270" s="140" t="str">
        <f t="shared" si="311"/>
        <v/>
      </c>
      <c r="AW270" s="19" t="str">
        <f t="shared" si="272"/>
        <v/>
      </c>
      <c r="AX270" s="81">
        <f t="shared" si="273"/>
        <v>0</v>
      </c>
      <c r="AY270" s="81" t="str">
        <f t="shared" si="274"/>
        <v/>
      </c>
      <c r="AZ270" s="307" t="str">
        <f t="shared" si="304"/>
        <v/>
      </c>
      <c r="BA270" s="281" t="str">
        <f t="shared" si="312"/>
        <v/>
      </c>
      <c r="BB270" s="281" t="str">
        <f t="shared" si="313"/>
        <v/>
      </c>
      <c r="BC270" s="953"/>
      <c r="BD270" s="955"/>
      <c r="BE270" s="219" t="str">
        <f t="shared" si="275"/>
        <v>n/a</v>
      </c>
      <c r="BF270" s="215" t="b">
        <f t="shared" si="276"/>
        <v>0</v>
      </c>
      <c r="BG270" s="145" t="b">
        <f t="shared" si="277"/>
        <v>0</v>
      </c>
      <c r="BH270" s="145" t="b">
        <f t="shared" si="278"/>
        <v>0</v>
      </c>
      <c r="BI270" s="216" t="b">
        <f t="shared" si="279"/>
        <v>0</v>
      </c>
      <c r="BJ270" s="215" t="b">
        <f t="shared" si="280"/>
        <v>0</v>
      </c>
      <c r="BK270" s="145" t="b">
        <f t="shared" si="281"/>
        <v>0</v>
      </c>
      <c r="BL270" s="216" t="b">
        <f t="shared" si="282"/>
        <v>0</v>
      </c>
      <c r="BM270" s="217" t="str">
        <f t="shared" si="314"/>
        <v/>
      </c>
      <c r="BN270" s="146" t="str">
        <f t="shared" si="315"/>
        <v/>
      </c>
      <c r="BO270" s="147" t="str">
        <f t="shared" si="316"/>
        <v/>
      </c>
      <c r="BP270" s="148" t="str">
        <f t="shared" si="317"/>
        <v/>
      </c>
      <c r="BT270" s="50">
        <f t="shared" si="337"/>
        <v>247</v>
      </c>
      <c r="BU270" s="50" t="str">
        <f t="shared" si="333"/>
        <v>-</v>
      </c>
      <c r="BW270" s="340"/>
      <c r="BX270" s="333"/>
      <c r="BY270" s="333"/>
      <c r="BZ270" s="333"/>
      <c r="CA270" s="333"/>
      <c r="CB270" s="333"/>
      <c r="CC270" s="333"/>
      <c r="CD270" s="333"/>
      <c r="CE270" s="333"/>
      <c r="CF270" s="333"/>
      <c r="CG270" s="354">
        <f t="shared" si="283"/>
        <v>247</v>
      </c>
      <c r="CH270" s="613">
        <f t="shared" si="284"/>
        <v>0</v>
      </c>
      <c r="CI270" s="613">
        <f t="shared" si="285"/>
        <v>0</v>
      </c>
      <c r="CJ270" s="614" t="str">
        <f t="shared" si="286"/>
        <v/>
      </c>
      <c r="CK270" s="615" t="str">
        <f t="shared" si="287"/>
        <v/>
      </c>
      <c r="CL270" s="610" t="str">
        <f>IF(ISBLANK(H270),"",IF(AND(ISNUMBER(F270),ISNUMBER(G270),ISNUMBER(H270)),ROUND(F270/(H270*G270),2),ROUND(F270/(VALUE(LEFT(H270,SUM(LEN(H270)-LEN(SUBSTITUTE(H270,{"0","1","2","3","4","5","6","7","8","9","."},"")))))*G270),2)))</f>
        <v/>
      </c>
      <c r="CM270" s="616" t="str">
        <f t="shared" si="318"/>
        <v/>
      </c>
      <c r="CN270" s="616" t="str">
        <f>IF(ISNUMBER(P270),MAX('Adjustment factors'!$S$16,(0.2+0.8*P270)),IF(ISTEXT(N270),VLOOKUP(N270,Afactors,2,FALSE),""))</f>
        <v/>
      </c>
      <c r="CO270" s="616" t="str">
        <f>IF(ISNUMBER(S270),MAX('Adjustment factors'!$S$16,0.2+0.8*S270),IF(ISTEXT(Q270),VLOOKUP(Q270,Afactors,2,FALSE),""))</f>
        <v/>
      </c>
      <c r="CP270" s="611" t="str">
        <f t="shared" si="305"/>
        <v/>
      </c>
      <c r="CQ270" s="612" t="str">
        <f t="shared" si="306"/>
        <v/>
      </c>
      <c r="CR270" s="340"/>
      <c r="CS270" s="340"/>
      <c r="CT270" s="340"/>
      <c r="CU270" s="340"/>
      <c r="CV270" s="333"/>
      <c r="CW270" s="333"/>
      <c r="CX270" s="333"/>
      <c r="CY270" s="333"/>
      <c r="DA270" s="313" t="str">
        <f t="shared" si="288"/>
        <v>OK</v>
      </c>
      <c r="DB270" s="313" t="str">
        <f t="shared" si="289"/>
        <v>OK</v>
      </c>
      <c r="DC270" s="313" t="str">
        <f t="shared" si="290"/>
        <v>OK</v>
      </c>
      <c r="DD270" s="313" t="str">
        <f t="shared" si="291"/>
        <v>OK</v>
      </c>
      <c r="DE270" s="153" t="str">
        <f t="shared" si="292"/>
        <v>OK</v>
      </c>
      <c r="DF270" s="314" t="str">
        <f t="shared" si="293"/>
        <v>OK</v>
      </c>
      <c r="DG270" s="482" t="str">
        <f t="shared" si="307"/>
        <v>OK</v>
      </c>
      <c r="DH270" s="482" t="str">
        <f>IF(OR(AND(T270='Adjustment factors'!$R$28,'Class 3, 5-9'!U270='Adjustment factors'!$R$29),AND('Class 3, 5-9'!T270='Adjustment factors'!$R$29,'Class 3, 5-9'!U270='Adjustment factors'!$R$28)),"Invalid combination of adjustment factors",IF(AND(T270=U270,NOT(ISBLANK(T270)),NOT(ISBLANK(U270))),"Same colour factor selected twice","OK"))</f>
        <v>OK</v>
      </c>
      <c r="DI270" s="313" t="str">
        <f t="shared" si="294"/>
        <v>OK</v>
      </c>
      <c r="DJ270" s="153" t="str">
        <f t="shared" si="319"/>
        <v>OK</v>
      </c>
      <c r="DK270" s="153" t="str">
        <f t="shared" si="295"/>
        <v>OK</v>
      </c>
      <c r="DL270" s="313" t="str">
        <f t="shared" si="296"/>
        <v>OK</v>
      </c>
      <c r="DM270" s="153" t="str">
        <f t="shared" si="297"/>
        <v>OK</v>
      </c>
      <c r="DN270" s="153" t="str">
        <f t="shared" si="320"/>
        <v>OK</v>
      </c>
      <c r="DO270" s="154" t="str">
        <f t="shared" si="321"/>
        <v>OK</v>
      </c>
      <c r="DP270" s="153" t="str">
        <f t="shared" si="298"/>
        <v>OK</v>
      </c>
      <c r="DQ270" s="313" t="str">
        <f t="shared" si="299"/>
        <v>OK</v>
      </c>
      <c r="DR270" s="153" t="str">
        <f t="shared" si="322"/>
        <v>OK</v>
      </c>
      <c r="DS270" s="153" t="str">
        <f t="shared" si="300"/>
        <v>OK</v>
      </c>
      <c r="DT270" s="313" t="str">
        <f t="shared" si="335"/>
        <v>OK</v>
      </c>
      <c r="DU270" s="153" t="str">
        <f t="shared" si="301"/>
        <v>OK</v>
      </c>
      <c r="DV270" s="153" t="str">
        <f t="shared" si="323"/>
        <v>OK</v>
      </c>
      <c r="DW270" s="154" t="str">
        <f t="shared" si="324"/>
        <v>OK</v>
      </c>
      <c r="DX270" s="157">
        <f t="shared" si="325"/>
        <v>0</v>
      </c>
      <c r="DY270" s="156" t="str">
        <f t="shared" si="326"/>
        <v>OK</v>
      </c>
    </row>
    <row r="271" spans="1:129" ht="13" hidden="1" x14ac:dyDescent="0.3">
      <c r="A271" s="333"/>
      <c r="B271" s="333"/>
      <c r="C271" s="332" t="str">
        <f t="shared" si="334"/>
        <v>-</v>
      </c>
      <c r="D271" s="584">
        <f t="shared" si="336"/>
        <v>248</v>
      </c>
      <c r="E271" s="585"/>
      <c r="F271" s="586"/>
      <c r="G271" s="600"/>
      <c r="H271" s="587"/>
      <c r="I271" s="601"/>
      <c r="J271" s="585"/>
      <c r="K271" s="617"/>
      <c r="L271" s="602"/>
      <c r="M271" s="603"/>
      <c r="N271" s="588"/>
      <c r="O271" s="604"/>
      <c r="P271" s="605"/>
      <c r="Q271" s="588"/>
      <c r="R271" s="604"/>
      <c r="S271" s="605"/>
      <c r="T271" s="606"/>
      <c r="U271" s="606"/>
      <c r="V271" s="429" t="str">
        <f t="shared" si="331"/>
        <v/>
      </c>
      <c r="W271" s="430" t="str">
        <f t="shared" si="330"/>
        <v/>
      </c>
      <c r="X271" s="66" t="str">
        <f>IF(AND(ISNUMBER(P271),N271=FixedDim),MAX('Adjustment factors'!$S$16,0.2+0.8*P271),IF(ISTEXT(N271),VLOOKUP(N271,Afactors,2,TRUE),""))</f>
        <v/>
      </c>
      <c r="Y271" s="17" t="str">
        <f>IF(AND(ISNUMBER(S271),Q271=FixedDim),MAX('Adjustment factors'!$S$16,0.2+0.8*S271),IF(ISTEXT(Q271),VLOOKUP(Q271,Afactors,2,TRUE),""))</f>
        <v/>
      </c>
      <c r="Z271" s="297" t="str">
        <f>IF(ISBLANK(T271),"",VLOOKUP(T271,'Adjustment factors'!$R$27:$S$30,2,TRUE))</f>
        <v/>
      </c>
      <c r="AA271" s="297" t="str">
        <f>IF(ISBLANK(U271),"",VLOOKUP(U271,'Adjustment factors'!$R$27:$S$30,2,TRUE))</f>
        <v/>
      </c>
      <c r="AB271" s="480">
        <f t="shared" si="302"/>
        <v>1</v>
      </c>
      <c r="AC271" s="18" t="b">
        <f t="shared" si="259"/>
        <v>0</v>
      </c>
      <c r="AD271" s="18" t="b">
        <f t="shared" si="260"/>
        <v>0</v>
      </c>
      <c r="AE271" s="18" t="b">
        <f t="shared" si="327"/>
        <v>0</v>
      </c>
      <c r="AF271" s="17" t="str">
        <f t="shared" si="261"/>
        <v/>
      </c>
      <c r="AG271" s="18" t="str">
        <f t="shared" si="262"/>
        <v/>
      </c>
      <c r="AH271" s="17" t="str">
        <f t="shared" si="328"/>
        <v/>
      </c>
      <c r="AI271" s="297" t="e">
        <f t="shared" si="303"/>
        <v>#VALUE!</v>
      </c>
      <c r="AJ271" s="79" t="e">
        <f t="shared" si="263"/>
        <v>#VALUE!</v>
      </c>
      <c r="AK271" s="17" t="str">
        <f t="shared" si="329"/>
        <v/>
      </c>
      <c r="AL271" s="80" t="e">
        <f t="shared" si="264"/>
        <v>#VALUE!</v>
      </c>
      <c r="AM271" s="139" t="b">
        <f t="shared" si="265"/>
        <v>1</v>
      </c>
      <c r="AN271" s="139" t="b">
        <f>AND(COUNTA(E271)&gt;0,ISNUMBER(F271),OR(COUNT(G271:H271)=0,COUNT(G271:H271)=2,AND(ISNUMBER(G271),ISNUMBER(VALUE(LEFT(H271,SUM(LEN(H271)-LEN(SUBSTITUTE(H271,{"0","1","2","3","4","5","6","7","8","9","."},"")))))))),ISNUMBER(I271),ISTEXT(J271))</f>
        <v>0</v>
      </c>
      <c r="AO271" s="19" t="b">
        <f t="shared" si="266"/>
        <v>0</v>
      </c>
      <c r="AP271" s="19" t="b">
        <f t="shared" si="267"/>
        <v>1</v>
      </c>
      <c r="AQ271" s="19" t="b">
        <f>IF(AND(COUNTBLANK(E271:J271)=6,OR(AN272:AN$523)),NOT(AN271))</f>
        <v>0</v>
      </c>
      <c r="AR271" s="19" t="str">
        <f t="shared" si="268"/>
        <v/>
      </c>
      <c r="AS271" s="19" t="b">
        <f t="shared" si="269"/>
        <v>1</v>
      </c>
      <c r="AT271" s="19" t="str">
        <f t="shared" si="270"/>
        <v/>
      </c>
      <c r="AU271" s="19" t="b">
        <f t="shared" si="271"/>
        <v>1</v>
      </c>
      <c r="AV271" s="140" t="str">
        <f t="shared" si="311"/>
        <v/>
      </c>
      <c r="AW271" s="19" t="str">
        <f t="shared" si="272"/>
        <v/>
      </c>
      <c r="AX271" s="81">
        <f t="shared" si="273"/>
        <v>0</v>
      </c>
      <c r="AY271" s="81" t="str">
        <f t="shared" si="274"/>
        <v/>
      </c>
      <c r="AZ271" s="307" t="str">
        <f t="shared" si="304"/>
        <v/>
      </c>
      <c r="BA271" s="281" t="str">
        <f t="shared" si="312"/>
        <v/>
      </c>
      <c r="BB271" s="281" t="str">
        <f t="shared" si="313"/>
        <v/>
      </c>
      <c r="BC271" s="953"/>
      <c r="BD271" s="955"/>
      <c r="BE271" s="219" t="str">
        <f t="shared" si="275"/>
        <v>n/a</v>
      </c>
      <c r="BF271" s="215" t="b">
        <f t="shared" si="276"/>
        <v>0</v>
      </c>
      <c r="BG271" s="145" t="b">
        <f t="shared" si="277"/>
        <v>0</v>
      </c>
      <c r="BH271" s="145" t="b">
        <f t="shared" si="278"/>
        <v>0</v>
      </c>
      <c r="BI271" s="216" t="b">
        <f t="shared" si="279"/>
        <v>0</v>
      </c>
      <c r="BJ271" s="215" t="b">
        <f t="shared" si="280"/>
        <v>0</v>
      </c>
      <c r="BK271" s="145" t="b">
        <f t="shared" si="281"/>
        <v>0</v>
      </c>
      <c r="BL271" s="216" t="b">
        <f t="shared" si="282"/>
        <v>0</v>
      </c>
      <c r="BM271" s="217" t="str">
        <f t="shared" si="314"/>
        <v/>
      </c>
      <c r="BN271" s="146" t="str">
        <f t="shared" si="315"/>
        <v/>
      </c>
      <c r="BO271" s="147" t="str">
        <f t="shared" si="316"/>
        <v/>
      </c>
      <c r="BP271" s="148" t="str">
        <f t="shared" si="317"/>
        <v/>
      </c>
      <c r="BT271" s="50">
        <f t="shared" si="337"/>
        <v>248</v>
      </c>
      <c r="BU271" s="50" t="str">
        <f t="shared" si="333"/>
        <v>-</v>
      </c>
      <c r="BW271" s="340"/>
      <c r="BX271" s="333"/>
      <c r="BY271" s="333"/>
      <c r="BZ271" s="333"/>
      <c r="CA271" s="333"/>
      <c r="CB271" s="333"/>
      <c r="CC271" s="333"/>
      <c r="CD271" s="333"/>
      <c r="CE271" s="333"/>
      <c r="CF271" s="333"/>
      <c r="CG271" s="354">
        <f t="shared" si="283"/>
        <v>248</v>
      </c>
      <c r="CH271" s="613">
        <f t="shared" si="284"/>
        <v>0</v>
      </c>
      <c r="CI271" s="613">
        <f t="shared" si="285"/>
        <v>0</v>
      </c>
      <c r="CJ271" s="614" t="str">
        <f t="shared" si="286"/>
        <v/>
      </c>
      <c r="CK271" s="615" t="str">
        <f t="shared" si="287"/>
        <v/>
      </c>
      <c r="CL271" s="610" t="str">
        <f>IF(ISBLANK(H271),"",IF(AND(ISNUMBER(F271),ISNUMBER(G271),ISNUMBER(H271)),ROUND(F271/(H271*G271),2),ROUND(F271/(VALUE(LEFT(H271,SUM(LEN(H271)-LEN(SUBSTITUTE(H271,{"0","1","2","3","4","5","6","7","8","9","."},"")))))*G271),2)))</f>
        <v/>
      </c>
      <c r="CM271" s="616" t="str">
        <f t="shared" si="318"/>
        <v/>
      </c>
      <c r="CN271" s="616" t="str">
        <f>IF(ISNUMBER(P271),MAX('Adjustment factors'!$S$16,(0.2+0.8*P271)),IF(ISTEXT(N271),VLOOKUP(N271,Afactors,2,FALSE),""))</f>
        <v/>
      </c>
      <c r="CO271" s="616" t="str">
        <f>IF(ISNUMBER(S271),MAX('Adjustment factors'!$S$16,0.2+0.8*S271),IF(ISTEXT(Q271),VLOOKUP(Q271,Afactors,2,FALSE),""))</f>
        <v/>
      </c>
      <c r="CP271" s="611" t="str">
        <f t="shared" si="305"/>
        <v/>
      </c>
      <c r="CQ271" s="612" t="str">
        <f t="shared" si="306"/>
        <v/>
      </c>
      <c r="CR271" s="340"/>
      <c r="CS271" s="340"/>
      <c r="CT271" s="340"/>
      <c r="CU271" s="340"/>
      <c r="CV271" s="333"/>
      <c r="CW271" s="333"/>
      <c r="CX271" s="333"/>
      <c r="CY271" s="333"/>
      <c r="DA271" s="313" t="str">
        <f t="shared" si="288"/>
        <v>OK</v>
      </c>
      <c r="DB271" s="313" t="str">
        <f t="shared" si="289"/>
        <v>OK</v>
      </c>
      <c r="DC271" s="313" t="str">
        <f t="shared" si="290"/>
        <v>OK</v>
      </c>
      <c r="DD271" s="313" t="str">
        <f t="shared" si="291"/>
        <v>OK</v>
      </c>
      <c r="DE271" s="153" t="str">
        <f t="shared" si="292"/>
        <v>OK</v>
      </c>
      <c r="DF271" s="314" t="str">
        <f t="shared" si="293"/>
        <v>OK</v>
      </c>
      <c r="DG271" s="482" t="str">
        <f t="shared" si="307"/>
        <v>OK</v>
      </c>
      <c r="DH271" s="482" t="str">
        <f>IF(OR(AND(T271='Adjustment factors'!$R$28,'Class 3, 5-9'!U271='Adjustment factors'!$R$29),AND('Class 3, 5-9'!T271='Adjustment factors'!$R$29,'Class 3, 5-9'!U271='Adjustment factors'!$R$28)),"Invalid combination of adjustment factors",IF(AND(T271=U271,NOT(ISBLANK(T271)),NOT(ISBLANK(U271))),"Same colour factor selected twice","OK"))</f>
        <v>OK</v>
      </c>
      <c r="DI271" s="313" t="str">
        <f t="shared" si="294"/>
        <v>OK</v>
      </c>
      <c r="DJ271" s="153" t="str">
        <f t="shared" si="319"/>
        <v>OK</v>
      </c>
      <c r="DK271" s="153" t="str">
        <f t="shared" si="295"/>
        <v>OK</v>
      </c>
      <c r="DL271" s="313" t="str">
        <f t="shared" si="296"/>
        <v>OK</v>
      </c>
      <c r="DM271" s="153" t="str">
        <f t="shared" si="297"/>
        <v>OK</v>
      </c>
      <c r="DN271" s="153" t="str">
        <f t="shared" si="320"/>
        <v>OK</v>
      </c>
      <c r="DO271" s="154" t="str">
        <f t="shared" si="321"/>
        <v>OK</v>
      </c>
      <c r="DP271" s="153" t="str">
        <f t="shared" si="298"/>
        <v>OK</v>
      </c>
      <c r="DQ271" s="313" t="str">
        <f t="shared" si="299"/>
        <v>OK</v>
      </c>
      <c r="DR271" s="153" t="str">
        <f t="shared" si="322"/>
        <v>OK</v>
      </c>
      <c r="DS271" s="153" t="str">
        <f t="shared" si="300"/>
        <v>OK</v>
      </c>
      <c r="DT271" s="313" t="str">
        <f t="shared" ref="DT271:DT302" si="338">IF(AND(ISNUMBER(S271),Q271&lt;&gt;FixedDim),"Select fixed dimming with an illuminance factor","OK")</f>
        <v>OK</v>
      </c>
      <c r="DU271" s="153" t="str">
        <f t="shared" si="301"/>
        <v>OK</v>
      </c>
      <c r="DV271" s="153" t="str">
        <f t="shared" si="323"/>
        <v>OK</v>
      </c>
      <c r="DW271" s="154" t="str">
        <f t="shared" si="324"/>
        <v>OK</v>
      </c>
      <c r="DX271" s="157">
        <f t="shared" si="325"/>
        <v>0</v>
      </c>
      <c r="DY271" s="156" t="str">
        <f t="shared" si="326"/>
        <v>OK</v>
      </c>
    </row>
    <row r="272" spans="1:129" ht="13" hidden="1" x14ac:dyDescent="0.3">
      <c r="A272" s="333"/>
      <c r="B272" s="333"/>
      <c r="C272" s="332" t="str">
        <f t="shared" si="334"/>
        <v>-</v>
      </c>
      <c r="D272" s="584">
        <f t="shared" si="336"/>
        <v>249</v>
      </c>
      <c r="E272" s="585"/>
      <c r="F272" s="586"/>
      <c r="G272" s="600"/>
      <c r="H272" s="587"/>
      <c r="I272" s="601"/>
      <c r="J272" s="585"/>
      <c r="K272" s="617"/>
      <c r="L272" s="602"/>
      <c r="M272" s="603"/>
      <c r="N272" s="588"/>
      <c r="O272" s="604"/>
      <c r="P272" s="605"/>
      <c r="Q272" s="588"/>
      <c r="R272" s="604"/>
      <c r="S272" s="605"/>
      <c r="T272" s="606"/>
      <c r="U272" s="606"/>
      <c r="V272" s="429" t="str">
        <f t="shared" si="331"/>
        <v/>
      </c>
      <c r="W272" s="430" t="str">
        <f t="shared" si="330"/>
        <v/>
      </c>
      <c r="X272" s="66" t="str">
        <f>IF(AND(ISNUMBER(P272),N272=FixedDim),MAX('Adjustment factors'!$S$16,0.2+0.8*P272),IF(ISTEXT(N272),VLOOKUP(N272,Afactors,2,TRUE),""))</f>
        <v/>
      </c>
      <c r="Y272" s="17" t="str">
        <f>IF(AND(ISNUMBER(S272),Q272=FixedDim),MAX('Adjustment factors'!$S$16,0.2+0.8*S272),IF(ISTEXT(Q272),VLOOKUP(Q272,Afactors,2,TRUE),""))</f>
        <v/>
      </c>
      <c r="Z272" s="297" t="str">
        <f>IF(ISBLANK(T272),"",VLOOKUP(T272,'Adjustment factors'!$R$27:$S$30,2,TRUE))</f>
        <v/>
      </c>
      <c r="AA272" s="297" t="str">
        <f>IF(ISBLANK(U272),"",VLOOKUP(U272,'Adjustment factors'!$R$27:$S$30,2,TRUE))</f>
        <v/>
      </c>
      <c r="AB272" s="480">
        <f t="shared" si="302"/>
        <v>1</v>
      </c>
      <c r="AC272" s="18" t="b">
        <f t="shared" si="259"/>
        <v>0</v>
      </c>
      <c r="AD272" s="18" t="b">
        <f t="shared" si="260"/>
        <v>0</v>
      </c>
      <c r="AE272" s="18" t="b">
        <f t="shared" si="327"/>
        <v>0</v>
      </c>
      <c r="AF272" s="17" t="str">
        <f t="shared" si="261"/>
        <v/>
      </c>
      <c r="AG272" s="18" t="str">
        <f t="shared" si="262"/>
        <v/>
      </c>
      <c r="AH272" s="17" t="str">
        <f t="shared" si="328"/>
        <v/>
      </c>
      <c r="AI272" s="297" t="e">
        <f t="shared" si="303"/>
        <v>#VALUE!</v>
      </c>
      <c r="AJ272" s="79" t="e">
        <f t="shared" si="263"/>
        <v>#VALUE!</v>
      </c>
      <c r="AK272" s="17" t="str">
        <f t="shared" si="329"/>
        <v/>
      </c>
      <c r="AL272" s="80" t="e">
        <f t="shared" si="264"/>
        <v>#VALUE!</v>
      </c>
      <c r="AM272" s="139" t="b">
        <f t="shared" si="265"/>
        <v>1</v>
      </c>
      <c r="AN272" s="139" t="b">
        <f>AND(COUNTA(E272)&gt;0,ISNUMBER(F272),OR(COUNT(G272:H272)=0,COUNT(G272:H272)=2,AND(ISNUMBER(G272),ISNUMBER(VALUE(LEFT(H272,SUM(LEN(H272)-LEN(SUBSTITUTE(H272,{"0","1","2","3","4","5","6","7","8","9","."},"")))))))),ISNUMBER(I272),ISTEXT(J272))</f>
        <v>0</v>
      </c>
      <c r="AO272" s="19" t="b">
        <f t="shared" si="266"/>
        <v>0</v>
      </c>
      <c r="AP272" s="19" t="b">
        <f t="shared" si="267"/>
        <v>1</v>
      </c>
      <c r="AQ272" s="19" t="b">
        <f>IF(AND(COUNTBLANK(E272:J272)=6,OR(AN273:AN$523)),NOT(AN272))</f>
        <v>0</v>
      </c>
      <c r="AR272" s="19" t="str">
        <f t="shared" si="268"/>
        <v/>
      </c>
      <c r="AS272" s="19" t="b">
        <f t="shared" si="269"/>
        <v>1</v>
      </c>
      <c r="AT272" s="19" t="str">
        <f t="shared" si="270"/>
        <v/>
      </c>
      <c r="AU272" s="19" t="b">
        <f t="shared" si="271"/>
        <v>1</v>
      </c>
      <c r="AV272" s="140" t="str">
        <f t="shared" si="311"/>
        <v/>
      </c>
      <c r="AW272" s="19" t="str">
        <f t="shared" si="272"/>
        <v/>
      </c>
      <c r="AX272" s="81">
        <f t="shared" si="273"/>
        <v>0</v>
      </c>
      <c r="AY272" s="81" t="str">
        <f t="shared" si="274"/>
        <v/>
      </c>
      <c r="AZ272" s="307" t="str">
        <f t="shared" si="304"/>
        <v/>
      </c>
      <c r="BA272" s="281" t="str">
        <f t="shared" si="312"/>
        <v/>
      </c>
      <c r="BB272" s="281" t="str">
        <f t="shared" si="313"/>
        <v/>
      </c>
      <c r="BC272" s="953"/>
      <c r="BD272" s="955"/>
      <c r="BE272" s="219" t="str">
        <f t="shared" si="275"/>
        <v>n/a</v>
      </c>
      <c r="BF272" s="215" t="b">
        <f t="shared" si="276"/>
        <v>0</v>
      </c>
      <c r="BG272" s="145" t="b">
        <f t="shared" si="277"/>
        <v>0</v>
      </c>
      <c r="BH272" s="145" t="b">
        <f t="shared" si="278"/>
        <v>0</v>
      </c>
      <c r="BI272" s="216" t="b">
        <f t="shared" si="279"/>
        <v>0</v>
      </c>
      <c r="BJ272" s="215" t="b">
        <f t="shared" si="280"/>
        <v>0</v>
      </c>
      <c r="BK272" s="145" t="b">
        <f t="shared" si="281"/>
        <v>0</v>
      </c>
      <c r="BL272" s="216" t="b">
        <f t="shared" si="282"/>
        <v>0</v>
      </c>
      <c r="BM272" s="217" t="str">
        <f t="shared" si="314"/>
        <v/>
      </c>
      <c r="BN272" s="146" t="str">
        <f t="shared" si="315"/>
        <v/>
      </c>
      <c r="BO272" s="147" t="str">
        <f t="shared" si="316"/>
        <v/>
      </c>
      <c r="BP272" s="148" t="str">
        <f t="shared" si="317"/>
        <v/>
      </c>
      <c r="BT272" s="50">
        <f t="shared" si="337"/>
        <v>249</v>
      </c>
      <c r="BU272" s="50" t="str">
        <f t="shared" si="333"/>
        <v>-</v>
      </c>
      <c r="BW272" s="340"/>
      <c r="BX272" s="333"/>
      <c r="BY272" s="333"/>
      <c r="BZ272" s="333"/>
      <c r="CA272" s="333"/>
      <c r="CB272" s="333"/>
      <c r="CC272" s="333"/>
      <c r="CD272" s="333"/>
      <c r="CE272" s="333"/>
      <c r="CF272" s="333"/>
      <c r="CG272" s="354">
        <f t="shared" si="283"/>
        <v>249</v>
      </c>
      <c r="CH272" s="613">
        <f t="shared" si="284"/>
        <v>0</v>
      </c>
      <c r="CI272" s="613">
        <f t="shared" si="285"/>
        <v>0</v>
      </c>
      <c r="CJ272" s="614" t="str">
        <f t="shared" si="286"/>
        <v/>
      </c>
      <c r="CK272" s="615" t="str">
        <f t="shared" si="287"/>
        <v/>
      </c>
      <c r="CL272" s="610" t="str">
        <f>IF(ISBLANK(H272),"",IF(AND(ISNUMBER(F272),ISNUMBER(G272),ISNUMBER(H272)),ROUND(F272/(H272*G272),2),ROUND(F272/(VALUE(LEFT(H272,SUM(LEN(H272)-LEN(SUBSTITUTE(H272,{"0","1","2","3","4","5","6","7","8","9","."},"")))))*G272),2)))</f>
        <v/>
      </c>
      <c r="CM272" s="616" t="str">
        <f t="shared" si="318"/>
        <v/>
      </c>
      <c r="CN272" s="616" t="str">
        <f>IF(ISNUMBER(P272),MAX('Adjustment factors'!$S$16,(0.2+0.8*P272)),IF(ISTEXT(N272),VLOOKUP(N272,Afactors,2,FALSE),""))</f>
        <v/>
      </c>
      <c r="CO272" s="616" t="str">
        <f>IF(ISNUMBER(S272),MAX('Adjustment factors'!$S$16,0.2+0.8*S272),IF(ISTEXT(Q272),VLOOKUP(Q272,Afactors,2,FALSE),""))</f>
        <v/>
      </c>
      <c r="CP272" s="611" t="str">
        <f t="shared" si="305"/>
        <v/>
      </c>
      <c r="CQ272" s="612" t="str">
        <f t="shared" si="306"/>
        <v/>
      </c>
      <c r="CR272" s="340"/>
      <c r="CS272" s="340"/>
      <c r="CT272" s="340"/>
      <c r="CU272" s="340"/>
      <c r="CV272" s="333"/>
      <c r="CW272" s="333"/>
      <c r="CX272" s="333"/>
      <c r="CY272" s="333"/>
      <c r="DA272" s="313" t="str">
        <f t="shared" si="288"/>
        <v>OK</v>
      </c>
      <c r="DB272" s="313" t="str">
        <f t="shared" si="289"/>
        <v>OK</v>
      </c>
      <c r="DC272" s="313" t="str">
        <f t="shared" si="290"/>
        <v>OK</v>
      </c>
      <c r="DD272" s="313" t="str">
        <f t="shared" si="291"/>
        <v>OK</v>
      </c>
      <c r="DE272" s="153" t="str">
        <f t="shared" si="292"/>
        <v>OK</v>
      </c>
      <c r="DF272" s="314" t="str">
        <f t="shared" si="293"/>
        <v>OK</v>
      </c>
      <c r="DG272" s="482" t="str">
        <f t="shared" si="307"/>
        <v>OK</v>
      </c>
      <c r="DH272" s="482" t="str">
        <f>IF(OR(AND(T272='Adjustment factors'!$R$28,'Class 3, 5-9'!U272='Adjustment factors'!$R$29),AND('Class 3, 5-9'!T272='Adjustment factors'!$R$29,'Class 3, 5-9'!U272='Adjustment factors'!$R$28)),"Invalid combination of adjustment factors",IF(AND(T272=U272,NOT(ISBLANK(T272)),NOT(ISBLANK(U272))),"Same colour factor selected twice","OK"))</f>
        <v>OK</v>
      </c>
      <c r="DI272" s="313" t="str">
        <f t="shared" si="294"/>
        <v>OK</v>
      </c>
      <c r="DJ272" s="153" t="str">
        <f t="shared" si="319"/>
        <v>OK</v>
      </c>
      <c r="DK272" s="153" t="str">
        <f t="shared" si="295"/>
        <v>OK</v>
      </c>
      <c r="DL272" s="313" t="str">
        <f t="shared" si="296"/>
        <v>OK</v>
      </c>
      <c r="DM272" s="153" t="str">
        <f t="shared" si="297"/>
        <v>OK</v>
      </c>
      <c r="DN272" s="153" t="str">
        <f t="shared" si="320"/>
        <v>OK</v>
      </c>
      <c r="DO272" s="154" t="str">
        <f t="shared" si="321"/>
        <v>OK</v>
      </c>
      <c r="DP272" s="153" t="str">
        <f t="shared" si="298"/>
        <v>OK</v>
      </c>
      <c r="DQ272" s="313" t="str">
        <f t="shared" si="299"/>
        <v>OK</v>
      </c>
      <c r="DR272" s="153" t="str">
        <f t="shared" si="322"/>
        <v>OK</v>
      </c>
      <c r="DS272" s="153" t="str">
        <f t="shared" si="300"/>
        <v>OK</v>
      </c>
      <c r="DT272" s="313" t="str">
        <f t="shared" si="338"/>
        <v>OK</v>
      </c>
      <c r="DU272" s="153" t="str">
        <f t="shared" si="301"/>
        <v>OK</v>
      </c>
      <c r="DV272" s="153" t="str">
        <f t="shared" si="323"/>
        <v>OK</v>
      </c>
      <c r="DW272" s="154" t="str">
        <f t="shared" si="324"/>
        <v>OK</v>
      </c>
      <c r="DX272" s="157">
        <f t="shared" si="325"/>
        <v>0</v>
      </c>
      <c r="DY272" s="156" t="str">
        <f t="shared" si="326"/>
        <v>OK</v>
      </c>
    </row>
    <row r="273" spans="1:129" ht="13" hidden="1" x14ac:dyDescent="0.3">
      <c r="A273" s="333"/>
      <c r="B273" s="333"/>
      <c r="C273" s="332" t="str">
        <f t="shared" si="334"/>
        <v>-</v>
      </c>
      <c r="D273" s="584">
        <f t="shared" si="336"/>
        <v>250</v>
      </c>
      <c r="E273" s="585"/>
      <c r="F273" s="586"/>
      <c r="G273" s="600"/>
      <c r="H273" s="587"/>
      <c r="I273" s="601"/>
      <c r="J273" s="585"/>
      <c r="K273" s="617"/>
      <c r="L273" s="602"/>
      <c r="M273" s="603"/>
      <c r="N273" s="588"/>
      <c r="O273" s="604"/>
      <c r="P273" s="605"/>
      <c r="Q273" s="588"/>
      <c r="R273" s="604"/>
      <c r="S273" s="605"/>
      <c r="T273" s="606"/>
      <c r="U273" s="606"/>
      <c r="V273" s="429" t="str">
        <f t="shared" si="331"/>
        <v/>
      </c>
      <c r="W273" s="430" t="str">
        <f t="shared" si="330"/>
        <v/>
      </c>
      <c r="X273" s="66" t="str">
        <f>IF(AND(ISNUMBER(P273),N273=FixedDim),MAX('Adjustment factors'!$S$16,0.2+0.8*P273),IF(ISTEXT(N273),VLOOKUP(N273,Afactors,2,TRUE),""))</f>
        <v/>
      </c>
      <c r="Y273" s="17" t="str">
        <f>IF(AND(ISNUMBER(S273),Q273=FixedDim),MAX('Adjustment factors'!$S$16,0.2+0.8*S273),IF(ISTEXT(Q273),VLOOKUP(Q273,Afactors,2,TRUE),""))</f>
        <v/>
      </c>
      <c r="Z273" s="297" t="str">
        <f>IF(ISBLANK(T273),"",VLOOKUP(T273,'Adjustment factors'!$R$27:$S$30,2,TRUE))</f>
        <v/>
      </c>
      <c r="AA273" s="297" t="str">
        <f>IF(ISBLANK(U273),"",VLOOKUP(U273,'Adjustment factors'!$R$27:$S$30,2,TRUE))</f>
        <v/>
      </c>
      <c r="AB273" s="480">
        <f t="shared" si="302"/>
        <v>1</v>
      </c>
      <c r="AC273" s="18" t="b">
        <f t="shared" si="259"/>
        <v>0</v>
      </c>
      <c r="AD273" s="18" t="b">
        <f t="shared" si="260"/>
        <v>0</v>
      </c>
      <c r="AE273" s="18" t="b">
        <f t="shared" si="327"/>
        <v>0</v>
      </c>
      <c r="AF273" s="17" t="str">
        <f t="shared" si="261"/>
        <v/>
      </c>
      <c r="AG273" s="18" t="str">
        <f t="shared" si="262"/>
        <v/>
      </c>
      <c r="AH273" s="17" t="str">
        <f t="shared" si="328"/>
        <v/>
      </c>
      <c r="AI273" s="297" t="e">
        <f t="shared" si="303"/>
        <v>#VALUE!</v>
      </c>
      <c r="AJ273" s="79" t="e">
        <f t="shared" si="263"/>
        <v>#VALUE!</v>
      </c>
      <c r="AK273" s="17" t="str">
        <f t="shared" si="329"/>
        <v/>
      </c>
      <c r="AL273" s="80" t="e">
        <f t="shared" si="264"/>
        <v>#VALUE!</v>
      </c>
      <c r="AM273" s="139" t="b">
        <f t="shared" si="265"/>
        <v>1</v>
      </c>
      <c r="AN273" s="139" t="b">
        <f>AND(COUNTA(E273)&gt;0,ISNUMBER(F273),OR(COUNT(G273:H273)=0,COUNT(G273:H273)=2,AND(ISNUMBER(G273),ISNUMBER(VALUE(LEFT(H273,SUM(LEN(H273)-LEN(SUBSTITUTE(H273,{"0","1","2","3","4","5","6","7","8","9","."},"")))))))),ISNUMBER(I273),ISTEXT(J273))</f>
        <v>0</v>
      </c>
      <c r="AO273" s="19" t="b">
        <f t="shared" si="266"/>
        <v>0</v>
      </c>
      <c r="AP273" s="19" t="b">
        <f t="shared" si="267"/>
        <v>1</v>
      </c>
      <c r="AQ273" s="19" t="b">
        <f>IF(AND(COUNTBLANK(E273:J273)=6,OR(AN274:AN$523)),NOT(AN273))</f>
        <v>0</v>
      </c>
      <c r="AR273" s="19" t="str">
        <f t="shared" si="268"/>
        <v/>
      </c>
      <c r="AS273" s="19" t="b">
        <f t="shared" si="269"/>
        <v>1</v>
      </c>
      <c r="AT273" s="19" t="str">
        <f t="shared" si="270"/>
        <v/>
      </c>
      <c r="AU273" s="19" t="b">
        <f t="shared" si="271"/>
        <v>1</v>
      </c>
      <c r="AV273" s="140" t="str">
        <f t="shared" si="311"/>
        <v/>
      </c>
      <c r="AW273" s="19" t="str">
        <f t="shared" si="272"/>
        <v/>
      </c>
      <c r="AX273" s="81">
        <f t="shared" si="273"/>
        <v>0</v>
      </c>
      <c r="AY273" s="81" t="str">
        <f t="shared" si="274"/>
        <v/>
      </c>
      <c r="AZ273" s="307" t="str">
        <f t="shared" si="304"/>
        <v/>
      </c>
      <c r="BA273" s="281" t="str">
        <f t="shared" si="312"/>
        <v/>
      </c>
      <c r="BB273" s="281" t="str">
        <f t="shared" si="313"/>
        <v/>
      </c>
      <c r="BC273" s="953"/>
      <c r="BD273" s="955"/>
      <c r="BE273" s="219" t="str">
        <f t="shared" si="275"/>
        <v>n/a</v>
      </c>
      <c r="BF273" s="215" t="b">
        <f t="shared" si="276"/>
        <v>0</v>
      </c>
      <c r="BG273" s="145" t="b">
        <f t="shared" si="277"/>
        <v>0</v>
      </c>
      <c r="BH273" s="145" t="b">
        <f t="shared" si="278"/>
        <v>0</v>
      </c>
      <c r="BI273" s="216" t="b">
        <f t="shared" si="279"/>
        <v>0</v>
      </c>
      <c r="BJ273" s="215" t="b">
        <f t="shared" si="280"/>
        <v>0</v>
      </c>
      <c r="BK273" s="145" t="b">
        <f t="shared" si="281"/>
        <v>0</v>
      </c>
      <c r="BL273" s="216" t="b">
        <f t="shared" si="282"/>
        <v>0</v>
      </c>
      <c r="BM273" s="217" t="str">
        <f t="shared" si="314"/>
        <v/>
      </c>
      <c r="BN273" s="146" t="str">
        <f t="shared" si="315"/>
        <v/>
      </c>
      <c r="BO273" s="147" t="str">
        <f t="shared" si="316"/>
        <v/>
      </c>
      <c r="BP273" s="148" t="str">
        <f t="shared" si="317"/>
        <v/>
      </c>
      <c r="BT273" s="50">
        <f t="shared" si="337"/>
        <v>250</v>
      </c>
      <c r="BU273" s="50" t="str">
        <f t="shared" si="333"/>
        <v>-</v>
      </c>
      <c r="BW273" s="340"/>
      <c r="BX273" s="333"/>
      <c r="BY273" s="333"/>
      <c r="BZ273" s="333"/>
      <c r="CA273" s="333"/>
      <c r="CB273" s="333"/>
      <c r="CC273" s="333"/>
      <c r="CD273" s="333"/>
      <c r="CE273" s="333"/>
      <c r="CF273" s="333"/>
      <c r="CG273" s="354">
        <f t="shared" si="283"/>
        <v>250</v>
      </c>
      <c r="CH273" s="613">
        <f t="shared" si="284"/>
        <v>0</v>
      </c>
      <c r="CI273" s="613">
        <f t="shared" si="285"/>
        <v>0</v>
      </c>
      <c r="CJ273" s="614" t="str">
        <f t="shared" si="286"/>
        <v/>
      </c>
      <c r="CK273" s="615" t="str">
        <f t="shared" si="287"/>
        <v/>
      </c>
      <c r="CL273" s="610" t="str">
        <f>IF(ISBLANK(H273),"",IF(AND(ISNUMBER(F273),ISNUMBER(G273),ISNUMBER(H273)),ROUND(F273/(H273*G273),2),ROUND(F273/(VALUE(LEFT(H273,SUM(LEN(H273)-LEN(SUBSTITUTE(H273,{"0","1","2","3","4","5","6","7","8","9","."},"")))))*G273),2)))</f>
        <v/>
      </c>
      <c r="CM273" s="616" t="str">
        <f t="shared" si="318"/>
        <v/>
      </c>
      <c r="CN273" s="616" t="str">
        <f>IF(ISNUMBER(P273),MAX('Adjustment factors'!$S$16,(0.2+0.8*P273)),IF(ISTEXT(N273),VLOOKUP(N273,Afactors,2,FALSE),""))</f>
        <v/>
      </c>
      <c r="CO273" s="616" t="str">
        <f>IF(ISNUMBER(S273),MAX('Adjustment factors'!$S$16,0.2+0.8*S273),IF(ISTEXT(Q273),VLOOKUP(Q273,Afactors,2,FALSE),""))</f>
        <v/>
      </c>
      <c r="CP273" s="611" t="str">
        <f t="shared" si="305"/>
        <v/>
      </c>
      <c r="CQ273" s="612" t="str">
        <f t="shared" si="306"/>
        <v/>
      </c>
      <c r="CR273" s="340"/>
      <c r="CS273" s="340"/>
      <c r="CT273" s="340"/>
      <c r="CU273" s="340"/>
      <c r="CV273" s="333"/>
      <c r="CW273" s="333"/>
      <c r="CX273" s="333"/>
      <c r="CY273" s="333"/>
      <c r="DA273" s="313" t="str">
        <f t="shared" si="288"/>
        <v>OK</v>
      </c>
      <c r="DB273" s="313" t="str">
        <f t="shared" si="289"/>
        <v>OK</v>
      </c>
      <c r="DC273" s="313" t="str">
        <f t="shared" si="290"/>
        <v>OK</v>
      </c>
      <c r="DD273" s="313" t="str">
        <f t="shared" si="291"/>
        <v>OK</v>
      </c>
      <c r="DE273" s="153" t="str">
        <f t="shared" si="292"/>
        <v>OK</v>
      </c>
      <c r="DF273" s="314" t="str">
        <f t="shared" si="293"/>
        <v>OK</v>
      </c>
      <c r="DG273" s="482" t="str">
        <f t="shared" si="307"/>
        <v>OK</v>
      </c>
      <c r="DH273" s="482" t="str">
        <f>IF(OR(AND(T273='Adjustment factors'!$R$28,'Class 3, 5-9'!U273='Adjustment factors'!$R$29),AND('Class 3, 5-9'!T273='Adjustment factors'!$R$29,'Class 3, 5-9'!U273='Adjustment factors'!$R$28)),"Invalid combination of adjustment factors",IF(AND(T273=U273,NOT(ISBLANK(T273)),NOT(ISBLANK(U273))),"Same colour factor selected twice","OK"))</f>
        <v>OK</v>
      </c>
      <c r="DI273" s="313" t="str">
        <f t="shared" si="294"/>
        <v>OK</v>
      </c>
      <c r="DJ273" s="153" t="str">
        <f t="shared" si="319"/>
        <v>OK</v>
      </c>
      <c r="DK273" s="153" t="str">
        <f t="shared" si="295"/>
        <v>OK</v>
      </c>
      <c r="DL273" s="313" t="str">
        <f t="shared" si="296"/>
        <v>OK</v>
      </c>
      <c r="DM273" s="153" t="str">
        <f t="shared" si="297"/>
        <v>OK</v>
      </c>
      <c r="DN273" s="153" t="str">
        <f t="shared" si="320"/>
        <v>OK</v>
      </c>
      <c r="DO273" s="154" t="str">
        <f t="shared" si="321"/>
        <v>OK</v>
      </c>
      <c r="DP273" s="153" t="str">
        <f t="shared" si="298"/>
        <v>OK</v>
      </c>
      <c r="DQ273" s="313" t="str">
        <f t="shared" si="299"/>
        <v>OK</v>
      </c>
      <c r="DR273" s="153" t="str">
        <f t="shared" si="322"/>
        <v>OK</v>
      </c>
      <c r="DS273" s="153" t="str">
        <f t="shared" si="300"/>
        <v>OK</v>
      </c>
      <c r="DT273" s="313" t="str">
        <f t="shared" si="338"/>
        <v>OK</v>
      </c>
      <c r="DU273" s="153" t="str">
        <f t="shared" si="301"/>
        <v>OK</v>
      </c>
      <c r="DV273" s="153" t="str">
        <f t="shared" si="323"/>
        <v>OK</v>
      </c>
      <c r="DW273" s="154" t="str">
        <f t="shared" si="324"/>
        <v>OK</v>
      </c>
      <c r="DX273" s="157">
        <f t="shared" si="325"/>
        <v>0</v>
      </c>
      <c r="DY273" s="156" t="str">
        <f t="shared" si="326"/>
        <v>OK</v>
      </c>
    </row>
    <row r="274" spans="1:129" ht="13" hidden="1" x14ac:dyDescent="0.3">
      <c r="A274" s="333"/>
      <c r="B274" s="333"/>
      <c r="C274" s="332" t="str">
        <f t="shared" si="334"/>
        <v>-</v>
      </c>
      <c r="D274" s="584">
        <f t="shared" si="336"/>
        <v>251</v>
      </c>
      <c r="E274" s="585"/>
      <c r="F274" s="586"/>
      <c r="G274" s="600"/>
      <c r="H274" s="587"/>
      <c r="I274" s="601"/>
      <c r="J274" s="585"/>
      <c r="K274" s="617"/>
      <c r="L274" s="602"/>
      <c r="M274" s="603"/>
      <c r="N274" s="588"/>
      <c r="O274" s="604"/>
      <c r="P274" s="605"/>
      <c r="Q274" s="588"/>
      <c r="R274" s="604"/>
      <c r="S274" s="605"/>
      <c r="T274" s="606"/>
      <c r="U274" s="606"/>
      <c r="V274" s="429" t="str">
        <f t="shared" si="331"/>
        <v/>
      </c>
      <c r="W274" s="430" t="str">
        <f t="shared" si="330"/>
        <v/>
      </c>
      <c r="X274" s="66" t="str">
        <f>IF(AND(ISNUMBER(P274),N274=FixedDim),MAX('Adjustment factors'!$S$16,0.2+0.8*P274),IF(ISTEXT(N274),VLOOKUP(N274,Afactors,2,TRUE),""))</f>
        <v/>
      </c>
      <c r="Y274" s="17" t="str">
        <f>IF(AND(ISNUMBER(S274),Q274=FixedDim),MAX('Adjustment factors'!$S$16,0.2+0.8*S274),IF(ISTEXT(Q274),VLOOKUP(Q274,Afactors,2,TRUE),""))</f>
        <v/>
      </c>
      <c r="Z274" s="297" t="str">
        <f>IF(ISBLANK(T274),"",VLOOKUP(T274,'Adjustment factors'!$R$27:$S$30,2,TRUE))</f>
        <v/>
      </c>
      <c r="AA274" s="297" t="str">
        <f>IF(ISBLANK(U274),"",VLOOKUP(U274,'Adjustment factors'!$R$27:$S$30,2,TRUE))</f>
        <v/>
      </c>
      <c r="AB274" s="480">
        <f t="shared" si="302"/>
        <v>1</v>
      </c>
      <c r="AC274" s="18" t="b">
        <f t="shared" si="259"/>
        <v>0</v>
      </c>
      <c r="AD274" s="18" t="b">
        <f t="shared" si="260"/>
        <v>0</v>
      </c>
      <c r="AE274" s="18" t="b">
        <f t="shared" si="327"/>
        <v>0</v>
      </c>
      <c r="AF274" s="17" t="str">
        <f t="shared" si="261"/>
        <v/>
      </c>
      <c r="AG274" s="18" t="str">
        <f t="shared" si="262"/>
        <v/>
      </c>
      <c r="AH274" s="17" t="str">
        <f t="shared" si="328"/>
        <v/>
      </c>
      <c r="AI274" s="297" t="e">
        <f t="shared" si="303"/>
        <v>#VALUE!</v>
      </c>
      <c r="AJ274" s="79" t="e">
        <f t="shared" si="263"/>
        <v>#VALUE!</v>
      </c>
      <c r="AK274" s="17" t="str">
        <f t="shared" si="329"/>
        <v/>
      </c>
      <c r="AL274" s="80" t="e">
        <f t="shared" si="264"/>
        <v>#VALUE!</v>
      </c>
      <c r="AM274" s="139" t="b">
        <f t="shared" si="265"/>
        <v>1</v>
      </c>
      <c r="AN274" s="139" t="b">
        <f>AND(COUNTA(E274)&gt;0,ISNUMBER(F274),OR(COUNT(G274:H274)=0,COUNT(G274:H274)=2,AND(ISNUMBER(G274),ISNUMBER(VALUE(LEFT(H274,SUM(LEN(H274)-LEN(SUBSTITUTE(H274,{"0","1","2","3","4","5","6","7","8","9","."},"")))))))),ISNUMBER(I274),ISTEXT(J274))</f>
        <v>0</v>
      </c>
      <c r="AO274" s="19" t="b">
        <f t="shared" si="266"/>
        <v>0</v>
      </c>
      <c r="AP274" s="19" t="b">
        <f t="shared" si="267"/>
        <v>1</v>
      </c>
      <c r="AQ274" s="19" t="b">
        <f>IF(AND(COUNTBLANK(E274:J274)=6,OR(AN275:AN$523)),NOT(AN274))</f>
        <v>0</v>
      </c>
      <c r="AR274" s="19" t="str">
        <f t="shared" si="268"/>
        <v/>
      </c>
      <c r="AS274" s="19" t="b">
        <f t="shared" si="269"/>
        <v>1</v>
      </c>
      <c r="AT274" s="19" t="str">
        <f t="shared" si="270"/>
        <v/>
      </c>
      <c r="AU274" s="19" t="b">
        <f t="shared" si="271"/>
        <v>1</v>
      </c>
      <c r="AV274" s="140" t="str">
        <f t="shared" si="311"/>
        <v/>
      </c>
      <c r="AW274" s="19" t="str">
        <f t="shared" si="272"/>
        <v/>
      </c>
      <c r="AX274" s="81">
        <f t="shared" si="273"/>
        <v>0</v>
      </c>
      <c r="AY274" s="81" t="str">
        <f t="shared" si="274"/>
        <v/>
      </c>
      <c r="AZ274" s="307" t="str">
        <f t="shared" si="304"/>
        <v/>
      </c>
      <c r="BA274" s="281" t="str">
        <f t="shared" si="312"/>
        <v/>
      </c>
      <c r="BB274" s="281" t="str">
        <f t="shared" si="313"/>
        <v/>
      </c>
      <c r="BC274" s="953"/>
      <c r="BD274" s="955"/>
      <c r="BE274" s="219" t="str">
        <f t="shared" si="275"/>
        <v>n/a</v>
      </c>
      <c r="BF274" s="215" t="b">
        <f t="shared" si="276"/>
        <v>0</v>
      </c>
      <c r="BG274" s="145" t="b">
        <f t="shared" si="277"/>
        <v>0</v>
      </c>
      <c r="BH274" s="145" t="b">
        <f t="shared" si="278"/>
        <v>0</v>
      </c>
      <c r="BI274" s="216" t="b">
        <f t="shared" si="279"/>
        <v>0</v>
      </c>
      <c r="BJ274" s="215" t="b">
        <f t="shared" si="280"/>
        <v>0</v>
      </c>
      <c r="BK274" s="145" t="b">
        <f t="shared" si="281"/>
        <v>0</v>
      </c>
      <c r="BL274" s="216" t="b">
        <f t="shared" si="282"/>
        <v>0</v>
      </c>
      <c r="BM274" s="217" t="str">
        <f t="shared" si="314"/>
        <v/>
      </c>
      <c r="BN274" s="146" t="str">
        <f t="shared" si="315"/>
        <v/>
      </c>
      <c r="BO274" s="147" t="str">
        <f t="shared" si="316"/>
        <v/>
      </c>
      <c r="BP274" s="148" t="str">
        <f t="shared" si="317"/>
        <v/>
      </c>
      <c r="BT274" s="50">
        <f t="shared" si="337"/>
        <v>251</v>
      </c>
      <c r="BU274" s="50" t="str">
        <f t="shared" si="333"/>
        <v>-</v>
      </c>
      <c r="BW274" s="340"/>
      <c r="BX274" s="333"/>
      <c r="BY274" s="333"/>
      <c r="BZ274" s="333"/>
      <c r="CA274" s="333"/>
      <c r="CB274" s="333"/>
      <c r="CC274" s="333"/>
      <c r="CD274" s="333"/>
      <c r="CE274" s="333"/>
      <c r="CF274" s="333"/>
      <c r="CG274" s="354">
        <f t="shared" si="283"/>
        <v>251</v>
      </c>
      <c r="CH274" s="613">
        <f t="shared" si="284"/>
        <v>0</v>
      </c>
      <c r="CI274" s="613">
        <f t="shared" si="285"/>
        <v>0</v>
      </c>
      <c r="CJ274" s="614" t="str">
        <f t="shared" si="286"/>
        <v/>
      </c>
      <c r="CK274" s="615" t="str">
        <f t="shared" si="287"/>
        <v/>
      </c>
      <c r="CL274" s="610" t="str">
        <f>IF(ISBLANK(H274),"",IF(AND(ISNUMBER(F274),ISNUMBER(G274),ISNUMBER(H274)),ROUND(F274/(H274*G274),2),ROUND(F274/(VALUE(LEFT(H274,SUM(LEN(H274)-LEN(SUBSTITUTE(H274,{"0","1","2","3","4","5","6","7","8","9","."},"")))))*G274),2)))</f>
        <v/>
      </c>
      <c r="CM274" s="616" t="str">
        <f t="shared" si="318"/>
        <v/>
      </c>
      <c r="CN274" s="616" t="str">
        <f>IF(ISNUMBER(P274),MAX('Adjustment factors'!$S$16,(0.2+0.8*P274)),IF(ISTEXT(N274),VLOOKUP(N274,Afactors,2,FALSE),""))</f>
        <v/>
      </c>
      <c r="CO274" s="616" t="str">
        <f>IF(ISNUMBER(S274),MAX('Adjustment factors'!$S$16,0.2+0.8*S274),IF(ISTEXT(Q274),VLOOKUP(Q274,Afactors,2,FALSE),""))</f>
        <v/>
      </c>
      <c r="CP274" s="611" t="str">
        <f t="shared" si="305"/>
        <v/>
      </c>
      <c r="CQ274" s="612" t="str">
        <f t="shared" si="306"/>
        <v/>
      </c>
      <c r="CR274" s="340"/>
      <c r="CS274" s="340"/>
      <c r="CT274" s="340"/>
      <c r="CU274" s="340"/>
      <c r="CV274" s="333"/>
      <c r="CW274" s="333"/>
      <c r="CX274" s="333"/>
      <c r="CY274" s="333"/>
      <c r="DA274" s="313" t="str">
        <f t="shared" si="288"/>
        <v>OK</v>
      </c>
      <c r="DB274" s="313" t="str">
        <f t="shared" si="289"/>
        <v>OK</v>
      </c>
      <c r="DC274" s="313" t="str">
        <f t="shared" si="290"/>
        <v>OK</v>
      </c>
      <c r="DD274" s="313" t="str">
        <f t="shared" si="291"/>
        <v>OK</v>
      </c>
      <c r="DE274" s="153" t="str">
        <f t="shared" si="292"/>
        <v>OK</v>
      </c>
      <c r="DF274" s="314" t="str">
        <f t="shared" si="293"/>
        <v>OK</v>
      </c>
      <c r="DG274" s="482" t="str">
        <f t="shared" si="307"/>
        <v>OK</v>
      </c>
      <c r="DH274" s="482" t="str">
        <f>IF(OR(AND(T274='Adjustment factors'!$R$28,'Class 3, 5-9'!U274='Adjustment factors'!$R$29),AND('Class 3, 5-9'!T274='Adjustment factors'!$R$29,'Class 3, 5-9'!U274='Adjustment factors'!$R$28)),"Invalid combination of adjustment factors",IF(AND(T274=U274,NOT(ISBLANK(T274)),NOT(ISBLANK(U274))),"Same colour factor selected twice","OK"))</f>
        <v>OK</v>
      </c>
      <c r="DI274" s="313" t="str">
        <f t="shared" si="294"/>
        <v>OK</v>
      </c>
      <c r="DJ274" s="153" t="str">
        <f t="shared" si="319"/>
        <v>OK</v>
      </c>
      <c r="DK274" s="153" t="str">
        <f t="shared" si="295"/>
        <v>OK</v>
      </c>
      <c r="DL274" s="313" t="str">
        <f t="shared" si="296"/>
        <v>OK</v>
      </c>
      <c r="DM274" s="153" t="str">
        <f t="shared" si="297"/>
        <v>OK</v>
      </c>
      <c r="DN274" s="153" t="str">
        <f t="shared" si="320"/>
        <v>OK</v>
      </c>
      <c r="DO274" s="154" t="str">
        <f t="shared" si="321"/>
        <v>OK</v>
      </c>
      <c r="DP274" s="153" t="str">
        <f t="shared" si="298"/>
        <v>OK</v>
      </c>
      <c r="DQ274" s="313" t="str">
        <f t="shared" si="299"/>
        <v>OK</v>
      </c>
      <c r="DR274" s="153" t="str">
        <f t="shared" si="322"/>
        <v>OK</v>
      </c>
      <c r="DS274" s="153" t="str">
        <f t="shared" si="300"/>
        <v>OK</v>
      </c>
      <c r="DT274" s="313" t="str">
        <f t="shared" si="338"/>
        <v>OK</v>
      </c>
      <c r="DU274" s="153" t="str">
        <f t="shared" si="301"/>
        <v>OK</v>
      </c>
      <c r="DV274" s="153" t="str">
        <f t="shared" si="323"/>
        <v>OK</v>
      </c>
      <c r="DW274" s="154" t="str">
        <f t="shared" si="324"/>
        <v>OK</v>
      </c>
      <c r="DX274" s="157">
        <f t="shared" si="325"/>
        <v>0</v>
      </c>
      <c r="DY274" s="156" t="str">
        <f t="shared" si="326"/>
        <v>OK</v>
      </c>
    </row>
    <row r="275" spans="1:129" ht="13" hidden="1" x14ac:dyDescent="0.3">
      <c r="A275" s="333"/>
      <c r="B275" s="333"/>
      <c r="C275" s="332" t="str">
        <f t="shared" si="334"/>
        <v>-</v>
      </c>
      <c r="D275" s="584">
        <f t="shared" si="336"/>
        <v>252</v>
      </c>
      <c r="E275" s="585"/>
      <c r="F275" s="586"/>
      <c r="G275" s="600"/>
      <c r="H275" s="587"/>
      <c r="I275" s="601"/>
      <c r="J275" s="585"/>
      <c r="K275" s="617"/>
      <c r="L275" s="602"/>
      <c r="M275" s="603"/>
      <c r="N275" s="588"/>
      <c r="O275" s="604"/>
      <c r="P275" s="605"/>
      <c r="Q275" s="588"/>
      <c r="R275" s="604"/>
      <c r="S275" s="605"/>
      <c r="T275" s="606"/>
      <c r="U275" s="606"/>
      <c r="V275" s="429" t="str">
        <f t="shared" si="331"/>
        <v/>
      </c>
      <c r="W275" s="430" t="str">
        <f t="shared" si="330"/>
        <v/>
      </c>
      <c r="X275" s="66" t="str">
        <f>IF(AND(ISNUMBER(P275),N275=FixedDim),MAX('Adjustment factors'!$S$16,0.2+0.8*P275),IF(ISTEXT(N275),VLOOKUP(N275,Afactors,2,TRUE),""))</f>
        <v/>
      </c>
      <c r="Y275" s="17" t="str">
        <f>IF(AND(ISNUMBER(S275),Q275=FixedDim),MAX('Adjustment factors'!$S$16,0.2+0.8*S275),IF(ISTEXT(Q275),VLOOKUP(Q275,Afactors,2,TRUE),""))</f>
        <v/>
      </c>
      <c r="Z275" s="297" t="str">
        <f>IF(ISBLANK(T275),"",VLOOKUP(T275,'Adjustment factors'!$R$27:$S$30,2,TRUE))</f>
        <v/>
      </c>
      <c r="AA275" s="297" t="str">
        <f>IF(ISBLANK(U275),"",VLOOKUP(U275,'Adjustment factors'!$R$27:$S$30,2,TRUE))</f>
        <v/>
      </c>
      <c r="AB275" s="480">
        <f t="shared" si="302"/>
        <v>1</v>
      </c>
      <c r="AC275" s="18" t="b">
        <f t="shared" si="259"/>
        <v>0</v>
      </c>
      <c r="AD275" s="18" t="b">
        <f t="shared" si="260"/>
        <v>0</v>
      </c>
      <c r="AE275" s="18" t="b">
        <f t="shared" si="327"/>
        <v>0</v>
      </c>
      <c r="AF275" s="17" t="str">
        <f t="shared" si="261"/>
        <v/>
      </c>
      <c r="AG275" s="18" t="str">
        <f t="shared" si="262"/>
        <v/>
      </c>
      <c r="AH275" s="17" t="str">
        <f t="shared" si="328"/>
        <v/>
      </c>
      <c r="AI275" s="297" t="e">
        <f t="shared" si="303"/>
        <v>#VALUE!</v>
      </c>
      <c r="AJ275" s="79" t="e">
        <f t="shared" si="263"/>
        <v>#VALUE!</v>
      </c>
      <c r="AK275" s="17" t="str">
        <f t="shared" si="329"/>
        <v/>
      </c>
      <c r="AL275" s="80" t="e">
        <f t="shared" si="264"/>
        <v>#VALUE!</v>
      </c>
      <c r="AM275" s="139" t="b">
        <f t="shared" si="265"/>
        <v>1</v>
      </c>
      <c r="AN275" s="139" t="b">
        <f>AND(COUNTA(E275)&gt;0,ISNUMBER(F275),OR(COUNT(G275:H275)=0,COUNT(G275:H275)=2,AND(ISNUMBER(G275),ISNUMBER(VALUE(LEFT(H275,SUM(LEN(H275)-LEN(SUBSTITUTE(H275,{"0","1","2","3","4","5","6","7","8","9","."},"")))))))),ISNUMBER(I275),ISTEXT(J275))</f>
        <v>0</v>
      </c>
      <c r="AO275" s="19" t="b">
        <f t="shared" si="266"/>
        <v>0</v>
      </c>
      <c r="AP275" s="19" t="b">
        <f t="shared" si="267"/>
        <v>1</v>
      </c>
      <c r="AQ275" s="19" t="b">
        <f>IF(AND(COUNTBLANK(E275:J275)=6,OR(AN276:AN$523)),NOT(AN275))</f>
        <v>0</v>
      </c>
      <c r="AR275" s="19" t="str">
        <f t="shared" si="268"/>
        <v/>
      </c>
      <c r="AS275" s="19" t="b">
        <f t="shared" si="269"/>
        <v>1</v>
      </c>
      <c r="AT275" s="19" t="str">
        <f t="shared" si="270"/>
        <v/>
      </c>
      <c r="AU275" s="19" t="b">
        <f t="shared" si="271"/>
        <v>1</v>
      </c>
      <c r="AV275" s="140" t="str">
        <f t="shared" si="311"/>
        <v/>
      </c>
      <c r="AW275" s="19" t="str">
        <f t="shared" si="272"/>
        <v/>
      </c>
      <c r="AX275" s="81">
        <f t="shared" si="273"/>
        <v>0</v>
      </c>
      <c r="AY275" s="81" t="str">
        <f t="shared" si="274"/>
        <v/>
      </c>
      <c r="AZ275" s="307" t="str">
        <f t="shared" si="304"/>
        <v/>
      </c>
      <c r="BA275" s="281" t="str">
        <f t="shared" si="312"/>
        <v/>
      </c>
      <c r="BB275" s="281" t="str">
        <f t="shared" si="313"/>
        <v/>
      </c>
      <c r="BC275" s="953"/>
      <c r="BD275" s="955"/>
      <c r="BE275" s="219" t="str">
        <f t="shared" si="275"/>
        <v>n/a</v>
      </c>
      <c r="BF275" s="215" t="b">
        <f t="shared" si="276"/>
        <v>0</v>
      </c>
      <c r="BG275" s="145" t="b">
        <f t="shared" si="277"/>
        <v>0</v>
      </c>
      <c r="BH275" s="145" t="b">
        <f t="shared" si="278"/>
        <v>0</v>
      </c>
      <c r="BI275" s="216" t="b">
        <f t="shared" si="279"/>
        <v>0</v>
      </c>
      <c r="BJ275" s="215" t="b">
        <f t="shared" si="280"/>
        <v>0</v>
      </c>
      <c r="BK275" s="145" t="b">
        <f t="shared" si="281"/>
        <v>0</v>
      </c>
      <c r="BL275" s="216" t="b">
        <f t="shared" si="282"/>
        <v>0</v>
      </c>
      <c r="BM275" s="217" t="str">
        <f t="shared" si="314"/>
        <v/>
      </c>
      <c r="BN275" s="146" t="str">
        <f t="shared" si="315"/>
        <v/>
      </c>
      <c r="BO275" s="147" t="str">
        <f t="shared" si="316"/>
        <v/>
      </c>
      <c r="BP275" s="148" t="str">
        <f t="shared" si="317"/>
        <v/>
      </c>
      <c r="BT275" s="50">
        <f t="shared" si="337"/>
        <v>252</v>
      </c>
      <c r="BU275" s="50" t="str">
        <f t="shared" si="333"/>
        <v>-</v>
      </c>
      <c r="BW275" s="340"/>
      <c r="BX275" s="333"/>
      <c r="BY275" s="333"/>
      <c r="BZ275" s="333"/>
      <c r="CA275" s="333"/>
      <c r="CB275" s="333"/>
      <c r="CC275" s="333"/>
      <c r="CD275" s="333"/>
      <c r="CE275" s="333"/>
      <c r="CF275" s="333"/>
      <c r="CG275" s="354">
        <f t="shared" si="283"/>
        <v>252</v>
      </c>
      <c r="CH275" s="613">
        <f t="shared" si="284"/>
        <v>0</v>
      </c>
      <c r="CI275" s="613">
        <f t="shared" si="285"/>
        <v>0</v>
      </c>
      <c r="CJ275" s="614" t="str">
        <f t="shared" si="286"/>
        <v/>
      </c>
      <c r="CK275" s="615" t="str">
        <f t="shared" si="287"/>
        <v/>
      </c>
      <c r="CL275" s="610" t="str">
        <f>IF(ISBLANK(H275),"",IF(AND(ISNUMBER(F275),ISNUMBER(G275),ISNUMBER(H275)),ROUND(F275/(H275*G275),2),ROUND(F275/(VALUE(LEFT(H275,SUM(LEN(H275)-LEN(SUBSTITUTE(H275,{"0","1","2","3","4","5","6","7","8","9","."},"")))))*G275),2)))</f>
        <v/>
      </c>
      <c r="CM275" s="616" t="str">
        <f t="shared" si="318"/>
        <v/>
      </c>
      <c r="CN275" s="616" t="str">
        <f>IF(ISNUMBER(P275),MAX('Adjustment factors'!$S$16,(0.2+0.8*P275)),IF(ISTEXT(N275),VLOOKUP(N275,Afactors,2,FALSE),""))</f>
        <v/>
      </c>
      <c r="CO275" s="616" t="str">
        <f>IF(ISNUMBER(S275),MAX('Adjustment factors'!$S$16,0.2+0.8*S275),IF(ISTEXT(Q275),VLOOKUP(Q275,Afactors,2,FALSE),""))</f>
        <v/>
      </c>
      <c r="CP275" s="611" t="str">
        <f t="shared" si="305"/>
        <v/>
      </c>
      <c r="CQ275" s="612" t="str">
        <f t="shared" si="306"/>
        <v/>
      </c>
      <c r="CR275" s="340"/>
      <c r="CS275" s="340"/>
      <c r="CT275" s="340"/>
      <c r="CU275" s="340"/>
      <c r="CV275" s="333"/>
      <c r="CW275" s="333"/>
      <c r="CX275" s="333"/>
      <c r="CY275" s="333"/>
      <c r="DA275" s="313" t="str">
        <f t="shared" si="288"/>
        <v>OK</v>
      </c>
      <c r="DB275" s="313" t="str">
        <f t="shared" si="289"/>
        <v>OK</v>
      </c>
      <c r="DC275" s="313" t="str">
        <f t="shared" si="290"/>
        <v>OK</v>
      </c>
      <c r="DD275" s="313" t="str">
        <f t="shared" si="291"/>
        <v>OK</v>
      </c>
      <c r="DE275" s="153" t="str">
        <f t="shared" si="292"/>
        <v>OK</v>
      </c>
      <c r="DF275" s="314" t="str">
        <f t="shared" si="293"/>
        <v>OK</v>
      </c>
      <c r="DG275" s="482" t="str">
        <f t="shared" si="307"/>
        <v>OK</v>
      </c>
      <c r="DH275" s="482" t="str">
        <f>IF(OR(AND(T275='Adjustment factors'!$R$28,'Class 3, 5-9'!U275='Adjustment factors'!$R$29),AND('Class 3, 5-9'!T275='Adjustment factors'!$R$29,'Class 3, 5-9'!U275='Adjustment factors'!$R$28)),"Invalid combination of adjustment factors",IF(AND(T275=U275,NOT(ISBLANK(T275)),NOT(ISBLANK(U275))),"Same colour factor selected twice","OK"))</f>
        <v>OK</v>
      </c>
      <c r="DI275" s="313" t="str">
        <f t="shared" si="294"/>
        <v>OK</v>
      </c>
      <c r="DJ275" s="153" t="str">
        <f t="shared" si="319"/>
        <v>OK</v>
      </c>
      <c r="DK275" s="153" t="str">
        <f t="shared" si="295"/>
        <v>OK</v>
      </c>
      <c r="DL275" s="313" t="str">
        <f t="shared" si="296"/>
        <v>OK</v>
      </c>
      <c r="DM275" s="153" t="str">
        <f t="shared" si="297"/>
        <v>OK</v>
      </c>
      <c r="DN275" s="153" t="str">
        <f t="shared" si="320"/>
        <v>OK</v>
      </c>
      <c r="DO275" s="154" t="str">
        <f t="shared" si="321"/>
        <v>OK</v>
      </c>
      <c r="DP275" s="153" t="str">
        <f t="shared" si="298"/>
        <v>OK</v>
      </c>
      <c r="DQ275" s="313" t="str">
        <f t="shared" si="299"/>
        <v>OK</v>
      </c>
      <c r="DR275" s="153" t="str">
        <f t="shared" si="322"/>
        <v>OK</v>
      </c>
      <c r="DS275" s="153" t="str">
        <f t="shared" si="300"/>
        <v>OK</v>
      </c>
      <c r="DT275" s="313" t="str">
        <f t="shared" si="338"/>
        <v>OK</v>
      </c>
      <c r="DU275" s="153" t="str">
        <f t="shared" si="301"/>
        <v>OK</v>
      </c>
      <c r="DV275" s="153" t="str">
        <f t="shared" si="323"/>
        <v>OK</v>
      </c>
      <c r="DW275" s="154" t="str">
        <f t="shared" si="324"/>
        <v>OK</v>
      </c>
      <c r="DX275" s="157">
        <f t="shared" si="325"/>
        <v>0</v>
      </c>
      <c r="DY275" s="156" t="str">
        <f t="shared" si="326"/>
        <v>OK</v>
      </c>
    </row>
    <row r="276" spans="1:129" ht="13" hidden="1" x14ac:dyDescent="0.3">
      <c r="A276" s="333"/>
      <c r="B276" s="333"/>
      <c r="C276" s="332" t="str">
        <f t="shared" si="334"/>
        <v>-</v>
      </c>
      <c r="D276" s="584">
        <f t="shared" si="336"/>
        <v>253</v>
      </c>
      <c r="E276" s="585"/>
      <c r="F276" s="586"/>
      <c r="G276" s="600"/>
      <c r="H276" s="587"/>
      <c r="I276" s="601"/>
      <c r="J276" s="585"/>
      <c r="K276" s="617"/>
      <c r="L276" s="602"/>
      <c r="M276" s="603"/>
      <c r="N276" s="588"/>
      <c r="O276" s="604"/>
      <c r="P276" s="605"/>
      <c r="Q276" s="588"/>
      <c r="R276" s="604"/>
      <c r="S276" s="605"/>
      <c r="T276" s="606"/>
      <c r="U276" s="606"/>
      <c r="V276" s="429" t="str">
        <f t="shared" si="331"/>
        <v/>
      </c>
      <c r="W276" s="430" t="str">
        <f t="shared" si="330"/>
        <v/>
      </c>
      <c r="X276" s="66" t="str">
        <f>IF(AND(ISNUMBER(P276),N276=FixedDim),MAX('Adjustment factors'!$S$16,0.2+0.8*P276),IF(ISTEXT(N276),VLOOKUP(N276,Afactors,2,TRUE),""))</f>
        <v/>
      </c>
      <c r="Y276" s="17" t="str">
        <f>IF(AND(ISNUMBER(S276),Q276=FixedDim),MAX('Adjustment factors'!$S$16,0.2+0.8*S276),IF(ISTEXT(Q276),VLOOKUP(Q276,Afactors,2,TRUE),""))</f>
        <v/>
      </c>
      <c r="Z276" s="297" t="str">
        <f>IF(ISBLANK(T276),"",VLOOKUP(T276,'Adjustment factors'!$R$27:$S$30,2,TRUE))</f>
        <v/>
      </c>
      <c r="AA276" s="297" t="str">
        <f>IF(ISBLANK(U276),"",VLOOKUP(U276,'Adjustment factors'!$R$27:$S$30,2,TRUE))</f>
        <v/>
      </c>
      <c r="AB276" s="480">
        <f t="shared" si="302"/>
        <v>1</v>
      </c>
      <c r="AC276" s="18" t="b">
        <f t="shared" si="259"/>
        <v>0</v>
      </c>
      <c r="AD276" s="18" t="b">
        <f t="shared" si="260"/>
        <v>0</v>
      </c>
      <c r="AE276" s="18" t="b">
        <f t="shared" si="327"/>
        <v>0</v>
      </c>
      <c r="AF276" s="17" t="str">
        <f t="shared" si="261"/>
        <v/>
      </c>
      <c r="AG276" s="18" t="str">
        <f t="shared" si="262"/>
        <v/>
      </c>
      <c r="AH276" s="17" t="str">
        <f t="shared" si="328"/>
        <v/>
      </c>
      <c r="AI276" s="297" t="e">
        <f t="shared" si="303"/>
        <v>#VALUE!</v>
      </c>
      <c r="AJ276" s="79" t="e">
        <f t="shared" si="263"/>
        <v>#VALUE!</v>
      </c>
      <c r="AK276" s="17" t="str">
        <f t="shared" si="329"/>
        <v/>
      </c>
      <c r="AL276" s="80" t="e">
        <f t="shared" si="264"/>
        <v>#VALUE!</v>
      </c>
      <c r="AM276" s="139" t="b">
        <f t="shared" si="265"/>
        <v>1</v>
      </c>
      <c r="AN276" s="139" t="b">
        <f>AND(COUNTA(E276)&gt;0,ISNUMBER(F276),OR(COUNT(G276:H276)=0,COUNT(G276:H276)=2,AND(ISNUMBER(G276),ISNUMBER(VALUE(LEFT(H276,SUM(LEN(H276)-LEN(SUBSTITUTE(H276,{"0","1","2","3","4","5","6","7","8","9","."},"")))))))),ISNUMBER(I276),ISTEXT(J276))</f>
        <v>0</v>
      </c>
      <c r="AO276" s="19" t="b">
        <f t="shared" si="266"/>
        <v>0</v>
      </c>
      <c r="AP276" s="19" t="b">
        <f t="shared" si="267"/>
        <v>1</v>
      </c>
      <c r="AQ276" s="19" t="b">
        <f>IF(AND(COUNTBLANK(E276:J276)=6,OR(AN277:AN$523)),NOT(AN276))</f>
        <v>0</v>
      </c>
      <c r="AR276" s="19" t="str">
        <f t="shared" si="268"/>
        <v/>
      </c>
      <c r="AS276" s="19" t="b">
        <f t="shared" si="269"/>
        <v>1</v>
      </c>
      <c r="AT276" s="19" t="str">
        <f t="shared" si="270"/>
        <v/>
      </c>
      <c r="AU276" s="19" t="b">
        <f t="shared" si="271"/>
        <v>1</v>
      </c>
      <c r="AV276" s="140" t="str">
        <f t="shared" si="311"/>
        <v/>
      </c>
      <c r="AW276" s="19" t="str">
        <f t="shared" si="272"/>
        <v/>
      </c>
      <c r="AX276" s="81">
        <f t="shared" si="273"/>
        <v>0</v>
      </c>
      <c r="AY276" s="81" t="str">
        <f t="shared" si="274"/>
        <v/>
      </c>
      <c r="AZ276" s="307" t="str">
        <f t="shared" si="304"/>
        <v/>
      </c>
      <c r="BA276" s="281" t="str">
        <f t="shared" si="312"/>
        <v/>
      </c>
      <c r="BB276" s="281" t="str">
        <f t="shared" si="313"/>
        <v/>
      </c>
      <c r="BC276" s="953"/>
      <c r="BD276" s="955"/>
      <c r="BE276" s="219" t="str">
        <f t="shared" si="275"/>
        <v>n/a</v>
      </c>
      <c r="BF276" s="215" t="b">
        <f t="shared" si="276"/>
        <v>0</v>
      </c>
      <c r="BG276" s="145" t="b">
        <f t="shared" si="277"/>
        <v>0</v>
      </c>
      <c r="BH276" s="145" t="b">
        <f t="shared" si="278"/>
        <v>0</v>
      </c>
      <c r="BI276" s="216" t="b">
        <f t="shared" si="279"/>
        <v>0</v>
      </c>
      <c r="BJ276" s="215" t="b">
        <f t="shared" si="280"/>
        <v>0</v>
      </c>
      <c r="BK276" s="145" t="b">
        <f t="shared" si="281"/>
        <v>0</v>
      </c>
      <c r="BL276" s="216" t="b">
        <f t="shared" si="282"/>
        <v>0</v>
      </c>
      <c r="BM276" s="217" t="str">
        <f t="shared" si="314"/>
        <v/>
      </c>
      <c r="BN276" s="146" t="str">
        <f t="shared" si="315"/>
        <v/>
      </c>
      <c r="BO276" s="147" t="str">
        <f t="shared" si="316"/>
        <v/>
      </c>
      <c r="BP276" s="148" t="str">
        <f t="shared" si="317"/>
        <v/>
      </c>
      <c r="BT276" s="50">
        <f t="shared" si="337"/>
        <v>253</v>
      </c>
      <c r="BU276" s="50" t="str">
        <f t="shared" si="333"/>
        <v>-</v>
      </c>
      <c r="BW276" s="340"/>
      <c r="BX276" s="333"/>
      <c r="BY276" s="333"/>
      <c r="BZ276" s="333"/>
      <c r="CA276" s="333"/>
      <c r="CB276" s="333"/>
      <c r="CC276" s="333"/>
      <c r="CD276" s="333"/>
      <c r="CE276" s="333"/>
      <c r="CF276" s="333"/>
      <c r="CG276" s="354">
        <f t="shared" si="283"/>
        <v>253</v>
      </c>
      <c r="CH276" s="613">
        <f t="shared" si="284"/>
        <v>0</v>
      </c>
      <c r="CI276" s="613">
        <f t="shared" si="285"/>
        <v>0</v>
      </c>
      <c r="CJ276" s="614" t="str">
        <f t="shared" si="286"/>
        <v/>
      </c>
      <c r="CK276" s="615" t="str">
        <f t="shared" si="287"/>
        <v/>
      </c>
      <c r="CL276" s="610" t="str">
        <f>IF(ISBLANK(H276),"",IF(AND(ISNUMBER(F276),ISNUMBER(G276),ISNUMBER(H276)),ROUND(F276/(H276*G276),2),ROUND(F276/(VALUE(LEFT(H276,SUM(LEN(H276)-LEN(SUBSTITUTE(H276,{"0","1","2","3","4","5","6","7","8","9","."},"")))))*G276),2)))</f>
        <v/>
      </c>
      <c r="CM276" s="616" t="str">
        <f t="shared" si="318"/>
        <v/>
      </c>
      <c r="CN276" s="616" t="str">
        <f>IF(ISNUMBER(P276),MAX('Adjustment factors'!$S$16,(0.2+0.8*P276)),IF(ISTEXT(N276),VLOOKUP(N276,Afactors,2,FALSE),""))</f>
        <v/>
      </c>
      <c r="CO276" s="616" t="str">
        <f>IF(ISNUMBER(S276),MAX('Adjustment factors'!$S$16,0.2+0.8*S276),IF(ISTEXT(Q276),VLOOKUP(Q276,Afactors,2,FALSE),""))</f>
        <v/>
      </c>
      <c r="CP276" s="611" t="str">
        <f t="shared" si="305"/>
        <v/>
      </c>
      <c r="CQ276" s="612" t="str">
        <f t="shared" si="306"/>
        <v/>
      </c>
      <c r="CR276" s="340"/>
      <c r="CS276" s="340"/>
      <c r="CT276" s="340"/>
      <c r="CU276" s="340"/>
      <c r="CV276" s="333"/>
      <c r="CW276" s="333"/>
      <c r="CX276" s="333"/>
      <c r="CY276" s="333"/>
      <c r="DA276" s="313" t="str">
        <f t="shared" si="288"/>
        <v>OK</v>
      </c>
      <c r="DB276" s="313" t="str">
        <f t="shared" si="289"/>
        <v>OK</v>
      </c>
      <c r="DC276" s="313" t="str">
        <f t="shared" si="290"/>
        <v>OK</v>
      </c>
      <c r="DD276" s="313" t="str">
        <f t="shared" si="291"/>
        <v>OK</v>
      </c>
      <c r="DE276" s="153" t="str">
        <f t="shared" si="292"/>
        <v>OK</v>
      </c>
      <c r="DF276" s="314" t="str">
        <f t="shared" si="293"/>
        <v>OK</v>
      </c>
      <c r="DG276" s="482" t="str">
        <f t="shared" si="307"/>
        <v>OK</v>
      </c>
      <c r="DH276" s="482" t="str">
        <f>IF(OR(AND(T276='Adjustment factors'!$R$28,'Class 3, 5-9'!U276='Adjustment factors'!$R$29),AND('Class 3, 5-9'!T276='Adjustment factors'!$R$29,'Class 3, 5-9'!U276='Adjustment factors'!$R$28)),"Invalid combination of adjustment factors",IF(AND(T276=U276,NOT(ISBLANK(T276)),NOT(ISBLANK(U276))),"Same colour factor selected twice","OK"))</f>
        <v>OK</v>
      </c>
      <c r="DI276" s="313" t="str">
        <f t="shared" si="294"/>
        <v>OK</v>
      </c>
      <c r="DJ276" s="153" t="str">
        <f t="shared" si="319"/>
        <v>OK</v>
      </c>
      <c r="DK276" s="153" t="str">
        <f t="shared" si="295"/>
        <v>OK</v>
      </c>
      <c r="DL276" s="313" t="str">
        <f t="shared" si="296"/>
        <v>OK</v>
      </c>
      <c r="DM276" s="153" t="str">
        <f t="shared" si="297"/>
        <v>OK</v>
      </c>
      <c r="DN276" s="153" t="str">
        <f t="shared" si="320"/>
        <v>OK</v>
      </c>
      <c r="DO276" s="154" t="str">
        <f t="shared" si="321"/>
        <v>OK</v>
      </c>
      <c r="DP276" s="153" t="str">
        <f t="shared" si="298"/>
        <v>OK</v>
      </c>
      <c r="DQ276" s="313" t="str">
        <f t="shared" si="299"/>
        <v>OK</v>
      </c>
      <c r="DR276" s="153" t="str">
        <f t="shared" si="322"/>
        <v>OK</v>
      </c>
      <c r="DS276" s="153" t="str">
        <f t="shared" si="300"/>
        <v>OK</v>
      </c>
      <c r="DT276" s="313" t="str">
        <f t="shared" si="338"/>
        <v>OK</v>
      </c>
      <c r="DU276" s="153" t="str">
        <f t="shared" si="301"/>
        <v>OK</v>
      </c>
      <c r="DV276" s="153" t="str">
        <f t="shared" si="323"/>
        <v>OK</v>
      </c>
      <c r="DW276" s="154" t="str">
        <f t="shared" si="324"/>
        <v>OK</v>
      </c>
      <c r="DX276" s="157">
        <f t="shared" si="325"/>
        <v>0</v>
      </c>
      <c r="DY276" s="156" t="str">
        <f t="shared" si="326"/>
        <v>OK</v>
      </c>
    </row>
    <row r="277" spans="1:129" ht="13" hidden="1" x14ac:dyDescent="0.3">
      <c r="A277" s="333"/>
      <c r="B277" s="333"/>
      <c r="C277" s="332" t="str">
        <f t="shared" si="334"/>
        <v>-</v>
      </c>
      <c r="D277" s="584">
        <f t="shared" si="336"/>
        <v>254</v>
      </c>
      <c r="E277" s="585"/>
      <c r="F277" s="586"/>
      <c r="G277" s="600"/>
      <c r="H277" s="587"/>
      <c r="I277" s="601"/>
      <c r="J277" s="585"/>
      <c r="K277" s="617"/>
      <c r="L277" s="602"/>
      <c r="M277" s="603"/>
      <c r="N277" s="588"/>
      <c r="O277" s="604"/>
      <c r="P277" s="605"/>
      <c r="Q277" s="588"/>
      <c r="R277" s="604"/>
      <c r="S277" s="605"/>
      <c r="T277" s="606"/>
      <c r="U277" s="606"/>
      <c r="V277" s="429" t="str">
        <f t="shared" si="331"/>
        <v/>
      </c>
      <c r="W277" s="430" t="str">
        <f t="shared" si="330"/>
        <v/>
      </c>
      <c r="X277" s="66" t="str">
        <f>IF(AND(ISNUMBER(P277),N277=FixedDim),MAX('Adjustment factors'!$S$16,0.2+0.8*P277),IF(ISTEXT(N277),VLOOKUP(N277,Afactors,2,TRUE),""))</f>
        <v/>
      </c>
      <c r="Y277" s="17" t="str">
        <f>IF(AND(ISNUMBER(S277),Q277=FixedDim),MAX('Adjustment factors'!$S$16,0.2+0.8*S277),IF(ISTEXT(Q277),VLOOKUP(Q277,Afactors,2,TRUE),""))</f>
        <v/>
      </c>
      <c r="Z277" s="297" t="str">
        <f>IF(ISBLANK(T277),"",VLOOKUP(T277,'Adjustment factors'!$R$27:$S$30,2,TRUE))</f>
        <v/>
      </c>
      <c r="AA277" s="297" t="str">
        <f>IF(ISBLANK(U277),"",VLOOKUP(U277,'Adjustment factors'!$R$27:$S$30,2,TRUE))</f>
        <v/>
      </c>
      <c r="AB277" s="480">
        <f t="shared" si="302"/>
        <v>1</v>
      </c>
      <c r="AC277" s="18" t="b">
        <f t="shared" si="259"/>
        <v>0</v>
      </c>
      <c r="AD277" s="18" t="b">
        <f t="shared" si="260"/>
        <v>0</v>
      </c>
      <c r="AE277" s="18" t="b">
        <f t="shared" si="327"/>
        <v>0</v>
      </c>
      <c r="AF277" s="17" t="str">
        <f t="shared" si="261"/>
        <v/>
      </c>
      <c r="AG277" s="18" t="str">
        <f t="shared" si="262"/>
        <v/>
      </c>
      <c r="AH277" s="17" t="str">
        <f t="shared" si="328"/>
        <v/>
      </c>
      <c r="AI277" s="297" t="e">
        <f t="shared" si="303"/>
        <v>#VALUE!</v>
      </c>
      <c r="AJ277" s="79" t="e">
        <f t="shared" si="263"/>
        <v>#VALUE!</v>
      </c>
      <c r="AK277" s="17" t="str">
        <f t="shared" si="329"/>
        <v/>
      </c>
      <c r="AL277" s="80" t="e">
        <f t="shared" si="264"/>
        <v>#VALUE!</v>
      </c>
      <c r="AM277" s="139" t="b">
        <f t="shared" si="265"/>
        <v>1</v>
      </c>
      <c r="AN277" s="139" t="b">
        <f>AND(COUNTA(E277)&gt;0,ISNUMBER(F277),OR(COUNT(G277:H277)=0,COUNT(G277:H277)=2,AND(ISNUMBER(G277),ISNUMBER(VALUE(LEFT(H277,SUM(LEN(H277)-LEN(SUBSTITUTE(H277,{"0","1","2","3","4","5","6","7","8","9","."},"")))))))),ISNUMBER(I277),ISTEXT(J277))</f>
        <v>0</v>
      </c>
      <c r="AO277" s="19" t="b">
        <f t="shared" si="266"/>
        <v>0</v>
      </c>
      <c r="AP277" s="19" t="b">
        <f t="shared" si="267"/>
        <v>1</v>
      </c>
      <c r="AQ277" s="19" t="b">
        <f>IF(AND(COUNTBLANK(E277:J277)=6,OR(AN278:AN$523)),NOT(AN277))</f>
        <v>0</v>
      </c>
      <c r="AR277" s="19" t="str">
        <f t="shared" si="268"/>
        <v/>
      </c>
      <c r="AS277" s="19" t="b">
        <f t="shared" si="269"/>
        <v>1</v>
      </c>
      <c r="AT277" s="19" t="str">
        <f t="shared" si="270"/>
        <v/>
      </c>
      <c r="AU277" s="19" t="b">
        <f t="shared" si="271"/>
        <v>1</v>
      </c>
      <c r="AV277" s="140" t="str">
        <f t="shared" si="311"/>
        <v/>
      </c>
      <c r="AW277" s="19" t="str">
        <f t="shared" si="272"/>
        <v/>
      </c>
      <c r="AX277" s="81">
        <f t="shared" si="273"/>
        <v>0</v>
      </c>
      <c r="AY277" s="81" t="str">
        <f t="shared" si="274"/>
        <v/>
      </c>
      <c r="AZ277" s="307" t="str">
        <f t="shared" si="304"/>
        <v/>
      </c>
      <c r="BA277" s="281" t="str">
        <f t="shared" si="312"/>
        <v/>
      </c>
      <c r="BB277" s="281" t="str">
        <f t="shared" si="313"/>
        <v/>
      </c>
      <c r="BC277" s="953"/>
      <c r="BD277" s="955"/>
      <c r="BE277" s="219" t="str">
        <f t="shared" si="275"/>
        <v>n/a</v>
      </c>
      <c r="BF277" s="215" t="b">
        <f t="shared" si="276"/>
        <v>0</v>
      </c>
      <c r="BG277" s="145" t="b">
        <f t="shared" si="277"/>
        <v>0</v>
      </c>
      <c r="BH277" s="145" t="b">
        <f t="shared" si="278"/>
        <v>0</v>
      </c>
      <c r="BI277" s="216" t="b">
        <f t="shared" si="279"/>
        <v>0</v>
      </c>
      <c r="BJ277" s="215" t="b">
        <f t="shared" si="280"/>
        <v>0</v>
      </c>
      <c r="BK277" s="145" t="b">
        <f t="shared" si="281"/>
        <v>0</v>
      </c>
      <c r="BL277" s="216" t="b">
        <f t="shared" si="282"/>
        <v>0</v>
      </c>
      <c r="BM277" s="217" t="str">
        <f t="shared" si="314"/>
        <v/>
      </c>
      <c r="BN277" s="146" t="str">
        <f t="shared" si="315"/>
        <v/>
      </c>
      <c r="BO277" s="147" t="str">
        <f t="shared" si="316"/>
        <v/>
      </c>
      <c r="BP277" s="148" t="str">
        <f t="shared" si="317"/>
        <v/>
      </c>
      <c r="BT277" s="50">
        <f t="shared" si="337"/>
        <v>254</v>
      </c>
      <c r="BU277" s="50" t="str">
        <f t="shared" si="333"/>
        <v>-</v>
      </c>
      <c r="BW277" s="340"/>
      <c r="BX277" s="333"/>
      <c r="BY277" s="333"/>
      <c r="BZ277" s="333"/>
      <c r="CA277" s="333"/>
      <c r="CB277" s="333"/>
      <c r="CC277" s="333"/>
      <c r="CD277" s="333"/>
      <c r="CE277" s="333"/>
      <c r="CF277" s="333"/>
      <c r="CG277" s="354">
        <f t="shared" si="283"/>
        <v>254</v>
      </c>
      <c r="CH277" s="613">
        <f t="shared" si="284"/>
        <v>0</v>
      </c>
      <c r="CI277" s="613">
        <f t="shared" si="285"/>
        <v>0</v>
      </c>
      <c r="CJ277" s="614" t="str">
        <f t="shared" si="286"/>
        <v/>
      </c>
      <c r="CK277" s="615" t="str">
        <f t="shared" si="287"/>
        <v/>
      </c>
      <c r="CL277" s="610" t="str">
        <f>IF(ISBLANK(H277),"",IF(AND(ISNUMBER(F277),ISNUMBER(G277),ISNUMBER(H277)),ROUND(F277/(H277*G277),2),ROUND(F277/(VALUE(LEFT(H277,SUM(LEN(H277)-LEN(SUBSTITUTE(H277,{"0","1","2","3","4","5","6","7","8","9","."},"")))))*G277),2)))</f>
        <v/>
      </c>
      <c r="CM277" s="616" t="str">
        <f t="shared" si="318"/>
        <v/>
      </c>
      <c r="CN277" s="616" t="str">
        <f>IF(ISNUMBER(P277),MAX('Adjustment factors'!$S$16,(0.2+0.8*P277)),IF(ISTEXT(N277),VLOOKUP(N277,Afactors,2,FALSE),""))</f>
        <v/>
      </c>
      <c r="CO277" s="616" t="str">
        <f>IF(ISNUMBER(S277),MAX('Adjustment factors'!$S$16,0.2+0.8*S277),IF(ISTEXT(Q277),VLOOKUP(Q277,Afactors,2,FALSE),""))</f>
        <v/>
      </c>
      <c r="CP277" s="611" t="str">
        <f t="shared" si="305"/>
        <v/>
      </c>
      <c r="CQ277" s="612" t="str">
        <f t="shared" si="306"/>
        <v/>
      </c>
      <c r="CR277" s="340"/>
      <c r="CS277" s="340"/>
      <c r="CT277" s="340"/>
      <c r="CU277" s="340"/>
      <c r="CV277" s="333"/>
      <c r="CW277" s="333"/>
      <c r="CX277" s="333"/>
      <c r="CY277" s="333"/>
      <c r="DA277" s="313" t="str">
        <f t="shared" si="288"/>
        <v>OK</v>
      </c>
      <c r="DB277" s="313" t="str">
        <f t="shared" si="289"/>
        <v>OK</v>
      </c>
      <c r="DC277" s="313" t="str">
        <f t="shared" si="290"/>
        <v>OK</v>
      </c>
      <c r="DD277" s="313" t="str">
        <f t="shared" si="291"/>
        <v>OK</v>
      </c>
      <c r="DE277" s="153" t="str">
        <f t="shared" si="292"/>
        <v>OK</v>
      </c>
      <c r="DF277" s="314" t="str">
        <f t="shared" si="293"/>
        <v>OK</v>
      </c>
      <c r="DG277" s="482" t="str">
        <f t="shared" si="307"/>
        <v>OK</v>
      </c>
      <c r="DH277" s="482" t="str">
        <f>IF(OR(AND(T277='Adjustment factors'!$R$28,'Class 3, 5-9'!U277='Adjustment factors'!$R$29),AND('Class 3, 5-9'!T277='Adjustment factors'!$R$29,'Class 3, 5-9'!U277='Adjustment factors'!$R$28)),"Invalid combination of adjustment factors",IF(AND(T277=U277,NOT(ISBLANK(T277)),NOT(ISBLANK(U277))),"Same colour factor selected twice","OK"))</f>
        <v>OK</v>
      </c>
      <c r="DI277" s="313" t="str">
        <f t="shared" si="294"/>
        <v>OK</v>
      </c>
      <c r="DJ277" s="153" t="str">
        <f t="shared" si="319"/>
        <v>OK</v>
      </c>
      <c r="DK277" s="153" t="str">
        <f t="shared" si="295"/>
        <v>OK</v>
      </c>
      <c r="DL277" s="313" t="str">
        <f t="shared" si="296"/>
        <v>OK</v>
      </c>
      <c r="DM277" s="153" t="str">
        <f t="shared" si="297"/>
        <v>OK</v>
      </c>
      <c r="DN277" s="153" t="str">
        <f t="shared" si="320"/>
        <v>OK</v>
      </c>
      <c r="DO277" s="154" t="str">
        <f t="shared" si="321"/>
        <v>OK</v>
      </c>
      <c r="DP277" s="153" t="str">
        <f t="shared" si="298"/>
        <v>OK</v>
      </c>
      <c r="DQ277" s="313" t="str">
        <f t="shared" si="299"/>
        <v>OK</v>
      </c>
      <c r="DR277" s="153" t="str">
        <f t="shared" si="322"/>
        <v>OK</v>
      </c>
      <c r="DS277" s="153" t="str">
        <f t="shared" si="300"/>
        <v>OK</v>
      </c>
      <c r="DT277" s="313" t="str">
        <f t="shared" si="338"/>
        <v>OK</v>
      </c>
      <c r="DU277" s="153" t="str">
        <f t="shared" si="301"/>
        <v>OK</v>
      </c>
      <c r="DV277" s="153" t="str">
        <f t="shared" si="323"/>
        <v>OK</v>
      </c>
      <c r="DW277" s="154" t="str">
        <f t="shared" si="324"/>
        <v>OK</v>
      </c>
      <c r="DX277" s="157">
        <f t="shared" si="325"/>
        <v>0</v>
      </c>
      <c r="DY277" s="156" t="str">
        <f t="shared" si="326"/>
        <v>OK</v>
      </c>
    </row>
    <row r="278" spans="1:129" ht="13" hidden="1" x14ac:dyDescent="0.3">
      <c r="A278" s="333"/>
      <c r="B278" s="333"/>
      <c r="C278" s="332" t="str">
        <f t="shared" si="334"/>
        <v>-</v>
      </c>
      <c r="D278" s="584">
        <f t="shared" si="336"/>
        <v>255</v>
      </c>
      <c r="E278" s="585"/>
      <c r="F278" s="586"/>
      <c r="G278" s="600"/>
      <c r="H278" s="587"/>
      <c r="I278" s="601"/>
      <c r="J278" s="585"/>
      <c r="K278" s="617"/>
      <c r="L278" s="602"/>
      <c r="M278" s="603"/>
      <c r="N278" s="588"/>
      <c r="O278" s="604"/>
      <c r="P278" s="605"/>
      <c r="Q278" s="588"/>
      <c r="R278" s="604"/>
      <c r="S278" s="605"/>
      <c r="T278" s="606"/>
      <c r="U278" s="606"/>
      <c r="V278" s="429" t="str">
        <f t="shared" si="331"/>
        <v/>
      </c>
      <c r="W278" s="430" t="str">
        <f t="shared" si="330"/>
        <v/>
      </c>
      <c r="X278" s="66" t="str">
        <f>IF(AND(ISNUMBER(P278),N278=FixedDim),MAX('Adjustment factors'!$S$16,0.2+0.8*P278),IF(ISTEXT(N278),VLOOKUP(N278,Afactors,2,TRUE),""))</f>
        <v/>
      </c>
      <c r="Y278" s="17" t="str">
        <f>IF(AND(ISNUMBER(S278),Q278=FixedDim),MAX('Adjustment factors'!$S$16,0.2+0.8*S278),IF(ISTEXT(Q278),VLOOKUP(Q278,Afactors,2,TRUE),""))</f>
        <v/>
      </c>
      <c r="Z278" s="297" t="str">
        <f>IF(ISBLANK(T278),"",VLOOKUP(T278,'Adjustment factors'!$R$27:$S$30,2,TRUE))</f>
        <v/>
      </c>
      <c r="AA278" s="297" t="str">
        <f>IF(ISBLANK(U278),"",VLOOKUP(U278,'Adjustment factors'!$R$27:$S$30,2,TRUE))</f>
        <v/>
      </c>
      <c r="AB278" s="480">
        <f t="shared" si="302"/>
        <v>1</v>
      </c>
      <c r="AC278" s="18" t="b">
        <f t="shared" si="259"/>
        <v>0</v>
      </c>
      <c r="AD278" s="18" t="b">
        <f t="shared" si="260"/>
        <v>0</v>
      </c>
      <c r="AE278" s="18" t="b">
        <f t="shared" si="327"/>
        <v>0</v>
      </c>
      <c r="AF278" s="17" t="str">
        <f t="shared" si="261"/>
        <v/>
      </c>
      <c r="AG278" s="18" t="str">
        <f t="shared" si="262"/>
        <v/>
      </c>
      <c r="AH278" s="17" t="str">
        <f t="shared" si="328"/>
        <v/>
      </c>
      <c r="AI278" s="297" t="e">
        <f t="shared" si="303"/>
        <v>#VALUE!</v>
      </c>
      <c r="AJ278" s="79" t="e">
        <f t="shared" si="263"/>
        <v>#VALUE!</v>
      </c>
      <c r="AK278" s="17" t="str">
        <f t="shared" si="329"/>
        <v/>
      </c>
      <c r="AL278" s="80" t="e">
        <f t="shared" si="264"/>
        <v>#VALUE!</v>
      </c>
      <c r="AM278" s="139" t="b">
        <f t="shared" si="265"/>
        <v>1</v>
      </c>
      <c r="AN278" s="139" t="b">
        <f>AND(COUNTA(E278)&gt;0,ISNUMBER(F278),OR(COUNT(G278:H278)=0,COUNT(G278:H278)=2,AND(ISNUMBER(G278),ISNUMBER(VALUE(LEFT(H278,SUM(LEN(H278)-LEN(SUBSTITUTE(H278,{"0","1","2","3","4","5","6","7","8","9","."},"")))))))),ISNUMBER(I278),ISTEXT(J278))</f>
        <v>0</v>
      </c>
      <c r="AO278" s="19" t="b">
        <f t="shared" si="266"/>
        <v>0</v>
      </c>
      <c r="AP278" s="19" t="b">
        <f t="shared" si="267"/>
        <v>1</v>
      </c>
      <c r="AQ278" s="19" t="b">
        <f>IF(AND(COUNTBLANK(E278:J278)=6,OR(AN279:AN$523)),NOT(AN278))</f>
        <v>0</v>
      </c>
      <c r="AR278" s="19" t="str">
        <f t="shared" si="268"/>
        <v/>
      </c>
      <c r="AS278" s="19" t="b">
        <f t="shared" si="269"/>
        <v>1</v>
      </c>
      <c r="AT278" s="19" t="str">
        <f t="shared" si="270"/>
        <v/>
      </c>
      <c r="AU278" s="19" t="b">
        <f t="shared" si="271"/>
        <v>1</v>
      </c>
      <c r="AV278" s="140" t="str">
        <f t="shared" si="311"/>
        <v/>
      </c>
      <c r="AW278" s="19" t="str">
        <f t="shared" si="272"/>
        <v/>
      </c>
      <c r="AX278" s="81">
        <f t="shared" si="273"/>
        <v>0</v>
      </c>
      <c r="AY278" s="81" t="str">
        <f t="shared" si="274"/>
        <v/>
      </c>
      <c r="AZ278" s="307" t="str">
        <f t="shared" si="304"/>
        <v/>
      </c>
      <c r="BA278" s="281" t="str">
        <f t="shared" si="312"/>
        <v/>
      </c>
      <c r="BB278" s="281" t="str">
        <f t="shared" si="313"/>
        <v/>
      </c>
      <c r="BC278" s="953"/>
      <c r="BD278" s="955"/>
      <c r="BE278" s="219" t="str">
        <f t="shared" si="275"/>
        <v>n/a</v>
      </c>
      <c r="BF278" s="215" t="b">
        <f t="shared" si="276"/>
        <v>0</v>
      </c>
      <c r="BG278" s="145" t="b">
        <f t="shared" si="277"/>
        <v>0</v>
      </c>
      <c r="BH278" s="145" t="b">
        <f t="shared" si="278"/>
        <v>0</v>
      </c>
      <c r="BI278" s="216" t="b">
        <f t="shared" si="279"/>
        <v>0</v>
      </c>
      <c r="BJ278" s="215" t="b">
        <f t="shared" si="280"/>
        <v>0</v>
      </c>
      <c r="BK278" s="145" t="b">
        <f t="shared" si="281"/>
        <v>0</v>
      </c>
      <c r="BL278" s="216" t="b">
        <f t="shared" si="282"/>
        <v>0</v>
      </c>
      <c r="BM278" s="217" t="str">
        <f t="shared" si="314"/>
        <v/>
      </c>
      <c r="BN278" s="146" t="str">
        <f t="shared" si="315"/>
        <v/>
      </c>
      <c r="BO278" s="147" t="str">
        <f t="shared" si="316"/>
        <v/>
      </c>
      <c r="BP278" s="148" t="str">
        <f t="shared" si="317"/>
        <v/>
      </c>
      <c r="BT278" s="50">
        <f t="shared" si="337"/>
        <v>255</v>
      </c>
      <c r="BU278" s="50" t="str">
        <f t="shared" si="333"/>
        <v>-</v>
      </c>
      <c r="BW278" s="340"/>
      <c r="BX278" s="333"/>
      <c r="BY278" s="333"/>
      <c r="BZ278" s="333"/>
      <c r="CA278" s="333"/>
      <c r="CB278" s="333"/>
      <c r="CC278" s="333"/>
      <c r="CD278" s="333"/>
      <c r="CE278" s="333"/>
      <c r="CF278" s="333"/>
      <c r="CG278" s="354">
        <f t="shared" si="283"/>
        <v>255</v>
      </c>
      <c r="CH278" s="613">
        <f t="shared" si="284"/>
        <v>0</v>
      </c>
      <c r="CI278" s="613">
        <f t="shared" si="285"/>
        <v>0</v>
      </c>
      <c r="CJ278" s="614" t="str">
        <f t="shared" si="286"/>
        <v/>
      </c>
      <c r="CK278" s="615" t="str">
        <f t="shared" si="287"/>
        <v/>
      </c>
      <c r="CL278" s="610" t="str">
        <f>IF(ISBLANK(H278),"",IF(AND(ISNUMBER(F278),ISNUMBER(G278),ISNUMBER(H278)),ROUND(F278/(H278*G278),2),ROUND(F278/(VALUE(LEFT(H278,SUM(LEN(H278)-LEN(SUBSTITUTE(H278,{"0","1","2","3","4","5","6","7","8","9","."},"")))))*G278),2)))</f>
        <v/>
      </c>
      <c r="CM278" s="616" t="str">
        <f t="shared" si="318"/>
        <v/>
      </c>
      <c r="CN278" s="616" t="str">
        <f>IF(ISNUMBER(P278),MAX('Adjustment factors'!$S$16,(0.2+0.8*P278)),IF(ISTEXT(N278),VLOOKUP(N278,Afactors,2,FALSE),""))</f>
        <v/>
      </c>
      <c r="CO278" s="616" t="str">
        <f>IF(ISNUMBER(S278),MAX('Adjustment factors'!$S$16,0.2+0.8*S278),IF(ISTEXT(Q278),VLOOKUP(Q278,Afactors,2,FALSE),""))</f>
        <v/>
      </c>
      <c r="CP278" s="611" t="str">
        <f t="shared" si="305"/>
        <v/>
      </c>
      <c r="CQ278" s="612" t="str">
        <f t="shared" si="306"/>
        <v/>
      </c>
      <c r="CR278" s="340"/>
      <c r="CS278" s="340"/>
      <c r="CT278" s="340"/>
      <c r="CU278" s="340"/>
      <c r="CV278" s="333"/>
      <c r="CW278" s="333"/>
      <c r="CX278" s="333"/>
      <c r="CY278" s="333"/>
      <c r="DA278" s="313" t="str">
        <f t="shared" si="288"/>
        <v>OK</v>
      </c>
      <c r="DB278" s="313" t="str">
        <f t="shared" si="289"/>
        <v>OK</v>
      </c>
      <c r="DC278" s="313" t="str">
        <f t="shared" si="290"/>
        <v>OK</v>
      </c>
      <c r="DD278" s="313" t="str">
        <f t="shared" si="291"/>
        <v>OK</v>
      </c>
      <c r="DE278" s="153" t="str">
        <f t="shared" si="292"/>
        <v>OK</v>
      </c>
      <c r="DF278" s="314" t="str">
        <f t="shared" si="293"/>
        <v>OK</v>
      </c>
      <c r="DG278" s="482" t="str">
        <f t="shared" si="307"/>
        <v>OK</v>
      </c>
      <c r="DH278" s="482" t="str">
        <f>IF(OR(AND(T278='Adjustment factors'!$R$28,'Class 3, 5-9'!U278='Adjustment factors'!$R$29),AND('Class 3, 5-9'!T278='Adjustment factors'!$R$29,'Class 3, 5-9'!U278='Adjustment factors'!$R$28)),"Invalid combination of adjustment factors",IF(AND(T278=U278,NOT(ISBLANK(T278)),NOT(ISBLANK(U278))),"Same colour factor selected twice","OK"))</f>
        <v>OK</v>
      </c>
      <c r="DI278" s="313" t="str">
        <f t="shared" si="294"/>
        <v>OK</v>
      </c>
      <c r="DJ278" s="153" t="str">
        <f t="shared" si="319"/>
        <v>OK</v>
      </c>
      <c r="DK278" s="153" t="str">
        <f t="shared" si="295"/>
        <v>OK</v>
      </c>
      <c r="DL278" s="313" t="str">
        <f t="shared" si="296"/>
        <v>OK</v>
      </c>
      <c r="DM278" s="153" t="str">
        <f t="shared" si="297"/>
        <v>OK</v>
      </c>
      <c r="DN278" s="153" t="str">
        <f t="shared" si="320"/>
        <v>OK</v>
      </c>
      <c r="DO278" s="154" t="str">
        <f t="shared" si="321"/>
        <v>OK</v>
      </c>
      <c r="DP278" s="153" t="str">
        <f t="shared" si="298"/>
        <v>OK</v>
      </c>
      <c r="DQ278" s="313" t="str">
        <f t="shared" si="299"/>
        <v>OK</v>
      </c>
      <c r="DR278" s="153" t="str">
        <f t="shared" si="322"/>
        <v>OK</v>
      </c>
      <c r="DS278" s="153" t="str">
        <f t="shared" si="300"/>
        <v>OK</v>
      </c>
      <c r="DT278" s="313" t="str">
        <f t="shared" si="338"/>
        <v>OK</v>
      </c>
      <c r="DU278" s="153" t="str">
        <f t="shared" si="301"/>
        <v>OK</v>
      </c>
      <c r="DV278" s="153" t="str">
        <f t="shared" si="323"/>
        <v>OK</v>
      </c>
      <c r="DW278" s="154" t="str">
        <f t="shared" si="324"/>
        <v>OK</v>
      </c>
      <c r="DX278" s="157">
        <f t="shared" si="325"/>
        <v>0</v>
      </c>
      <c r="DY278" s="156" t="str">
        <f t="shared" si="326"/>
        <v>OK</v>
      </c>
    </row>
    <row r="279" spans="1:129" ht="13" hidden="1" x14ac:dyDescent="0.3">
      <c r="A279" s="333"/>
      <c r="B279" s="333"/>
      <c r="C279" s="332" t="str">
        <f t="shared" si="334"/>
        <v>-</v>
      </c>
      <c r="D279" s="584">
        <f t="shared" si="336"/>
        <v>256</v>
      </c>
      <c r="E279" s="585"/>
      <c r="F279" s="586"/>
      <c r="G279" s="600"/>
      <c r="H279" s="587"/>
      <c r="I279" s="601"/>
      <c r="J279" s="585"/>
      <c r="K279" s="617"/>
      <c r="L279" s="602"/>
      <c r="M279" s="603"/>
      <c r="N279" s="588"/>
      <c r="O279" s="604"/>
      <c r="P279" s="605"/>
      <c r="Q279" s="588"/>
      <c r="R279" s="604"/>
      <c r="S279" s="605"/>
      <c r="T279" s="606"/>
      <c r="U279" s="606"/>
      <c r="V279" s="429" t="str">
        <f t="shared" si="331"/>
        <v/>
      </c>
      <c r="W279" s="430" t="str">
        <f t="shared" si="330"/>
        <v/>
      </c>
      <c r="X279" s="66" t="str">
        <f>IF(AND(ISNUMBER(P279),N279=FixedDim),MAX('Adjustment factors'!$S$16,0.2+0.8*P279),IF(ISTEXT(N279),VLOOKUP(N279,Afactors,2,TRUE),""))</f>
        <v/>
      </c>
      <c r="Y279" s="17" t="str">
        <f>IF(AND(ISNUMBER(S279),Q279=FixedDim),MAX('Adjustment factors'!$S$16,0.2+0.8*S279),IF(ISTEXT(Q279),VLOOKUP(Q279,Afactors,2,TRUE),""))</f>
        <v/>
      </c>
      <c r="Z279" s="297" t="str">
        <f>IF(ISBLANK(T279),"",VLOOKUP(T279,'Adjustment factors'!$R$27:$S$30,2,TRUE))</f>
        <v/>
      </c>
      <c r="AA279" s="297" t="str">
        <f>IF(ISBLANK(U279),"",VLOOKUP(U279,'Adjustment factors'!$R$27:$S$30,2,TRUE))</f>
        <v/>
      </c>
      <c r="AB279" s="480">
        <f t="shared" si="302"/>
        <v>1</v>
      </c>
      <c r="AC279" s="18" t="b">
        <f t="shared" si="259"/>
        <v>0</v>
      </c>
      <c r="AD279" s="18" t="b">
        <f t="shared" si="260"/>
        <v>0</v>
      </c>
      <c r="AE279" s="18" t="b">
        <f t="shared" si="327"/>
        <v>0</v>
      </c>
      <c r="AF279" s="17" t="str">
        <f t="shared" si="261"/>
        <v/>
      </c>
      <c r="AG279" s="18" t="str">
        <f t="shared" si="262"/>
        <v/>
      </c>
      <c r="AH279" s="17" t="str">
        <f t="shared" si="328"/>
        <v/>
      </c>
      <c r="AI279" s="297" t="e">
        <f t="shared" si="303"/>
        <v>#VALUE!</v>
      </c>
      <c r="AJ279" s="79" t="e">
        <f t="shared" si="263"/>
        <v>#VALUE!</v>
      </c>
      <c r="AK279" s="17" t="str">
        <f t="shared" si="329"/>
        <v/>
      </c>
      <c r="AL279" s="80" t="e">
        <f t="shared" si="264"/>
        <v>#VALUE!</v>
      </c>
      <c r="AM279" s="139" t="b">
        <f t="shared" si="265"/>
        <v>1</v>
      </c>
      <c r="AN279" s="139" t="b">
        <f>AND(COUNTA(E279)&gt;0,ISNUMBER(F279),OR(COUNT(G279:H279)=0,COUNT(G279:H279)=2,AND(ISNUMBER(G279),ISNUMBER(VALUE(LEFT(H279,SUM(LEN(H279)-LEN(SUBSTITUTE(H279,{"0","1","2","3","4","5","6","7","8","9","."},"")))))))),ISNUMBER(I279),ISTEXT(J279))</f>
        <v>0</v>
      </c>
      <c r="AO279" s="19" t="b">
        <f t="shared" si="266"/>
        <v>0</v>
      </c>
      <c r="AP279" s="19" t="b">
        <f t="shared" si="267"/>
        <v>1</v>
      </c>
      <c r="AQ279" s="19" t="b">
        <f>IF(AND(COUNTBLANK(E279:J279)=6,OR(AN280:AN$523)),NOT(AN279))</f>
        <v>0</v>
      </c>
      <c r="AR279" s="19" t="str">
        <f t="shared" si="268"/>
        <v/>
      </c>
      <c r="AS279" s="19" t="b">
        <f t="shared" si="269"/>
        <v>1</v>
      </c>
      <c r="AT279" s="19" t="str">
        <f t="shared" si="270"/>
        <v/>
      </c>
      <c r="AU279" s="19" t="b">
        <f t="shared" si="271"/>
        <v>1</v>
      </c>
      <c r="AV279" s="140" t="str">
        <f t="shared" si="311"/>
        <v/>
      </c>
      <c r="AW279" s="19" t="str">
        <f t="shared" si="272"/>
        <v/>
      </c>
      <c r="AX279" s="81">
        <f t="shared" si="273"/>
        <v>0</v>
      </c>
      <c r="AY279" s="81" t="str">
        <f t="shared" si="274"/>
        <v/>
      </c>
      <c r="AZ279" s="307" t="str">
        <f t="shared" si="304"/>
        <v/>
      </c>
      <c r="BA279" s="281" t="str">
        <f t="shared" si="312"/>
        <v/>
      </c>
      <c r="BB279" s="281" t="str">
        <f t="shared" si="313"/>
        <v/>
      </c>
      <c r="BC279" s="953"/>
      <c r="BD279" s="955"/>
      <c r="BE279" s="219" t="str">
        <f t="shared" si="275"/>
        <v>n/a</v>
      </c>
      <c r="BF279" s="215" t="b">
        <f t="shared" si="276"/>
        <v>0</v>
      </c>
      <c r="BG279" s="145" t="b">
        <f t="shared" si="277"/>
        <v>0</v>
      </c>
      <c r="BH279" s="145" t="b">
        <f t="shared" si="278"/>
        <v>0</v>
      </c>
      <c r="BI279" s="216" t="b">
        <f t="shared" si="279"/>
        <v>0</v>
      </c>
      <c r="BJ279" s="215" t="b">
        <f t="shared" si="280"/>
        <v>0</v>
      </c>
      <c r="BK279" s="145" t="b">
        <f t="shared" si="281"/>
        <v>0</v>
      </c>
      <c r="BL279" s="216" t="b">
        <f t="shared" si="282"/>
        <v>0</v>
      </c>
      <c r="BM279" s="217" t="str">
        <f t="shared" si="314"/>
        <v/>
      </c>
      <c r="BN279" s="146" t="str">
        <f t="shared" si="315"/>
        <v/>
      </c>
      <c r="BO279" s="147" t="str">
        <f t="shared" si="316"/>
        <v/>
      </c>
      <c r="BP279" s="148" t="str">
        <f t="shared" si="317"/>
        <v/>
      </c>
      <c r="BT279" s="50">
        <f t="shared" si="337"/>
        <v>256</v>
      </c>
      <c r="BU279" s="50" t="str">
        <f t="shared" si="333"/>
        <v>-</v>
      </c>
      <c r="BW279" s="340"/>
      <c r="BX279" s="333"/>
      <c r="BY279" s="333"/>
      <c r="BZ279" s="333"/>
      <c r="CA279" s="333"/>
      <c r="CB279" s="333"/>
      <c r="CC279" s="333"/>
      <c r="CD279" s="333"/>
      <c r="CE279" s="333"/>
      <c r="CF279" s="333"/>
      <c r="CG279" s="354">
        <f t="shared" si="283"/>
        <v>256</v>
      </c>
      <c r="CH279" s="613">
        <f t="shared" si="284"/>
        <v>0</v>
      </c>
      <c r="CI279" s="613">
        <f t="shared" si="285"/>
        <v>0</v>
      </c>
      <c r="CJ279" s="614" t="str">
        <f t="shared" si="286"/>
        <v/>
      </c>
      <c r="CK279" s="615" t="str">
        <f t="shared" si="287"/>
        <v/>
      </c>
      <c r="CL279" s="610" t="str">
        <f>IF(ISBLANK(H279),"",IF(AND(ISNUMBER(F279),ISNUMBER(G279),ISNUMBER(H279)),ROUND(F279/(H279*G279),2),ROUND(F279/(VALUE(LEFT(H279,SUM(LEN(H279)-LEN(SUBSTITUTE(H279,{"0","1","2","3","4","5","6","7","8","9","."},"")))))*G279),2)))</f>
        <v/>
      </c>
      <c r="CM279" s="616" t="str">
        <f t="shared" si="318"/>
        <v/>
      </c>
      <c r="CN279" s="616" t="str">
        <f>IF(ISNUMBER(P279),MAX('Adjustment factors'!$S$16,(0.2+0.8*P279)),IF(ISTEXT(N279),VLOOKUP(N279,Afactors,2,FALSE),""))</f>
        <v/>
      </c>
      <c r="CO279" s="616" t="str">
        <f>IF(ISNUMBER(S279),MAX('Adjustment factors'!$S$16,0.2+0.8*S279),IF(ISTEXT(Q279),VLOOKUP(Q279,Afactors,2,FALSE),""))</f>
        <v/>
      </c>
      <c r="CP279" s="611" t="str">
        <f t="shared" si="305"/>
        <v/>
      </c>
      <c r="CQ279" s="612" t="str">
        <f t="shared" si="306"/>
        <v/>
      </c>
      <c r="CR279" s="340"/>
      <c r="CS279" s="340"/>
      <c r="CT279" s="340"/>
      <c r="CU279" s="340"/>
      <c r="CV279" s="333"/>
      <c r="CW279" s="333"/>
      <c r="CX279" s="333"/>
      <c r="CY279" s="333"/>
      <c r="DA279" s="313" t="str">
        <f t="shared" si="288"/>
        <v>OK</v>
      </c>
      <c r="DB279" s="313" t="str">
        <f t="shared" si="289"/>
        <v>OK</v>
      </c>
      <c r="DC279" s="313" t="str">
        <f t="shared" si="290"/>
        <v>OK</v>
      </c>
      <c r="DD279" s="313" t="str">
        <f t="shared" si="291"/>
        <v>OK</v>
      </c>
      <c r="DE279" s="153" t="str">
        <f t="shared" si="292"/>
        <v>OK</v>
      </c>
      <c r="DF279" s="314" t="str">
        <f t="shared" si="293"/>
        <v>OK</v>
      </c>
      <c r="DG279" s="482" t="str">
        <f t="shared" si="307"/>
        <v>OK</v>
      </c>
      <c r="DH279" s="482" t="str">
        <f>IF(OR(AND(T279='Adjustment factors'!$R$28,'Class 3, 5-9'!U279='Adjustment factors'!$R$29),AND('Class 3, 5-9'!T279='Adjustment factors'!$R$29,'Class 3, 5-9'!U279='Adjustment factors'!$R$28)),"Invalid combination of adjustment factors",IF(AND(T279=U279,NOT(ISBLANK(T279)),NOT(ISBLANK(U279))),"Same colour factor selected twice","OK"))</f>
        <v>OK</v>
      </c>
      <c r="DI279" s="313" t="str">
        <f t="shared" si="294"/>
        <v>OK</v>
      </c>
      <c r="DJ279" s="153" t="str">
        <f t="shared" si="319"/>
        <v>OK</v>
      </c>
      <c r="DK279" s="153" t="str">
        <f t="shared" si="295"/>
        <v>OK</v>
      </c>
      <c r="DL279" s="313" t="str">
        <f t="shared" si="296"/>
        <v>OK</v>
      </c>
      <c r="DM279" s="153" t="str">
        <f t="shared" si="297"/>
        <v>OK</v>
      </c>
      <c r="DN279" s="153" t="str">
        <f t="shared" si="320"/>
        <v>OK</v>
      </c>
      <c r="DO279" s="154" t="str">
        <f t="shared" si="321"/>
        <v>OK</v>
      </c>
      <c r="DP279" s="153" t="str">
        <f t="shared" si="298"/>
        <v>OK</v>
      </c>
      <c r="DQ279" s="313" t="str">
        <f t="shared" si="299"/>
        <v>OK</v>
      </c>
      <c r="DR279" s="153" t="str">
        <f t="shared" si="322"/>
        <v>OK</v>
      </c>
      <c r="DS279" s="153" t="str">
        <f t="shared" si="300"/>
        <v>OK</v>
      </c>
      <c r="DT279" s="313" t="str">
        <f t="shared" si="338"/>
        <v>OK</v>
      </c>
      <c r="DU279" s="153" t="str">
        <f t="shared" si="301"/>
        <v>OK</v>
      </c>
      <c r="DV279" s="153" t="str">
        <f t="shared" si="323"/>
        <v>OK</v>
      </c>
      <c r="DW279" s="154" t="str">
        <f t="shared" si="324"/>
        <v>OK</v>
      </c>
      <c r="DX279" s="157">
        <f t="shared" si="325"/>
        <v>0</v>
      </c>
      <c r="DY279" s="156" t="str">
        <f t="shared" si="326"/>
        <v>OK</v>
      </c>
    </row>
    <row r="280" spans="1:129" ht="13" hidden="1" x14ac:dyDescent="0.3">
      <c r="A280" s="333"/>
      <c r="B280" s="333"/>
      <c r="C280" s="332" t="str">
        <f t="shared" si="334"/>
        <v>-</v>
      </c>
      <c r="D280" s="584">
        <f t="shared" si="336"/>
        <v>257</v>
      </c>
      <c r="E280" s="585"/>
      <c r="F280" s="586"/>
      <c r="G280" s="600"/>
      <c r="H280" s="587"/>
      <c r="I280" s="601"/>
      <c r="J280" s="585"/>
      <c r="K280" s="617"/>
      <c r="L280" s="602"/>
      <c r="M280" s="603"/>
      <c r="N280" s="588"/>
      <c r="O280" s="604"/>
      <c r="P280" s="605"/>
      <c r="Q280" s="588"/>
      <c r="R280" s="604"/>
      <c r="S280" s="605"/>
      <c r="T280" s="606"/>
      <c r="U280" s="606"/>
      <c r="V280" s="429" t="str">
        <f t="shared" si="331"/>
        <v/>
      </c>
      <c r="W280" s="430" t="str">
        <f t="shared" si="330"/>
        <v/>
      </c>
      <c r="X280" s="66" t="str">
        <f>IF(AND(ISNUMBER(P280),N280=FixedDim),MAX('Adjustment factors'!$S$16,0.2+0.8*P280),IF(ISTEXT(N280),VLOOKUP(N280,Afactors,2,TRUE),""))</f>
        <v/>
      </c>
      <c r="Y280" s="17" t="str">
        <f>IF(AND(ISNUMBER(S280),Q280=FixedDim),MAX('Adjustment factors'!$S$16,0.2+0.8*S280),IF(ISTEXT(Q280),VLOOKUP(Q280,Afactors,2,TRUE),""))</f>
        <v/>
      </c>
      <c r="Z280" s="297" t="str">
        <f>IF(ISBLANK(T280),"",VLOOKUP(T280,'Adjustment factors'!$R$27:$S$30,2,TRUE))</f>
        <v/>
      </c>
      <c r="AA280" s="297" t="str">
        <f>IF(ISBLANK(U280),"",VLOOKUP(U280,'Adjustment factors'!$R$27:$S$30,2,TRUE))</f>
        <v/>
      </c>
      <c r="AB280" s="480">
        <f t="shared" si="302"/>
        <v>1</v>
      </c>
      <c r="AC280" s="18" t="b">
        <f t="shared" ref="AC280:AC343" si="339">OR(ISNUMBER(X280),ISNUMBER(Y280))</f>
        <v>0</v>
      </c>
      <c r="AD280" s="18" t="b">
        <f t="shared" ref="AD280:AD343" si="340">AND(ISNUMBER(X280),ISNUMBER(Y280))</f>
        <v>0</v>
      </c>
      <c r="AE280" s="18" t="b">
        <f t="shared" si="327"/>
        <v>0</v>
      </c>
      <c r="AF280" s="17" t="str">
        <f t="shared" ref="AF280:AF343" si="341">IF(OR(ISNUMBER(X280),ISNUMBER(Y280)),SMALL(X280:Y280,1),"")</f>
        <v/>
      </c>
      <c r="AG280" s="18" t="str">
        <f t="shared" ref="AG280:AG343" si="342">IF(AD280,SMALL(X280:Y280,2),"")</f>
        <v/>
      </c>
      <c r="AH280" s="17" t="str">
        <f t="shared" si="328"/>
        <v/>
      </c>
      <c r="AI280" s="297" t="e">
        <f t="shared" si="303"/>
        <v>#VALUE!</v>
      </c>
      <c r="AJ280" s="79" t="e">
        <f t="shared" ref="AJ280:AJ343" si="343">IF(AND(AC280,AE280,AR280),AI280/X280,IF(AE280,AI280,IF(AND(AC280,AR280),AI280/X280,IF(AND(NOT(AC280),NOT(AE280)),CK280/AB280,""))))</f>
        <v>#VALUE!</v>
      </c>
      <c r="AK280" s="17" t="str">
        <f t="shared" si="329"/>
        <v/>
      </c>
      <c r="AL280" s="80" t="e">
        <f t="shared" ref="AL280:AL343" si="344">IF(AND(AD280,AE280),IF(Q280=FixedDim,IF(ISNUMBER(S280),AI280/AK280,""),AI280/AK280),IF(AND(AD280,Q280=FixedDim,ISNUMBER(S280)),CK280/AK280,IF(AND(AD280,Q280=FixedDim,ISBLANK(S280)),"",CK280/(AK280*AB280))))</f>
        <v>#VALUE!</v>
      </c>
      <c r="AM280" s="139" t="b">
        <f t="shared" ref="AM280:AM343" si="345">OR(AND(NOT(ISBLANK(E280)),AN280),COUNTA(E280:J280)+COUNTA(N280:S280)=0)</f>
        <v>1</v>
      </c>
      <c r="AN280" s="139" t="b">
        <f>AND(COUNTA(E280)&gt;0,ISNUMBER(F280),OR(COUNT(G280:H280)=0,COUNT(G280:H280)=2,AND(ISNUMBER(G280),ISNUMBER(VALUE(LEFT(H280,SUM(LEN(H280)-LEN(SUBSTITUTE(H280,{"0","1","2","3","4","5","6","7","8","9","."},"")))))))),ISNUMBER(I280),ISTEXT(J280))</f>
        <v>0</v>
      </c>
      <c r="AO280" s="19" t="b">
        <f t="shared" ref="AO280:AO343" si="346">NOT(COUNTBLANK(E280:J280)=6)</f>
        <v>0</v>
      </c>
      <c r="AP280" s="19" t="b">
        <f t="shared" ref="AP280:AP343" si="347">COUNTBLANK(E280:J280)=6</f>
        <v>1</v>
      </c>
      <c r="AQ280" s="19" t="b">
        <f>IF(AND(COUNTBLANK(E280:J280)=6,OR(AN281:AN$523)),NOT(AN280))</f>
        <v>0</v>
      </c>
      <c r="AR280" s="19" t="str">
        <f t="shared" ref="AR280:AR343" si="348">IF(COUNTBLANK(N280)&lt;=0,OR(AND(VLOOKUP(N280,Afactors,3,TRUE),NOT(ISNUMBER(O280)),NOT(ISNUMBER(P280))),AND(N280=FixedDim,NOT(ISNUMBER(O280)),(ISNUMBER(P280))),AND(N280=ProgDim,NOT(ISNUMBER(P280)),(ISNUMBER(O280)),O280&gt;=0.75)),IF(AS280,"",FALSE))</f>
        <v/>
      </c>
      <c r="AS280" s="19" t="b">
        <f t="shared" ref="AS280:AS343" si="349">AND(ISBLANK(O280),ISBLANK(P280))</f>
        <v>1</v>
      </c>
      <c r="AT280" s="19" t="str">
        <f t="shared" ref="AT280:AT343" si="350">IF(COUNTBLANK(Q280)&lt;=0,OR(AND(VLOOKUP(Q280,Afactors,3,TRUE),NOT(ISNUMBER(R280)),NOT(ISNUMBER(S280))),AND(Q280=FixedDim,NOT(ISNUMBER(R280)),(ISNUMBER(S280))),AND(Q280=ProgDim,NOT(ISNUMBER(S280)),(ISNUMBER(R280)),R280&gt;=0.75)),IF(AU280,"",FALSE))</f>
        <v/>
      </c>
      <c r="AU280" s="19" t="b">
        <f t="shared" ref="AU280:AU343" si="351">AND(ISBLANK(R280),ISBLANK(S280))</f>
        <v>1</v>
      </c>
      <c r="AV280" s="140" t="str">
        <f t="shared" si="311"/>
        <v/>
      </c>
      <c r="AW280" s="19" t="str">
        <f t="shared" ref="AW280:AW343" si="352">IF(AND(AM280,AN280,AR280,AT280),BP280,"")</f>
        <v/>
      </c>
      <c r="AX280" s="81">
        <f t="shared" ref="AX280:AX343" si="353">I280</f>
        <v>0</v>
      </c>
      <c r="AY280" s="81" t="str">
        <f t="shared" ref="AY280:AY343" si="354">V280</f>
        <v/>
      </c>
      <c r="AZ280" s="307" t="str">
        <f t="shared" si="304"/>
        <v/>
      </c>
      <c r="BA280" s="281" t="str">
        <f t="shared" si="312"/>
        <v/>
      </c>
      <c r="BB280" s="281" t="str">
        <f t="shared" si="313"/>
        <v/>
      </c>
      <c r="BC280" s="953"/>
      <c r="BD280" s="955"/>
      <c r="BE280" s="219" t="str">
        <f t="shared" ref="BE280:BE343" si="355">IF(G280=0,"n/a",G280&gt;=2*PI()*(F280/PI())^0.5)</f>
        <v>n/a</v>
      </c>
      <c r="BF280" s="215" t="b">
        <f t="shared" ref="BF280:BF343" si="356">AND(AM280,AN280,I280&gt;CQ280,Passcheck,InputIssuesOne=0,TopInputsOKOne)</f>
        <v>0</v>
      </c>
      <c r="BG280" s="145" t="b">
        <f t="shared" ref="BG280:BG343" si="357">AND(AM280,AN280,AR280,AT280,I280&lt;=CQ280,Passcheck,InputIssuesOne=0,TopInputsOKOne)</f>
        <v>0</v>
      </c>
      <c r="BH280" s="145" t="b">
        <f t="shared" ref="BH280:BH343" si="358">AND(AM280,AN280,AR280,AT280,I280&gt;CQ280,FailCheck,InputIssuesOne=0,TopInputsOKOne)</f>
        <v>0</v>
      </c>
      <c r="BI280" s="216" t="b">
        <f t="shared" ref="BI280:BI343" si="359">AND(AM280,AN280,I280&lt;=CQ280,InputIssuesOne=0,TopInputsOKOne)</f>
        <v>0</v>
      </c>
      <c r="BJ280" s="215" t="b">
        <f t="shared" ref="BJ280:BJ343" si="360">AND(AM280,AN280,AR280,AT280,Passcheck,InputIssuesOne=0,TopInputsOKOne)</f>
        <v>0</v>
      </c>
      <c r="BK280" s="145" t="b">
        <f t="shared" ref="BK280:BK343" si="361">AND(AM280,AN280,AR280,AT280,FailCheck,InputIssuesOne=0,TopInputsOKOne)</f>
        <v>0</v>
      </c>
      <c r="BL280" s="216" t="b">
        <f t="shared" ref="BL280:BL343" si="362">DX280&gt;0</f>
        <v>0</v>
      </c>
      <c r="BM280" s="217" t="str">
        <f t="shared" si="314"/>
        <v/>
      </c>
      <c r="BN280" s="146" t="str">
        <f t="shared" si="315"/>
        <v/>
      </c>
      <c r="BO280" s="147" t="str">
        <f t="shared" si="316"/>
        <v/>
      </c>
      <c r="BP280" s="148" t="str">
        <f t="shared" si="317"/>
        <v/>
      </c>
      <c r="BT280" s="50">
        <f t="shared" si="337"/>
        <v>257</v>
      </c>
      <c r="BU280" s="50" t="str">
        <f t="shared" si="333"/>
        <v>-</v>
      </c>
      <c r="BW280" s="340"/>
      <c r="BX280" s="333"/>
      <c r="BY280" s="333"/>
      <c r="BZ280" s="333"/>
      <c r="CA280" s="333"/>
      <c r="CB280" s="333"/>
      <c r="CC280" s="333"/>
      <c r="CD280" s="333"/>
      <c r="CE280" s="333"/>
      <c r="CF280" s="333"/>
      <c r="CG280" s="354">
        <f t="shared" ref="CG280:CG343" si="363">D280</f>
        <v>257</v>
      </c>
      <c r="CH280" s="613">
        <f t="shared" ref="CH280:CH343" si="364">E280</f>
        <v>0</v>
      </c>
      <c r="CI280" s="613">
        <f t="shared" ref="CI280:CI343" si="365">J280</f>
        <v>0</v>
      </c>
      <c r="CJ280" s="614" t="str">
        <f t="shared" ref="CJ280:CJ343" si="366">IF(ISBLANK(J280),"",VLOOKUP(J280,SpaceS1,5,FALSE))</f>
        <v/>
      </c>
      <c r="CK280" s="615" t="str">
        <f t="shared" ref="CK280:CK343" si="367">IF(ISBLANK(J280),"",ROUND(VLOOKUP(J280,SpaceS1,5,FALSE)*F280,0))</f>
        <v/>
      </c>
      <c r="CL280" s="610" t="str">
        <f>IF(ISBLANK(H280),"",IF(AND(ISNUMBER(F280),ISNUMBER(G280),ISNUMBER(H280)),ROUND(F280/(H280*G280),2),ROUND(F280/(VALUE(LEFT(H280,SUM(LEN(H280)-LEN(SUBSTITUTE(H280,{"0","1","2","3","4","5","6","7","8","9","."},"")))))*G280),2)))</f>
        <v/>
      </c>
      <c r="CM280" s="616" t="str">
        <f t="shared" si="318"/>
        <v/>
      </c>
      <c r="CN280" s="616" t="str">
        <f>IF(ISNUMBER(P280),MAX('Adjustment factors'!$S$16,(0.2+0.8*P280)),IF(ISTEXT(N280),VLOOKUP(N280,Afactors,2,FALSE),""))</f>
        <v/>
      </c>
      <c r="CO280" s="616" t="str">
        <f>IF(ISNUMBER(S280),MAX('Adjustment factors'!$S$16,0.2+0.8*S280),IF(ISTEXT(Q280),VLOOKUP(Q280,Afactors,2,FALSE),""))</f>
        <v/>
      </c>
      <c r="CP280" s="611" t="str">
        <f t="shared" si="305"/>
        <v/>
      </c>
      <c r="CQ280" s="612" t="str">
        <f t="shared" si="306"/>
        <v/>
      </c>
      <c r="CR280" s="340"/>
      <c r="CS280" s="340"/>
      <c r="CT280" s="340"/>
      <c r="CU280" s="340"/>
      <c r="CV280" s="333"/>
      <c r="CW280" s="333"/>
      <c r="CX280" s="333"/>
      <c r="CY280" s="333"/>
      <c r="DA280" s="313" t="str">
        <f t="shared" ref="DA280:DA343" si="368">IF(AND(COUNTA(DescriptionOne,ClassificationOne)=2,ISBLANK(E280),COUNTA(F280:J280)+COUNTA(N280:S280)&gt;0),"Enter Description","OK")</f>
        <v>OK</v>
      </c>
      <c r="DB280" s="313" t="str">
        <f t="shared" ref="DB280:DB343" si="369">IF(AND(COUNTA(DescriptionOne,ClassificationOne)=2,COUNTA(E280:J280)+COUNTA(N280:S280)&gt;0,ISBLANK(F280)),"Enter Floor area of the space","OK")</f>
        <v>OK</v>
      </c>
      <c r="DC280" s="313" t="str">
        <f t="shared" ref="DC280:DC343" si="370">IF(AND(COUNTA(DescriptionOne,ClassificationOne)=2,COUNTA(E280:J280)+COUNTA(N280:S280)&gt;0,ISBLANK(G280),H280&gt;0),"Enter Perimeter or clear height","OK")</f>
        <v>OK</v>
      </c>
      <c r="DD280" s="313" t="str">
        <f t="shared" ref="DD280:DD343" si="371">IF(AND(COUNTA(DescriptionOne,ClassificationOne)=2,COUNTA(E280:J280)+COUNTA(N280:S280)&gt;0,G280&gt;0,ISBLANK(H280)),"Enter Floor to ceiling height","OK")</f>
        <v>OK</v>
      </c>
      <c r="DE280" s="153" t="str">
        <f t="shared" ref="DE280:DE343" si="372">IF(AND(COUNTA(DescriptionOne,ClassificationOne)=2,COUNTA(E280:H280)&gt;1,ISBLANK(I280)),"Enter Design Illumination Power","OK")</f>
        <v>OK</v>
      </c>
      <c r="DF280" s="314" t="str">
        <f t="shared" ref="DF280:DF343" si="373">IF(AND(COUNTA(DescriptionOne,ClassificationOne)=2,COUNTA(E280:J280)+COUNTA(N280:S280)&gt;0,ISBLANK(J280)),"Enter Space","OK")</f>
        <v>OK</v>
      </c>
      <c r="DG280" s="482" t="str">
        <f t="shared" si="307"/>
        <v>OK</v>
      </c>
      <c r="DH280" s="482" t="str">
        <f>IF(OR(AND(T280='Adjustment factors'!$R$28,'Class 3, 5-9'!U280='Adjustment factors'!$R$29),AND('Class 3, 5-9'!T280='Adjustment factors'!$R$29,'Class 3, 5-9'!U280='Adjustment factors'!$R$28)),"Invalid combination of adjustment factors",IF(AND(T280=U280,NOT(ISBLANK(T280)),NOT(ISBLANK(U280))),"Same colour factor selected twice","OK"))</f>
        <v>OK</v>
      </c>
      <c r="DI280" s="313" t="str">
        <f t="shared" ref="DI280:DI343" si="374">IF(AND(COUNTA(DescriptionOne,ClassificationOne)=2,COUNTA(E280:J280)+COUNTA(N280:S280)&gt;0,OR(N280=ProgDim),ISBLANK(O280)),"Enter % of floor area controlled","OK")</f>
        <v>OK</v>
      </c>
      <c r="DJ280" s="153" t="str">
        <f t="shared" si="319"/>
        <v>OK</v>
      </c>
      <c r="DK280" s="153" t="str">
        <f t="shared" ref="DK280:DK343" si="375">IF(AND(COUNTA(O280)&gt;0, NOT(OR(N280=ProgDim))), "Adjustment factor is missing", "OK")</f>
        <v>OK</v>
      </c>
      <c r="DL280" s="313" t="str">
        <f t="shared" ref="DL280:DL343" si="376">IF(AND(ISNUMBER(P280),N280&lt;&gt;FixedDim),"Illuminance turndown is only valid for Fixed Dimming","OK")</f>
        <v>OK</v>
      </c>
      <c r="DM280" s="153" t="str">
        <f t="shared" ref="DM280:DM343" si="377">IF(AND(NOT(ISNUMBER(P280)),N280=FixedDim),"Enter an illuminance factor","OK")</f>
        <v>OK</v>
      </c>
      <c r="DN280" s="153" t="str">
        <f t="shared" si="320"/>
        <v>OK</v>
      </c>
      <c r="DO280" s="154" t="str">
        <f t="shared" si="321"/>
        <v>OK</v>
      </c>
      <c r="DP280" s="153" t="str">
        <f t="shared" ref="DP280:DP343" si="378">IF(AND(ISTEXT(Q280),NOT(ISTEXT(N280))),"Adjustment Factor 1 is missing","OK")</f>
        <v>OK</v>
      </c>
      <c r="DQ280" s="313" t="str">
        <f t="shared" ref="DQ280:DQ343" si="379">IF(AND(COUNTA(DescriptionOne,ClassificationOne)=2,COUNTA(E280:J280)+COUNTA(N280:S280)&gt;0,OR(Q280=ProgDim),ISBLANK(R280)),"Enter % of floor area controlled","OK")</f>
        <v>OK</v>
      </c>
      <c r="DR280" s="153" t="str">
        <f t="shared" si="322"/>
        <v>OK</v>
      </c>
      <c r="DS280" s="153" t="str">
        <f t="shared" ref="DS280:DS343" si="380">IF(AND(COUNTA(R280)&gt;0, NOT(OR(Q280=ProgDim))), "Adjustment factor is missing", "OK")</f>
        <v>OK</v>
      </c>
      <c r="DT280" s="313" t="str">
        <f t="shared" si="338"/>
        <v>OK</v>
      </c>
      <c r="DU280" s="153" t="str">
        <f t="shared" ref="DU280:DU343" si="381">IF(AND(NOT(ISNUMBER(S280)),Q280=FixedDim),"Enter an illuminance factor","OK")</f>
        <v>OK</v>
      </c>
      <c r="DV280" s="153" t="str">
        <f t="shared" si="323"/>
        <v>OK</v>
      </c>
      <c r="DW280" s="154" t="str">
        <f t="shared" si="324"/>
        <v>OK</v>
      </c>
      <c r="DX280" s="157">
        <f t="shared" si="325"/>
        <v>0</v>
      </c>
      <c r="DY280" s="156" t="str">
        <f t="shared" si="326"/>
        <v>OK</v>
      </c>
    </row>
    <row r="281" spans="1:129" ht="13" hidden="1" x14ac:dyDescent="0.3">
      <c r="A281" s="333"/>
      <c r="B281" s="333"/>
      <c r="C281" s="332" t="str">
        <f t="shared" si="334"/>
        <v>-</v>
      </c>
      <c r="D281" s="584">
        <f t="shared" si="336"/>
        <v>258</v>
      </c>
      <c r="E281" s="585"/>
      <c r="F281" s="586"/>
      <c r="G281" s="600"/>
      <c r="H281" s="587"/>
      <c r="I281" s="601"/>
      <c r="J281" s="585"/>
      <c r="K281" s="617"/>
      <c r="L281" s="602"/>
      <c r="M281" s="603"/>
      <c r="N281" s="588"/>
      <c r="O281" s="604"/>
      <c r="P281" s="605"/>
      <c r="Q281" s="588"/>
      <c r="R281" s="604"/>
      <c r="S281" s="605"/>
      <c r="T281" s="606"/>
      <c r="U281" s="606"/>
      <c r="V281" s="429" t="str">
        <f t="shared" si="331"/>
        <v/>
      </c>
      <c r="W281" s="430" t="str">
        <f t="shared" si="330"/>
        <v/>
      </c>
      <c r="X281" s="66" t="str">
        <f>IF(AND(ISNUMBER(P281),N281=FixedDim),MAX('Adjustment factors'!$S$16,0.2+0.8*P281),IF(ISTEXT(N281),VLOOKUP(N281,Afactors,2,TRUE),""))</f>
        <v/>
      </c>
      <c r="Y281" s="17" t="str">
        <f>IF(AND(ISNUMBER(S281),Q281=FixedDim),MAX('Adjustment factors'!$S$16,0.2+0.8*S281),IF(ISTEXT(Q281),VLOOKUP(Q281,Afactors,2,TRUE),""))</f>
        <v/>
      </c>
      <c r="Z281" s="297" t="str">
        <f>IF(ISBLANK(T281),"",VLOOKUP(T281,'Adjustment factors'!$R$27:$S$30,2,TRUE))</f>
        <v/>
      </c>
      <c r="AA281" s="297" t="str">
        <f>IF(ISBLANK(U281),"",VLOOKUP(U281,'Adjustment factors'!$R$27:$S$30,2,TRUE))</f>
        <v/>
      </c>
      <c r="AB281" s="480">
        <f t="shared" ref="AB281:AB344" si="382">IF(Z281="",1,IF(AA281="",Z281,Z281*AA281))</f>
        <v>1</v>
      </c>
      <c r="AC281" s="18" t="b">
        <f t="shared" si="339"/>
        <v>0</v>
      </c>
      <c r="AD281" s="18" t="b">
        <f t="shared" si="340"/>
        <v>0</v>
      </c>
      <c r="AE281" s="18" t="b">
        <f t="shared" si="327"/>
        <v>0</v>
      </c>
      <c r="AF281" s="17" t="str">
        <f t="shared" si="341"/>
        <v/>
      </c>
      <c r="AG281" s="18" t="str">
        <f t="shared" si="342"/>
        <v/>
      </c>
      <c r="AH281" s="17" t="str">
        <f t="shared" si="328"/>
        <v/>
      </c>
      <c r="AI281" s="297" t="e">
        <f t="shared" ref="AI281:AI344" si="383">IF(AND(ISNUMBER(AB281),ISNUMBER(AH281)),AH281/AB281,CK281/AB281)</f>
        <v>#VALUE!</v>
      </c>
      <c r="AJ281" s="79" t="e">
        <f t="shared" si="343"/>
        <v>#VALUE!</v>
      </c>
      <c r="AK281" s="17" t="str">
        <f t="shared" si="329"/>
        <v/>
      </c>
      <c r="AL281" s="80" t="e">
        <f t="shared" si="344"/>
        <v>#VALUE!</v>
      </c>
      <c r="AM281" s="139" t="b">
        <f t="shared" si="345"/>
        <v>1</v>
      </c>
      <c r="AN281" s="139" t="b">
        <f>AND(COUNTA(E281)&gt;0,ISNUMBER(F281),OR(COUNT(G281:H281)=0,COUNT(G281:H281)=2,AND(ISNUMBER(G281),ISNUMBER(VALUE(LEFT(H281,SUM(LEN(H281)-LEN(SUBSTITUTE(H281,{"0","1","2","3","4","5","6","7","8","9","."},"")))))))),ISNUMBER(I281),ISTEXT(J281))</f>
        <v>0</v>
      </c>
      <c r="AO281" s="19" t="b">
        <f t="shared" si="346"/>
        <v>0</v>
      </c>
      <c r="AP281" s="19" t="b">
        <f t="shared" si="347"/>
        <v>1</v>
      </c>
      <c r="AQ281" s="19" t="b">
        <f>IF(AND(COUNTBLANK(E281:J281)=6,OR(AN282:AN$523)),NOT(AN281))</f>
        <v>0</v>
      </c>
      <c r="AR281" s="19" t="str">
        <f t="shared" si="348"/>
        <v/>
      </c>
      <c r="AS281" s="19" t="b">
        <f t="shared" si="349"/>
        <v>1</v>
      </c>
      <c r="AT281" s="19" t="str">
        <f t="shared" si="350"/>
        <v/>
      </c>
      <c r="AU281" s="19" t="b">
        <f t="shared" si="351"/>
        <v>1</v>
      </c>
      <c r="AV281" s="140" t="str">
        <f t="shared" si="311"/>
        <v/>
      </c>
      <c r="AW281" s="19" t="str">
        <f t="shared" si="352"/>
        <v/>
      </c>
      <c r="AX281" s="81">
        <f t="shared" si="353"/>
        <v>0</v>
      </c>
      <c r="AY281" s="81" t="str">
        <f t="shared" si="354"/>
        <v/>
      </c>
      <c r="AZ281" s="307" t="str">
        <f t="shared" ref="AZ281:AZ344" si="384">IF(DA281&lt;&gt;"OK",DA281,IF(DB281&lt;&gt;"OK",DB281,IF(DC281&lt;&gt;"OK",DC281,IF(DD281&lt;&gt;"OK",DD281,IF(DE281&lt;&gt;"OK",DE281,IF(DF281&lt;&gt;"OK",DF281,IF(DG281&lt;&gt;"OK",DG281,IF(DH281&lt;&gt;"OK",DH281,BA281))))))))</f>
        <v/>
      </c>
      <c r="BA281" s="281" t="str">
        <f t="shared" si="312"/>
        <v/>
      </c>
      <c r="BB281" s="281" t="str">
        <f t="shared" si="313"/>
        <v/>
      </c>
      <c r="BC281" s="953"/>
      <c r="BD281" s="955"/>
      <c r="BE281" s="219" t="str">
        <f t="shared" si="355"/>
        <v>n/a</v>
      </c>
      <c r="BF281" s="215" t="b">
        <f t="shared" si="356"/>
        <v>0</v>
      </c>
      <c r="BG281" s="145" t="b">
        <f t="shared" si="357"/>
        <v>0</v>
      </c>
      <c r="BH281" s="145" t="b">
        <f t="shared" si="358"/>
        <v>0</v>
      </c>
      <c r="BI281" s="216" t="b">
        <f t="shared" si="359"/>
        <v>0</v>
      </c>
      <c r="BJ281" s="215" t="b">
        <f t="shared" si="360"/>
        <v>0</v>
      </c>
      <c r="BK281" s="145" t="b">
        <f t="shared" si="361"/>
        <v>0</v>
      </c>
      <c r="BL281" s="216" t="b">
        <f t="shared" si="362"/>
        <v>0</v>
      </c>
      <c r="BM281" s="217" t="str">
        <f t="shared" si="314"/>
        <v/>
      </c>
      <c r="BN281" s="146" t="str">
        <f t="shared" si="315"/>
        <v/>
      </c>
      <c r="BO281" s="147" t="str">
        <f t="shared" si="316"/>
        <v/>
      </c>
      <c r="BP281" s="148" t="str">
        <f t="shared" si="317"/>
        <v/>
      </c>
      <c r="BT281" s="50">
        <f t="shared" si="337"/>
        <v>258</v>
      </c>
      <c r="BU281" s="50" t="str">
        <f t="shared" si="333"/>
        <v>-</v>
      </c>
      <c r="BW281" s="340"/>
      <c r="BX281" s="333"/>
      <c r="BY281" s="333"/>
      <c r="BZ281" s="333"/>
      <c r="CA281" s="333"/>
      <c r="CB281" s="333"/>
      <c r="CC281" s="333"/>
      <c r="CD281" s="333"/>
      <c r="CE281" s="333"/>
      <c r="CF281" s="333"/>
      <c r="CG281" s="354">
        <f t="shared" si="363"/>
        <v>258</v>
      </c>
      <c r="CH281" s="613">
        <f t="shared" si="364"/>
        <v>0</v>
      </c>
      <c r="CI281" s="613">
        <f t="shared" si="365"/>
        <v>0</v>
      </c>
      <c r="CJ281" s="614" t="str">
        <f t="shared" si="366"/>
        <v/>
      </c>
      <c r="CK281" s="615" t="str">
        <f t="shared" si="367"/>
        <v/>
      </c>
      <c r="CL281" s="610" t="str">
        <f>IF(ISBLANK(H281),"",IF(AND(ISNUMBER(F281),ISNUMBER(G281),ISNUMBER(H281)),ROUND(F281/(H281*G281),2),ROUND(F281/(VALUE(LEFT(H281,SUM(LEN(H281)-LEN(SUBSTITUTE(H281,{"0","1","2","3","4","5","6","7","8","9","."},"")))))*G281),2)))</f>
        <v/>
      </c>
      <c r="CM281" s="616" t="str">
        <f t="shared" si="318"/>
        <v/>
      </c>
      <c r="CN281" s="616" t="str">
        <f>IF(ISNUMBER(P281),MAX('Adjustment factors'!$S$16,(0.2+0.8*P281)),IF(ISTEXT(N281),VLOOKUP(N281,Afactors,2,FALSE),""))</f>
        <v/>
      </c>
      <c r="CO281" s="616" t="str">
        <f>IF(ISNUMBER(S281),MAX('Adjustment factors'!$S$16,0.2+0.8*S281),IF(ISTEXT(Q281),VLOOKUP(Q281,Afactors,2,FALSE),""))</f>
        <v/>
      </c>
      <c r="CP281" s="611" t="str">
        <f t="shared" ref="CP281:CP344" si="385">IF(AB281&lt;&gt;1,AB281,"")</f>
        <v/>
      </c>
      <c r="CQ281" s="612" t="str">
        <f t="shared" ref="CQ281:CQ344" si="386">IFERROR(IF(AO281=TRUE,IF(ISNUMBER(AG281),ROUND(AL281,0),ROUND(AJ281,0)),""),"")</f>
        <v/>
      </c>
      <c r="CR281" s="340"/>
      <c r="CS281" s="340"/>
      <c r="CT281" s="340"/>
      <c r="CU281" s="340"/>
      <c r="CV281" s="333"/>
      <c r="CW281" s="333"/>
      <c r="CX281" s="333"/>
      <c r="CY281" s="333"/>
      <c r="DA281" s="313" t="str">
        <f t="shared" si="368"/>
        <v>OK</v>
      </c>
      <c r="DB281" s="313" t="str">
        <f t="shared" si="369"/>
        <v>OK</v>
      </c>
      <c r="DC281" s="313" t="str">
        <f t="shared" si="370"/>
        <v>OK</v>
      </c>
      <c r="DD281" s="313" t="str">
        <f t="shared" si="371"/>
        <v>OK</v>
      </c>
      <c r="DE281" s="153" t="str">
        <f t="shared" si="372"/>
        <v>OK</v>
      </c>
      <c r="DF281" s="314" t="str">
        <f t="shared" si="373"/>
        <v>OK</v>
      </c>
      <c r="DG281" s="482" t="str">
        <f t="shared" ref="DG281:DG344" si="387">IF(AND(COUNTBLANK(T281)=1,COUNTBLANK(U281)=0),"Second Colour Factor entered without First","OK")</f>
        <v>OK</v>
      </c>
      <c r="DH281" s="482" t="str">
        <f>IF(OR(AND(T281='Adjustment factors'!$R$28,'Class 3, 5-9'!U281='Adjustment factors'!$R$29),AND('Class 3, 5-9'!T281='Adjustment factors'!$R$29,'Class 3, 5-9'!U281='Adjustment factors'!$R$28)),"Invalid combination of adjustment factors",IF(AND(T281=U281,NOT(ISBLANK(T281)),NOT(ISBLANK(U281))),"Same colour factor selected twice","OK"))</f>
        <v>OK</v>
      </c>
      <c r="DI281" s="313" t="str">
        <f t="shared" si="374"/>
        <v>OK</v>
      </c>
      <c r="DJ281" s="153" t="str">
        <f t="shared" si="319"/>
        <v>OK</v>
      </c>
      <c r="DK281" s="153" t="str">
        <f t="shared" si="375"/>
        <v>OK</v>
      </c>
      <c r="DL281" s="313" t="str">
        <f t="shared" si="376"/>
        <v>OK</v>
      </c>
      <c r="DM281" s="153" t="str">
        <f t="shared" si="377"/>
        <v>OK</v>
      </c>
      <c r="DN281" s="153" t="str">
        <f t="shared" si="320"/>
        <v>OK</v>
      </c>
      <c r="DO281" s="154" t="str">
        <f t="shared" si="321"/>
        <v>OK</v>
      </c>
      <c r="DP281" s="153" t="str">
        <f t="shared" si="378"/>
        <v>OK</v>
      </c>
      <c r="DQ281" s="313" t="str">
        <f t="shared" si="379"/>
        <v>OK</v>
      </c>
      <c r="DR281" s="153" t="str">
        <f t="shared" si="322"/>
        <v>OK</v>
      </c>
      <c r="DS281" s="153" t="str">
        <f t="shared" si="380"/>
        <v>OK</v>
      </c>
      <c r="DT281" s="313" t="str">
        <f t="shared" si="338"/>
        <v>OK</v>
      </c>
      <c r="DU281" s="153" t="str">
        <f t="shared" si="381"/>
        <v>OK</v>
      </c>
      <c r="DV281" s="153" t="str">
        <f t="shared" si="323"/>
        <v>OK</v>
      </c>
      <c r="DW281" s="154" t="str">
        <f t="shared" si="324"/>
        <v>OK</v>
      </c>
      <c r="DX281" s="157">
        <f t="shared" si="325"/>
        <v>0</v>
      </c>
      <c r="DY281" s="156" t="str">
        <f t="shared" si="326"/>
        <v>OK</v>
      </c>
    </row>
    <row r="282" spans="1:129" ht="13" hidden="1" x14ac:dyDescent="0.3">
      <c r="A282" s="333"/>
      <c r="B282" s="333"/>
      <c r="C282" s="332" t="str">
        <f t="shared" si="334"/>
        <v>-</v>
      </c>
      <c r="D282" s="584">
        <f t="shared" si="336"/>
        <v>259</v>
      </c>
      <c r="E282" s="585"/>
      <c r="F282" s="586"/>
      <c r="G282" s="600"/>
      <c r="H282" s="587"/>
      <c r="I282" s="601"/>
      <c r="J282" s="585"/>
      <c r="K282" s="617"/>
      <c r="L282" s="602"/>
      <c r="M282" s="603"/>
      <c r="N282" s="588"/>
      <c r="O282" s="604"/>
      <c r="P282" s="605"/>
      <c r="Q282" s="588"/>
      <c r="R282" s="604"/>
      <c r="S282" s="605"/>
      <c r="T282" s="606"/>
      <c r="U282" s="606"/>
      <c r="V282" s="429" t="str">
        <f t="shared" si="331"/>
        <v/>
      </c>
      <c r="W282" s="430" t="str">
        <f t="shared" si="330"/>
        <v/>
      </c>
      <c r="X282" s="66" t="str">
        <f>IF(AND(ISNUMBER(P282),N282=FixedDim),MAX('Adjustment factors'!$S$16,0.2+0.8*P282),IF(ISTEXT(N282),VLOOKUP(N282,Afactors,2,TRUE),""))</f>
        <v/>
      </c>
      <c r="Y282" s="17" t="str">
        <f>IF(AND(ISNUMBER(S282),Q282=FixedDim),MAX('Adjustment factors'!$S$16,0.2+0.8*S282),IF(ISTEXT(Q282),VLOOKUP(Q282,Afactors,2,TRUE),""))</f>
        <v/>
      </c>
      <c r="Z282" s="297" t="str">
        <f>IF(ISBLANK(T282),"",VLOOKUP(T282,'Adjustment factors'!$R$27:$S$30,2,TRUE))</f>
        <v/>
      </c>
      <c r="AA282" s="297" t="str">
        <f>IF(ISBLANK(U282),"",VLOOKUP(U282,'Adjustment factors'!$R$27:$S$30,2,TRUE))</f>
        <v/>
      </c>
      <c r="AB282" s="480">
        <f t="shared" si="382"/>
        <v>1</v>
      </c>
      <c r="AC282" s="18" t="b">
        <f t="shared" si="339"/>
        <v>0</v>
      </c>
      <c r="AD282" s="18" t="b">
        <f t="shared" si="340"/>
        <v>0</v>
      </c>
      <c r="AE282" s="18" t="b">
        <f t="shared" si="327"/>
        <v>0</v>
      </c>
      <c r="AF282" s="17" t="str">
        <f t="shared" si="341"/>
        <v/>
      </c>
      <c r="AG282" s="18" t="str">
        <f t="shared" si="342"/>
        <v/>
      </c>
      <c r="AH282" s="17" t="str">
        <f t="shared" si="328"/>
        <v/>
      </c>
      <c r="AI282" s="297" t="e">
        <f t="shared" si="383"/>
        <v>#VALUE!</v>
      </c>
      <c r="AJ282" s="79" t="e">
        <f t="shared" si="343"/>
        <v>#VALUE!</v>
      </c>
      <c r="AK282" s="17" t="str">
        <f t="shared" si="329"/>
        <v/>
      </c>
      <c r="AL282" s="80" t="e">
        <f t="shared" si="344"/>
        <v>#VALUE!</v>
      </c>
      <c r="AM282" s="139" t="b">
        <f t="shared" si="345"/>
        <v>1</v>
      </c>
      <c r="AN282" s="139" t="b">
        <f>AND(COUNTA(E282)&gt;0,ISNUMBER(F282),OR(COUNT(G282:H282)=0,COUNT(G282:H282)=2,AND(ISNUMBER(G282),ISNUMBER(VALUE(LEFT(H282,SUM(LEN(H282)-LEN(SUBSTITUTE(H282,{"0","1","2","3","4","5","6","7","8","9","."},"")))))))),ISNUMBER(I282),ISTEXT(J282))</f>
        <v>0</v>
      </c>
      <c r="AO282" s="19" t="b">
        <f t="shared" si="346"/>
        <v>0</v>
      </c>
      <c r="AP282" s="19" t="b">
        <f t="shared" si="347"/>
        <v>1</v>
      </c>
      <c r="AQ282" s="19" t="b">
        <f>IF(AND(COUNTBLANK(E282:J282)=6,OR(AN283:AN$523)),NOT(AN282))</f>
        <v>0</v>
      </c>
      <c r="AR282" s="19" t="str">
        <f t="shared" si="348"/>
        <v/>
      </c>
      <c r="AS282" s="19" t="b">
        <f t="shared" si="349"/>
        <v>1</v>
      </c>
      <c r="AT282" s="19" t="str">
        <f t="shared" si="350"/>
        <v/>
      </c>
      <c r="AU282" s="19" t="b">
        <f t="shared" si="351"/>
        <v>1</v>
      </c>
      <c r="AV282" s="140" t="str">
        <f t="shared" si="311"/>
        <v/>
      </c>
      <c r="AW282" s="19" t="str">
        <f t="shared" si="352"/>
        <v/>
      </c>
      <c r="AX282" s="81">
        <f t="shared" si="353"/>
        <v>0</v>
      </c>
      <c r="AY282" s="81" t="str">
        <f t="shared" si="354"/>
        <v/>
      </c>
      <c r="AZ282" s="307" t="str">
        <f t="shared" si="384"/>
        <v/>
      </c>
      <c r="BA282" s="281" t="str">
        <f t="shared" si="312"/>
        <v/>
      </c>
      <c r="BB282" s="281" t="str">
        <f t="shared" si="313"/>
        <v/>
      </c>
      <c r="BC282" s="953"/>
      <c r="BD282" s="955"/>
      <c r="BE282" s="219" t="str">
        <f t="shared" si="355"/>
        <v>n/a</v>
      </c>
      <c r="BF282" s="215" t="b">
        <f t="shared" si="356"/>
        <v>0</v>
      </c>
      <c r="BG282" s="145" t="b">
        <f t="shared" si="357"/>
        <v>0</v>
      </c>
      <c r="BH282" s="145" t="b">
        <f t="shared" si="358"/>
        <v>0</v>
      </c>
      <c r="BI282" s="216" t="b">
        <f t="shared" si="359"/>
        <v>0</v>
      </c>
      <c r="BJ282" s="215" t="b">
        <f t="shared" si="360"/>
        <v>0</v>
      </c>
      <c r="BK282" s="145" t="b">
        <f t="shared" si="361"/>
        <v>0</v>
      </c>
      <c r="BL282" s="216" t="b">
        <f t="shared" si="362"/>
        <v>0</v>
      </c>
      <c r="BM282" s="217" t="str">
        <f t="shared" si="314"/>
        <v/>
      </c>
      <c r="BN282" s="146" t="str">
        <f t="shared" si="315"/>
        <v/>
      </c>
      <c r="BO282" s="147" t="str">
        <f t="shared" si="316"/>
        <v/>
      </c>
      <c r="BP282" s="148" t="str">
        <f t="shared" si="317"/>
        <v/>
      </c>
      <c r="BT282" s="50">
        <f t="shared" si="337"/>
        <v>259</v>
      </c>
      <c r="BU282" s="50" t="str">
        <f t="shared" si="333"/>
        <v>-</v>
      </c>
      <c r="BW282" s="340"/>
      <c r="BX282" s="333"/>
      <c r="BY282" s="333"/>
      <c r="BZ282" s="333"/>
      <c r="CA282" s="333"/>
      <c r="CB282" s="333"/>
      <c r="CC282" s="333"/>
      <c r="CD282" s="333"/>
      <c r="CE282" s="333"/>
      <c r="CF282" s="333"/>
      <c r="CG282" s="354">
        <f t="shared" si="363"/>
        <v>259</v>
      </c>
      <c r="CH282" s="613">
        <f t="shared" si="364"/>
        <v>0</v>
      </c>
      <c r="CI282" s="613">
        <f t="shared" si="365"/>
        <v>0</v>
      </c>
      <c r="CJ282" s="614" t="str">
        <f t="shared" si="366"/>
        <v/>
      </c>
      <c r="CK282" s="615" t="str">
        <f t="shared" si="367"/>
        <v/>
      </c>
      <c r="CL282" s="610" t="str">
        <f>IF(ISBLANK(H282),"",IF(AND(ISNUMBER(F282),ISNUMBER(G282),ISNUMBER(H282)),ROUND(F282/(H282*G282),2),ROUND(F282/(VALUE(LEFT(H282,SUM(LEN(H282)-LEN(SUBSTITUTE(H282,{"0","1","2","3","4","5","6","7","8","9","."},"")))))*G282),2)))</f>
        <v/>
      </c>
      <c r="CM282" s="616" t="str">
        <f t="shared" si="318"/>
        <v/>
      </c>
      <c r="CN282" s="616" t="str">
        <f>IF(ISNUMBER(P282),MAX('Adjustment factors'!$S$16,(0.2+0.8*P282)),IF(ISTEXT(N282),VLOOKUP(N282,Afactors,2,FALSE),""))</f>
        <v/>
      </c>
      <c r="CO282" s="616" t="str">
        <f>IF(ISNUMBER(S282),MAX('Adjustment factors'!$S$16,0.2+0.8*S282),IF(ISTEXT(Q282),VLOOKUP(Q282,Afactors,2,FALSE),""))</f>
        <v/>
      </c>
      <c r="CP282" s="611" t="str">
        <f t="shared" si="385"/>
        <v/>
      </c>
      <c r="CQ282" s="612" t="str">
        <f t="shared" si="386"/>
        <v/>
      </c>
      <c r="CR282" s="340"/>
      <c r="CS282" s="340"/>
      <c r="CT282" s="340"/>
      <c r="CU282" s="340"/>
      <c r="CV282" s="333"/>
      <c r="CW282" s="333"/>
      <c r="CX282" s="333"/>
      <c r="CY282" s="333"/>
      <c r="DA282" s="313" t="str">
        <f t="shared" si="368"/>
        <v>OK</v>
      </c>
      <c r="DB282" s="313" t="str">
        <f t="shared" si="369"/>
        <v>OK</v>
      </c>
      <c r="DC282" s="313" t="str">
        <f t="shared" si="370"/>
        <v>OK</v>
      </c>
      <c r="DD282" s="313" t="str">
        <f t="shared" si="371"/>
        <v>OK</v>
      </c>
      <c r="DE282" s="153" t="str">
        <f t="shared" si="372"/>
        <v>OK</v>
      </c>
      <c r="DF282" s="314" t="str">
        <f t="shared" si="373"/>
        <v>OK</v>
      </c>
      <c r="DG282" s="482" t="str">
        <f t="shared" si="387"/>
        <v>OK</v>
      </c>
      <c r="DH282" s="482" t="str">
        <f>IF(OR(AND(T282='Adjustment factors'!$R$28,'Class 3, 5-9'!U282='Adjustment factors'!$R$29),AND('Class 3, 5-9'!T282='Adjustment factors'!$R$29,'Class 3, 5-9'!U282='Adjustment factors'!$R$28)),"Invalid combination of adjustment factors",IF(AND(T282=U282,NOT(ISBLANK(T282)),NOT(ISBLANK(U282))),"Same colour factor selected twice","OK"))</f>
        <v>OK</v>
      </c>
      <c r="DI282" s="313" t="str">
        <f t="shared" si="374"/>
        <v>OK</v>
      </c>
      <c r="DJ282" s="153" t="str">
        <f t="shared" si="319"/>
        <v>OK</v>
      </c>
      <c r="DK282" s="153" t="str">
        <f t="shared" si="375"/>
        <v>OK</v>
      </c>
      <c r="DL282" s="313" t="str">
        <f t="shared" si="376"/>
        <v>OK</v>
      </c>
      <c r="DM282" s="153" t="str">
        <f t="shared" si="377"/>
        <v>OK</v>
      </c>
      <c r="DN282" s="153" t="str">
        <f t="shared" si="320"/>
        <v>OK</v>
      </c>
      <c r="DO282" s="154" t="str">
        <f t="shared" si="321"/>
        <v>OK</v>
      </c>
      <c r="DP282" s="153" t="str">
        <f t="shared" si="378"/>
        <v>OK</v>
      </c>
      <c r="DQ282" s="313" t="str">
        <f t="shared" si="379"/>
        <v>OK</v>
      </c>
      <c r="DR282" s="153" t="str">
        <f t="shared" si="322"/>
        <v>OK</v>
      </c>
      <c r="DS282" s="153" t="str">
        <f t="shared" si="380"/>
        <v>OK</v>
      </c>
      <c r="DT282" s="313" t="str">
        <f t="shared" si="338"/>
        <v>OK</v>
      </c>
      <c r="DU282" s="153" t="str">
        <f t="shared" si="381"/>
        <v>OK</v>
      </c>
      <c r="DV282" s="153" t="str">
        <f t="shared" si="323"/>
        <v>OK</v>
      </c>
      <c r="DW282" s="154" t="str">
        <f t="shared" si="324"/>
        <v>OK</v>
      </c>
      <c r="DX282" s="157">
        <f t="shared" si="325"/>
        <v>0</v>
      </c>
      <c r="DY282" s="156" t="str">
        <f t="shared" si="326"/>
        <v>OK</v>
      </c>
    </row>
    <row r="283" spans="1:129" ht="13" hidden="1" x14ac:dyDescent="0.3">
      <c r="A283" s="333"/>
      <c r="B283" s="333"/>
      <c r="C283" s="332" t="str">
        <f t="shared" si="334"/>
        <v>-</v>
      </c>
      <c r="D283" s="584">
        <f t="shared" si="336"/>
        <v>260</v>
      </c>
      <c r="E283" s="585"/>
      <c r="F283" s="586"/>
      <c r="G283" s="600"/>
      <c r="H283" s="587"/>
      <c r="I283" s="601"/>
      <c r="J283" s="585"/>
      <c r="K283" s="617"/>
      <c r="L283" s="602"/>
      <c r="M283" s="603"/>
      <c r="N283" s="588"/>
      <c r="O283" s="604"/>
      <c r="P283" s="605"/>
      <c r="Q283" s="588"/>
      <c r="R283" s="604"/>
      <c r="S283" s="605"/>
      <c r="T283" s="606"/>
      <c r="U283" s="606"/>
      <c r="V283" s="429" t="str">
        <f t="shared" si="331"/>
        <v/>
      </c>
      <c r="W283" s="430" t="str">
        <f t="shared" si="330"/>
        <v/>
      </c>
      <c r="X283" s="66" t="str">
        <f>IF(AND(ISNUMBER(P283),N283=FixedDim),MAX('Adjustment factors'!$S$16,0.2+0.8*P283),IF(ISTEXT(N283),VLOOKUP(N283,Afactors,2,TRUE),""))</f>
        <v/>
      </c>
      <c r="Y283" s="17" t="str">
        <f>IF(AND(ISNUMBER(S283),Q283=FixedDim),MAX('Adjustment factors'!$S$16,0.2+0.8*S283),IF(ISTEXT(Q283),VLOOKUP(Q283,Afactors,2,TRUE),""))</f>
        <v/>
      </c>
      <c r="Z283" s="297" t="str">
        <f>IF(ISBLANK(T283),"",VLOOKUP(T283,'Adjustment factors'!$R$27:$S$30,2,TRUE))</f>
        <v/>
      </c>
      <c r="AA283" s="297" t="str">
        <f>IF(ISBLANK(U283),"",VLOOKUP(U283,'Adjustment factors'!$R$27:$S$30,2,TRUE))</f>
        <v/>
      </c>
      <c r="AB283" s="480">
        <f t="shared" si="382"/>
        <v>1</v>
      </c>
      <c r="AC283" s="18" t="b">
        <f t="shared" si="339"/>
        <v>0</v>
      </c>
      <c r="AD283" s="18" t="b">
        <f t="shared" si="340"/>
        <v>0</v>
      </c>
      <c r="AE283" s="18" t="b">
        <f t="shared" si="327"/>
        <v>0</v>
      </c>
      <c r="AF283" s="17" t="str">
        <f t="shared" si="341"/>
        <v/>
      </c>
      <c r="AG283" s="18" t="str">
        <f t="shared" si="342"/>
        <v/>
      </c>
      <c r="AH283" s="17" t="str">
        <f t="shared" si="328"/>
        <v/>
      </c>
      <c r="AI283" s="297" t="e">
        <f t="shared" si="383"/>
        <v>#VALUE!</v>
      </c>
      <c r="AJ283" s="79" t="e">
        <f t="shared" si="343"/>
        <v>#VALUE!</v>
      </c>
      <c r="AK283" s="17" t="str">
        <f t="shared" si="329"/>
        <v/>
      </c>
      <c r="AL283" s="80" t="e">
        <f t="shared" si="344"/>
        <v>#VALUE!</v>
      </c>
      <c r="AM283" s="139" t="b">
        <f t="shared" si="345"/>
        <v>1</v>
      </c>
      <c r="AN283" s="139" t="b">
        <f>AND(COUNTA(E283)&gt;0,ISNUMBER(F283),OR(COUNT(G283:H283)=0,COUNT(G283:H283)=2,AND(ISNUMBER(G283),ISNUMBER(VALUE(LEFT(H283,SUM(LEN(H283)-LEN(SUBSTITUTE(H283,{"0","1","2","3","4","5","6","7","8","9","."},"")))))))),ISNUMBER(I283),ISTEXT(J283))</f>
        <v>0</v>
      </c>
      <c r="AO283" s="19" t="b">
        <f t="shared" si="346"/>
        <v>0</v>
      </c>
      <c r="AP283" s="19" t="b">
        <f t="shared" si="347"/>
        <v>1</v>
      </c>
      <c r="AQ283" s="19" t="b">
        <f>IF(AND(COUNTBLANK(E283:J283)=6,OR(AN284:AN$523)),NOT(AN283))</f>
        <v>0</v>
      </c>
      <c r="AR283" s="19" t="str">
        <f t="shared" si="348"/>
        <v/>
      </c>
      <c r="AS283" s="19" t="b">
        <f t="shared" si="349"/>
        <v>1</v>
      </c>
      <c r="AT283" s="19" t="str">
        <f t="shared" si="350"/>
        <v/>
      </c>
      <c r="AU283" s="19" t="b">
        <f t="shared" si="351"/>
        <v>1</v>
      </c>
      <c r="AV283" s="140" t="str">
        <f t="shared" si="311"/>
        <v/>
      </c>
      <c r="AW283" s="19" t="str">
        <f t="shared" si="352"/>
        <v/>
      </c>
      <c r="AX283" s="81">
        <f t="shared" si="353"/>
        <v>0</v>
      </c>
      <c r="AY283" s="81" t="str">
        <f t="shared" si="354"/>
        <v/>
      </c>
      <c r="AZ283" s="307" t="str">
        <f t="shared" si="384"/>
        <v/>
      </c>
      <c r="BA283" s="281" t="str">
        <f t="shared" si="312"/>
        <v/>
      </c>
      <c r="BB283" s="281" t="str">
        <f t="shared" si="313"/>
        <v/>
      </c>
      <c r="BC283" s="953"/>
      <c r="BD283" s="955"/>
      <c r="BE283" s="219" t="str">
        <f t="shared" si="355"/>
        <v>n/a</v>
      </c>
      <c r="BF283" s="215" t="b">
        <f t="shared" si="356"/>
        <v>0</v>
      </c>
      <c r="BG283" s="145" t="b">
        <f t="shared" si="357"/>
        <v>0</v>
      </c>
      <c r="BH283" s="145" t="b">
        <f t="shared" si="358"/>
        <v>0</v>
      </c>
      <c r="BI283" s="216" t="b">
        <f t="shared" si="359"/>
        <v>0</v>
      </c>
      <c r="BJ283" s="215" t="b">
        <f t="shared" si="360"/>
        <v>0</v>
      </c>
      <c r="BK283" s="145" t="b">
        <f t="shared" si="361"/>
        <v>0</v>
      </c>
      <c r="BL283" s="216" t="b">
        <f t="shared" si="362"/>
        <v>0</v>
      </c>
      <c r="BM283" s="217" t="str">
        <f t="shared" si="314"/>
        <v/>
      </c>
      <c r="BN283" s="146" t="str">
        <f t="shared" si="315"/>
        <v/>
      </c>
      <c r="BO283" s="147" t="str">
        <f t="shared" si="316"/>
        <v/>
      </c>
      <c r="BP283" s="148" t="str">
        <f t="shared" si="317"/>
        <v/>
      </c>
      <c r="BT283" s="50">
        <f t="shared" si="337"/>
        <v>260</v>
      </c>
      <c r="BU283" s="50" t="str">
        <f t="shared" si="333"/>
        <v>-</v>
      </c>
      <c r="BW283" s="340"/>
      <c r="BX283" s="333"/>
      <c r="BY283" s="333"/>
      <c r="BZ283" s="333"/>
      <c r="CA283" s="333"/>
      <c r="CB283" s="333"/>
      <c r="CC283" s="333"/>
      <c r="CD283" s="333"/>
      <c r="CE283" s="333"/>
      <c r="CF283" s="333"/>
      <c r="CG283" s="354">
        <f t="shared" si="363"/>
        <v>260</v>
      </c>
      <c r="CH283" s="613">
        <f t="shared" si="364"/>
        <v>0</v>
      </c>
      <c r="CI283" s="613">
        <f t="shared" si="365"/>
        <v>0</v>
      </c>
      <c r="CJ283" s="614" t="str">
        <f t="shared" si="366"/>
        <v/>
      </c>
      <c r="CK283" s="615" t="str">
        <f t="shared" si="367"/>
        <v/>
      </c>
      <c r="CL283" s="610" t="str">
        <f>IF(ISBLANK(H283),"",IF(AND(ISNUMBER(F283),ISNUMBER(G283),ISNUMBER(H283)),ROUND(F283/(H283*G283),2),ROUND(F283/(VALUE(LEFT(H283,SUM(LEN(H283)-LEN(SUBSTITUTE(H283,{"0","1","2","3","4","5","6","7","8","9","."},"")))))*G283),2)))</f>
        <v/>
      </c>
      <c r="CM283" s="616" t="str">
        <f t="shared" si="318"/>
        <v/>
      </c>
      <c r="CN283" s="616" t="str">
        <f>IF(ISNUMBER(P283),MAX('Adjustment factors'!$S$16,(0.2+0.8*P283)),IF(ISTEXT(N283),VLOOKUP(N283,Afactors,2,FALSE),""))</f>
        <v/>
      </c>
      <c r="CO283" s="616" t="str">
        <f>IF(ISNUMBER(S283),MAX('Adjustment factors'!$S$16,0.2+0.8*S283),IF(ISTEXT(Q283),VLOOKUP(Q283,Afactors,2,FALSE),""))</f>
        <v/>
      </c>
      <c r="CP283" s="611" t="str">
        <f t="shared" si="385"/>
        <v/>
      </c>
      <c r="CQ283" s="612" t="str">
        <f t="shared" si="386"/>
        <v/>
      </c>
      <c r="CR283" s="340"/>
      <c r="CS283" s="340"/>
      <c r="CT283" s="340"/>
      <c r="CU283" s="340"/>
      <c r="CV283" s="333"/>
      <c r="CW283" s="333"/>
      <c r="CX283" s="333"/>
      <c r="CY283" s="333"/>
      <c r="DA283" s="313" t="str">
        <f t="shared" si="368"/>
        <v>OK</v>
      </c>
      <c r="DB283" s="313" t="str">
        <f t="shared" si="369"/>
        <v>OK</v>
      </c>
      <c r="DC283" s="313" t="str">
        <f t="shared" si="370"/>
        <v>OK</v>
      </c>
      <c r="DD283" s="313" t="str">
        <f t="shared" si="371"/>
        <v>OK</v>
      </c>
      <c r="DE283" s="153" t="str">
        <f t="shared" si="372"/>
        <v>OK</v>
      </c>
      <c r="DF283" s="314" t="str">
        <f t="shared" si="373"/>
        <v>OK</v>
      </c>
      <c r="DG283" s="482" t="str">
        <f t="shared" si="387"/>
        <v>OK</v>
      </c>
      <c r="DH283" s="482" t="str">
        <f>IF(OR(AND(T283='Adjustment factors'!$R$28,'Class 3, 5-9'!U283='Adjustment factors'!$R$29),AND('Class 3, 5-9'!T283='Adjustment factors'!$R$29,'Class 3, 5-9'!U283='Adjustment factors'!$R$28)),"Invalid combination of adjustment factors",IF(AND(T283=U283,NOT(ISBLANK(T283)),NOT(ISBLANK(U283))),"Same colour factor selected twice","OK"))</f>
        <v>OK</v>
      </c>
      <c r="DI283" s="313" t="str">
        <f t="shared" si="374"/>
        <v>OK</v>
      </c>
      <c r="DJ283" s="153" t="str">
        <f t="shared" si="319"/>
        <v>OK</v>
      </c>
      <c r="DK283" s="153" t="str">
        <f t="shared" si="375"/>
        <v>OK</v>
      </c>
      <c r="DL283" s="313" t="str">
        <f t="shared" si="376"/>
        <v>OK</v>
      </c>
      <c r="DM283" s="153" t="str">
        <f t="shared" si="377"/>
        <v>OK</v>
      </c>
      <c r="DN283" s="153" t="str">
        <f t="shared" si="320"/>
        <v>OK</v>
      </c>
      <c r="DO283" s="154" t="str">
        <f t="shared" si="321"/>
        <v>OK</v>
      </c>
      <c r="DP283" s="153" t="str">
        <f t="shared" si="378"/>
        <v>OK</v>
      </c>
      <c r="DQ283" s="313" t="str">
        <f t="shared" si="379"/>
        <v>OK</v>
      </c>
      <c r="DR283" s="153" t="str">
        <f t="shared" si="322"/>
        <v>OK</v>
      </c>
      <c r="DS283" s="153" t="str">
        <f t="shared" si="380"/>
        <v>OK</v>
      </c>
      <c r="DT283" s="313" t="str">
        <f t="shared" si="338"/>
        <v>OK</v>
      </c>
      <c r="DU283" s="153" t="str">
        <f t="shared" si="381"/>
        <v>OK</v>
      </c>
      <c r="DV283" s="153" t="str">
        <f t="shared" si="323"/>
        <v>OK</v>
      </c>
      <c r="DW283" s="154" t="str">
        <f t="shared" si="324"/>
        <v>OK</v>
      </c>
      <c r="DX283" s="157">
        <f t="shared" si="325"/>
        <v>0</v>
      </c>
      <c r="DY283" s="156" t="str">
        <f t="shared" si="326"/>
        <v>OK</v>
      </c>
    </row>
    <row r="284" spans="1:129" ht="13" hidden="1" x14ac:dyDescent="0.3">
      <c r="A284" s="333"/>
      <c r="B284" s="333"/>
      <c r="C284" s="332" t="str">
        <f t="shared" si="334"/>
        <v>-</v>
      </c>
      <c r="D284" s="584">
        <f t="shared" si="336"/>
        <v>261</v>
      </c>
      <c r="E284" s="585"/>
      <c r="F284" s="586"/>
      <c r="G284" s="600"/>
      <c r="H284" s="587"/>
      <c r="I284" s="601"/>
      <c r="J284" s="585"/>
      <c r="K284" s="617"/>
      <c r="L284" s="602"/>
      <c r="M284" s="603"/>
      <c r="N284" s="588"/>
      <c r="O284" s="604"/>
      <c r="P284" s="605"/>
      <c r="Q284" s="588"/>
      <c r="R284" s="604"/>
      <c r="S284" s="605"/>
      <c r="T284" s="606"/>
      <c r="U284" s="606"/>
      <c r="V284" s="429" t="str">
        <f t="shared" si="331"/>
        <v/>
      </c>
      <c r="W284" s="430" t="str">
        <f t="shared" si="330"/>
        <v/>
      </c>
      <c r="X284" s="66" t="str">
        <f>IF(AND(ISNUMBER(P284),N284=FixedDim),MAX('Adjustment factors'!$S$16,0.2+0.8*P284),IF(ISTEXT(N284),VLOOKUP(N284,Afactors,2,TRUE),""))</f>
        <v/>
      </c>
      <c r="Y284" s="17" t="str">
        <f>IF(AND(ISNUMBER(S284),Q284=FixedDim),MAX('Adjustment factors'!$S$16,0.2+0.8*S284),IF(ISTEXT(Q284),VLOOKUP(Q284,Afactors,2,TRUE),""))</f>
        <v/>
      </c>
      <c r="Z284" s="297" t="str">
        <f>IF(ISBLANK(T284),"",VLOOKUP(T284,'Adjustment factors'!$R$27:$S$30,2,TRUE))</f>
        <v/>
      </c>
      <c r="AA284" s="297" t="str">
        <f>IF(ISBLANK(U284),"",VLOOKUP(U284,'Adjustment factors'!$R$27:$S$30,2,TRUE))</f>
        <v/>
      </c>
      <c r="AB284" s="480">
        <f t="shared" si="382"/>
        <v>1</v>
      </c>
      <c r="AC284" s="18" t="b">
        <f t="shared" si="339"/>
        <v>0</v>
      </c>
      <c r="AD284" s="18" t="b">
        <f t="shared" si="340"/>
        <v>0</v>
      </c>
      <c r="AE284" s="18" t="b">
        <f t="shared" si="327"/>
        <v>0</v>
      </c>
      <c r="AF284" s="17" t="str">
        <f t="shared" si="341"/>
        <v/>
      </c>
      <c r="AG284" s="18" t="str">
        <f t="shared" si="342"/>
        <v/>
      </c>
      <c r="AH284" s="17" t="str">
        <f t="shared" si="328"/>
        <v/>
      </c>
      <c r="AI284" s="297" t="e">
        <f t="shared" si="383"/>
        <v>#VALUE!</v>
      </c>
      <c r="AJ284" s="79" t="e">
        <f t="shared" si="343"/>
        <v>#VALUE!</v>
      </c>
      <c r="AK284" s="17" t="str">
        <f t="shared" si="329"/>
        <v/>
      </c>
      <c r="AL284" s="80" t="e">
        <f t="shared" si="344"/>
        <v>#VALUE!</v>
      </c>
      <c r="AM284" s="139" t="b">
        <f t="shared" si="345"/>
        <v>1</v>
      </c>
      <c r="AN284" s="139" t="b">
        <f>AND(COUNTA(E284)&gt;0,ISNUMBER(F284),OR(COUNT(G284:H284)=0,COUNT(G284:H284)=2,AND(ISNUMBER(G284),ISNUMBER(VALUE(LEFT(H284,SUM(LEN(H284)-LEN(SUBSTITUTE(H284,{"0","1","2","3","4","5","6","7","8","9","."},"")))))))),ISNUMBER(I284),ISTEXT(J284))</f>
        <v>0</v>
      </c>
      <c r="AO284" s="19" t="b">
        <f t="shared" si="346"/>
        <v>0</v>
      </c>
      <c r="AP284" s="19" t="b">
        <f t="shared" si="347"/>
        <v>1</v>
      </c>
      <c r="AQ284" s="19" t="b">
        <f>IF(AND(COUNTBLANK(E284:J284)=6,OR(AN285:AN$523)),NOT(AN284))</f>
        <v>0</v>
      </c>
      <c r="AR284" s="19" t="str">
        <f t="shared" si="348"/>
        <v/>
      </c>
      <c r="AS284" s="19" t="b">
        <f t="shared" si="349"/>
        <v>1</v>
      </c>
      <c r="AT284" s="19" t="str">
        <f t="shared" si="350"/>
        <v/>
      </c>
      <c r="AU284" s="19" t="b">
        <f t="shared" si="351"/>
        <v>1</v>
      </c>
      <c r="AV284" s="140" t="str">
        <f t="shared" si="311"/>
        <v/>
      </c>
      <c r="AW284" s="19" t="str">
        <f t="shared" si="352"/>
        <v/>
      </c>
      <c r="AX284" s="81">
        <f t="shared" si="353"/>
        <v>0</v>
      </c>
      <c r="AY284" s="81" t="str">
        <f t="shared" si="354"/>
        <v/>
      </c>
      <c r="AZ284" s="307" t="str">
        <f t="shared" si="384"/>
        <v/>
      </c>
      <c r="BA284" s="281" t="str">
        <f t="shared" si="312"/>
        <v/>
      </c>
      <c r="BB284" s="281" t="str">
        <f t="shared" si="313"/>
        <v/>
      </c>
      <c r="BC284" s="953"/>
      <c r="BD284" s="955"/>
      <c r="BE284" s="219" t="str">
        <f t="shared" si="355"/>
        <v>n/a</v>
      </c>
      <c r="BF284" s="215" t="b">
        <f t="shared" si="356"/>
        <v>0</v>
      </c>
      <c r="BG284" s="145" t="b">
        <f t="shared" si="357"/>
        <v>0</v>
      </c>
      <c r="BH284" s="145" t="b">
        <f t="shared" si="358"/>
        <v>0</v>
      </c>
      <c r="BI284" s="216" t="b">
        <f t="shared" si="359"/>
        <v>0</v>
      </c>
      <c r="BJ284" s="215" t="b">
        <f t="shared" si="360"/>
        <v>0</v>
      </c>
      <c r="BK284" s="145" t="b">
        <f t="shared" si="361"/>
        <v>0</v>
      </c>
      <c r="BL284" s="216" t="b">
        <f t="shared" si="362"/>
        <v>0</v>
      </c>
      <c r="BM284" s="217" t="str">
        <f t="shared" si="314"/>
        <v/>
      </c>
      <c r="BN284" s="146" t="str">
        <f t="shared" si="315"/>
        <v/>
      </c>
      <c r="BO284" s="147" t="str">
        <f t="shared" si="316"/>
        <v/>
      </c>
      <c r="BP284" s="148" t="str">
        <f t="shared" si="317"/>
        <v/>
      </c>
      <c r="BT284" s="50">
        <f t="shared" si="337"/>
        <v>261</v>
      </c>
      <c r="BU284" s="50" t="str">
        <f t="shared" si="333"/>
        <v>-</v>
      </c>
      <c r="BW284" s="340"/>
      <c r="BX284" s="333"/>
      <c r="BY284" s="333"/>
      <c r="BZ284" s="333"/>
      <c r="CA284" s="333"/>
      <c r="CB284" s="333"/>
      <c r="CC284" s="333"/>
      <c r="CD284" s="333"/>
      <c r="CE284" s="333"/>
      <c r="CF284" s="333"/>
      <c r="CG284" s="354">
        <f t="shared" si="363"/>
        <v>261</v>
      </c>
      <c r="CH284" s="613">
        <f t="shared" si="364"/>
        <v>0</v>
      </c>
      <c r="CI284" s="613">
        <f t="shared" si="365"/>
        <v>0</v>
      </c>
      <c r="CJ284" s="614" t="str">
        <f t="shared" si="366"/>
        <v/>
      </c>
      <c r="CK284" s="615" t="str">
        <f t="shared" si="367"/>
        <v/>
      </c>
      <c r="CL284" s="610" t="str">
        <f>IF(ISBLANK(H284),"",IF(AND(ISNUMBER(F284),ISNUMBER(G284),ISNUMBER(H284)),ROUND(F284/(H284*G284),2),ROUND(F284/(VALUE(LEFT(H284,SUM(LEN(H284)-LEN(SUBSTITUTE(H284,{"0","1","2","3","4","5","6","7","8","9","."},"")))))*G284),2)))</f>
        <v/>
      </c>
      <c r="CM284" s="616" t="str">
        <f t="shared" si="318"/>
        <v/>
      </c>
      <c r="CN284" s="616" t="str">
        <f>IF(ISNUMBER(P284),MAX('Adjustment factors'!$S$16,(0.2+0.8*P284)),IF(ISTEXT(N284),VLOOKUP(N284,Afactors,2,FALSE),""))</f>
        <v/>
      </c>
      <c r="CO284" s="616" t="str">
        <f>IF(ISNUMBER(S284),MAX('Adjustment factors'!$S$16,0.2+0.8*S284),IF(ISTEXT(Q284),VLOOKUP(Q284,Afactors,2,FALSE),""))</f>
        <v/>
      </c>
      <c r="CP284" s="611" t="str">
        <f t="shared" si="385"/>
        <v/>
      </c>
      <c r="CQ284" s="612" t="str">
        <f t="shared" si="386"/>
        <v/>
      </c>
      <c r="CR284" s="340"/>
      <c r="CS284" s="340"/>
      <c r="CT284" s="340"/>
      <c r="CU284" s="340"/>
      <c r="CV284" s="333"/>
      <c r="CW284" s="333"/>
      <c r="CX284" s="333"/>
      <c r="CY284" s="333"/>
      <c r="DA284" s="313" t="str">
        <f t="shared" si="368"/>
        <v>OK</v>
      </c>
      <c r="DB284" s="313" t="str">
        <f t="shared" si="369"/>
        <v>OK</v>
      </c>
      <c r="DC284" s="313" t="str">
        <f t="shared" si="370"/>
        <v>OK</v>
      </c>
      <c r="DD284" s="313" t="str">
        <f t="shared" si="371"/>
        <v>OK</v>
      </c>
      <c r="DE284" s="153" t="str">
        <f t="shared" si="372"/>
        <v>OK</v>
      </c>
      <c r="DF284" s="314" t="str">
        <f t="shared" si="373"/>
        <v>OK</v>
      </c>
      <c r="DG284" s="482" t="str">
        <f t="shared" si="387"/>
        <v>OK</v>
      </c>
      <c r="DH284" s="482" t="str">
        <f>IF(OR(AND(T284='Adjustment factors'!$R$28,'Class 3, 5-9'!U284='Adjustment factors'!$R$29),AND('Class 3, 5-9'!T284='Adjustment factors'!$R$29,'Class 3, 5-9'!U284='Adjustment factors'!$R$28)),"Invalid combination of adjustment factors",IF(AND(T284=U284,NOT(ISBLANK(T284)),NOT(ISBLANK(U284))),"Same colour factor selected twice","OK"))</f>
        <v>OK</v>
      </c>
      <c r="DI284" s="313" t="str">
        <f t="shared" si="374"/>
        <v>OK</v>
      </c>
      <c r="DJ284" s="153" t="str">
        <f t="shared" si="319"/>
        <v>OK</v>
      </c>
      <c r="DK284" s="153" t="str">
        <f t="shared" si="375"/>
        <v>OK</v>
      </c>
      <c r="DL284" s="313" t="str">
        <f t="shared" si="376"/>
        <v>OK</v>
      </c>
      <c r="DM284" s="153" t="str">
        <f t="shared" si="377"/>
        <v>OK</v>
      </c>
      <c r="DN284" s="153" t="str">
        <f t="shared" si="320"/>
        <v>OK</v>
      </c>
      <c r="DO284" s="154" t="str">
        <f t="shared" si="321"/>
        <v>OK</v>
      </c>
      <c r="DP284" s="153" t="str">
        <f t="shared" si="378"/>
        <v>OK</v>
      </c>
      <c r="DQ284" s="313" t="str">
        <f t="shared" si="379"/>
        <v>OK</v>
      </c>
      <c r="DR284" s="153" t="str">
        <f t="shared" si="322"/>
        <v>OK</v>
      </c>
      <c r="DS284" s="153" t="str">
        <f t="shared" si="380"/>
        <v>OK</v>
      </c>
      <c r="DT284" s="313" t="str">
        <f t="shared" si="338"/>
        <v>OK</v>
      </c>
      <c r="DU284" s="153" t="str">
        <f t="shared" si="381"/>
        <v>OK</v>
      </c>
      <c r="DV284" s="153" t="str">
        <f t="shared" si="323"/>
        <v>OK</v>
      </c>
      <c r="DW284" s="154" t="str">
        <f t="shared" si="324"/>
        <v>OK</v>
      </c>
      <c r="DX284" s="157">
        <f t="shared" si="325"/>
        <v>0</v>
      </c>
      <c r="DY284" s="156" t="str">
        <f t="shared" si="326"/>
        <v>OK</v>
      </c>
    </row>
    <row r="285" spans="1:129" ht="13" hidden="1" x14ac:dyDescent="0.3">
      <c r="A285" s="333"/>
      <c r="B285" s="333"/>
      <c r="C285" s="332" t="str">
        <f t="shared" si="334"/>
        <v>-</v>
      </c>
      <c r="D285" s="584">
        <f t="shared" si="336"/>
        <v>262</v>
      </c>
      <c r="E285" s="585"/>
      <c r="F285" s="586"/>
      <c r="G285" s="600"/>
      <c r="H285" s="587"/>
      <c r="I285" s="601"/>
      <c r="J285" s="585"/>
      <c r="K285" s="617"/>
      <c r="L285" s="602"/>
      <c r="M285" s="603"/>
      <c r="N285" s="588"/>
      <c r="O285" s="604"/>
      <c r="P285" s="605"/>
      <c r="Q285" s="588"/>
      <c r="R285" s="604"/>
      <c r="S285" s="605"/>
      <c r="T285" s="606"/>
      <c r="U285" s="606"/>
      <c r="V285" s="429" t="str">
        <f t="shared" si="331"/>
        <v/>
      </c>
      <c r="W285" s="430" t="str">
        <f t="shared" si="330"/>
        <v/>
      </c>
      <c r="X285" s="66" t="str">
        <f>IF(AND(ISNUMBER(P285),N285=FixedDim),MAX('Adjustment factors'!$S$16,0.2+0.8*P285),IF(ISTEXT(N285),VLOOKUP(N285,Afactors,2,TRUE),""))</f>
        <v/>
      </c>
      <c r="Y285" s="17" t="str">
        <f>IF(AND(ISNUMBER(S285),Q285=FixedDim),MAX('Adjustment factors'!$S$16,0.2+0.8*S285),IF(ISTEXT(Q285),VLOOKUP(Q285,Afactors,2,TRUE),""))</f>
        <v/>
      </c>
      <c r="Z285" s="297" t="str">
        <f>IF(ISBLANK(T285),"",VLOOKUP(T285,'Adjustment factors'!$R$27:$S$30,2,TRUE))</f>
        <v/>
      </c>
      <c r="AA285" s="297" t="str">
        <f>IF(ISBLANK(U285),"",VLOOKUP(U285,'Adjustment factors'!$R$27:$S$30,2,TRUE))</f>
        <v/>
      </c>
      <c r="AB285" s="480">
        <f t="shared" si="382"/>
        <v>1</v>
      </c>
      <c r="AC285" s="18" t="b">
        <f t="shared" si="339"/>
        <v>0</v>
      </c>
      <c r="AD285" s="18" t="b">
        <f t="shared" si="340"/>
        <v>0</v>
      </c>
      <c r="AE285" s="18" t="b">
        <f t="shared" si="327"/>
        <v>0</v>
      </c>
      <c r="AF285" s="17" t="str">
        <f t="shared" si="341"/>
        <v/>
      </c>
      <c r="AG285" s="18" t="str">
        <f t="shared" si="342"/>
        <v/>
      </c>
      <c r="AH285" s="17" t="str">
        <f t="shared" si="328"/>
        <v/>
      </c>
      <c r="AI285" s="297" t="e">
        <f t="shared" si="383"/>
        <v>#VALUE!</v>
      </c>
      <c r="AJ285" s="79" t="e">
        <f t="shared" si="343"/>
        <v>#VALUE!</v>
      </c>
      <c r="AK285" s="17" t="str">
        <f t="shared" si="329"/>
        <v/>
      </c>
      <c r="AL285" s="80" t="e">
        <f t="shared" si="344"/>
        <v>#VALUE!</v>
      </c>
      <c r="AM285" s="139" t="b">
        <f t="shared" si="345"/>
        <v>1</v>
      </c>
      <c r="AN285" s="139" t="b">
        <f>AND(COUNTA(E285)&gt;0,ISNUMBER(F285),OR(COUNT(G285:H285)=0,COUNT(G285:H285)=2,AND(ISNUMBER(G285),ISNUMBER(VALUE(LEFT(H285,SUM(LEN(H285)-LEN(SUBSTITUTE(H285,{"0","1","2","3","4","5","6","7","8","9","."},"")))))))),ISNUMBER(I285),ISTEXT(J285))</f>
        <v>0</v>
      </c>
      <c r="AO285" s="19" t="b">
        <f t="shared" si="346"/>
        <v>0</v>
      </c>
      <c r="AP285" s="19" t="b">
        <f t="shared" si="347"/>
        <v>1</v>
      </c>
      <c r="AQ285" s="19" t="b">
        <f>IF(AND(COUNTBLANK(E285:J285)=6,OR(AN286:AN$523)),NOT(AN285))</f>
        <v>0</v>
      </c>
      <c r="AR285" s="19" t="str">
        <f t="shared" si="348"/>
        <v/>
      </c>
      <c r="AS285" s="19" t="b">
        <f t="shared" si="349"/>
        <v>1</v>
      </c>
      <c r="AT285" s="19" t="str">
        <f t="shared" si="350"/>
        <v/>
      </c>
      <c r="AU285" s="19" t="b">
        <f t="shared" si="351"/>
        <v>1</v>
      </c>
      <c r="AV285" s="140" t="str">
        <f t="shared" si="311"/>
        <v/>
      </c>
      <c r="AW285" s="19" t="str">
        <f t="shared" si="352"/>
        <v/>
      </c>
      <c r="AX285" s="81">
        <f t="shared" si="353"/>
        <v>0</v>
      </c>
      <c r="AY285" s="81" t="str">
        <f t="shared" si="354"/>
        <v/>
      </c>
      <c r="AZ285" s="307" t="str">
        <f t="shared" si="384"/>
        <v/>
      </c>
      <c r="BA285" s="281" t="str">
        <f t="shared" si="312"/>
        <v/>
      </c>
      <c r="BB285" s="281" t="str">
        <f t="shared" si="313"/>
        <v/>
      </c>
      <c r="BC285" s="953"/>
      <c r="BD285" s="955"/>
      <c r="BE285" s="219" t="str">
        <f t="shared" si="355"/>
        <v>n/a</v>
      </c>
      <c r="BF285" s="215" t="b">
        <f t="shared" si="356"/>
        <v>0</v>
      </c>
      <c r="BG285" s="145" t="b">
        <f t="shared" si="357"/>
        <v>0</v>
      </c>
      <c r="BH285" s="145" t="b">
        <f t="shared" si="358"/>
        <v>0</v>
      </c>
      <c r="BI285" s="216" t="b">
        <f t="shared" si="359"/>
        <v>0</v>
      </c>
      <c r="BJ285" s="215" t="b">
        <f t="shared" si="360"/>
        <v>0</v>
      </c>
      <c r="BK285" s="145" t="b">
        <f t="shared" si="361"/>
        <v>0</v>
      </c>
      <c r="BL285" s="216" t="b">
        <f t="shared" si="362"/>
        <v>0</v>
      </c>
      <c r="BM285" s="217" t="str">
        <f t="shared" si="314"/>
        <v/>
      </c>
      <c r="BN285" s="146" t="str">
        <f t="shared" si="315"/>
        <v/>
      </c>
      <c r="BO285" s="147" t="str">
        <f t="shared" si="316"/>
        <v/>
      </c>
      <c r="BP285" s="148" t="str">
        <f t="shared" si="317"/>
        <v/>
      </c>
      <c r="BT285" s="50">
        <f t="shared" si="337"/>
        <v>262</v>
      </c>
      <c r="BU285" s="50" t="str">
        <f t="shared" si="333"/>
        <v>-</v>
      </c>
      <c r="BW285" s="340"/>
      <c r="BX285" s="333"/>
      <c r="BY285" s="333"/>
      <c r="BZ285" s="333"/>
      <c r="CA285" s="333"/>
      <c r="CB285" s="333"/>
      <c r="CC285" s="333"/>
      <c r="CD285" s="333"/>
      <c r="CE285" s="333"/>
      <c r="CF285" s="333"/>
      <c r="CG285" s="354">
        <f t="shared" si="363"/>
        <v>262</v>
      </c>
      <c r="CH285" s="613">
        <f t="shared" si="364"/>
        <v>0</v>
      </c>
      <c r="CI285" s="613">
        <f t="shared" si="365"/>
        <v>0</v>
      </c>
      <c r="CJ285" s="614" t="str">
        <f t="shared" si="366"/>
        <v/>
      </c>
      <c r="CK285" s="615" t="str">
        <f t="shared" si="367"/>
        <v/>
      </c>
      <c r="CL285" s="610" t="str">
        <f>IF(ISBLANK(H285),"",IF(AND(ISNUMBER(F285),ISNUMBER(G285),ISNUMBER(H285)),ROUND(F285/(H285*G285),2),ROUND(F285/(VALUE(LEFT(H285,SUM(LEN(H285)-LEN(SUBSTITUTE(H285,{"0","1","2","3","4","5","6","7","8","9","."},"")))))*G285),2)))</f>
        <v/>
      </c>
      <c r="CM285" s="616" t="str">
        <f t="shared" si="318"/>
        <v/>
      </c>
      <c r="CN285" s="616" t="str">
        <f>IF(ISNUMBER(P285),MAX('Adjustment factors'!$S$16,(0.2+0.8*P285)),IF(ISTEXT(N285),VLOOKUP(N285,Afactors,2,FALSE),""))</f>
        <v/>
      </c>
      <c r="CO285" s="616" t="str">
        <f>IF(ISNUMBER(S285),MAX('Adjustment factors'!$S$16,0.2+0.8*S285),IF(ISTEXT(Q285),VLOOKUP(Q285,Afactors,2,FALSE),""))</f>
        <v/>
      </c>
      <c r="CP285" s="611" t="str">
        <f t="shared" si="385"/>
        <v/>
      </c>
      <c r="CQ285" s="612" t="str">
        <f t="shared" si="386"/>
        <v/>
      </c>
      <c r="CR285" s="340"/>
      <c r="CS285" s="340"/>
      <c r="CT285" s="340"/>
      <c r="CU285" s="340"/>
      <c r="CV285" s="333"/>
      <c r="CW285" s="333"/>
      <c r="CX285" s="333"/>
      <c r="CY285" s="333"/>
      <c r="DA285" s="313" t="str">
        <f t="shared" si="368"/>
        <v>OK</v>
      </c>
      <c r="DB285" s="313" t="str">
        <f t="shared" si="369"/>
        <v>OK</v>
      </c>
      <c r="DC285" s="313" t="str">
        <f t="shared" si="370"/>
        <v>OK</v>
      </c>
      <c r="DD285" s="313" t="str">
        <f t="shared" si="371"/>
        <v>OK</v>
      </c>
      <c r="DE285" s="153" t="str">
        <f t="shared" si="372"/>
        <v>OK</v>
      </c>
      <c r="DF285" s="314" t="str">
        <f t="shared" si="373"/>
        <v>OK</v>
      </c>
      <c r="DG285" s="482" t="str">
        <f t="shared" si="387"/>
        <v>OK</v>
      </c>
      <c r="DH285" s="482" t="str">
        <f>IF(OR(AND(T285='Adjustment factors'!$R$28,'Class 3, 5-9'!U285='Adjustment factors'!$R$29),AND('Class 3, 5-9'!T285='Adjustment factors'!$R$29,'Class 3, 5-9'!U285='Adjustment factors'!$R$28)),"Invalid combination of adjustment factors",IF(AND(T285=U285,NOT(ISBLANK(T285)),NOT(ISBLANK(U285))),"Same colour factor selected twice","OK"))</f>
        <v>OK</v>
      </c>
      <c r="DI285" s="313" t="str">
        <f t="shared" si="374"/>
        <v>OK</v>
      </c>
      <c r="DJ285" s="153" t="str">
        <f t="shared" si="319"/>
        <v>OK</v>
      </c>
      <c r="DK285" s="153" t="str">
        <f t="shared" si="375"/>
        <v>OK</v>
      </c>
      <c r="DL285" s="313" t="str">
        <f t="shared" si="376"/>
        <v>OK</v>
      </c>
      <c r="DM285" s="153" t="str">
        <f t="shared" si="377"/>
        <v>OK</v>
      </c>
      <c r="DN285" s="153" t="str">
        <f t="shared" si="320"/>
        <v>OK</v>
      </c>
      <c r="DO285" s="154" t="str">
        <f t="shared" si="321"/>
        <v>OK</v>
      </c>
      <c r="DP285" s="153" t="str">
        <f t="shared" si="378"/>
        <v>OK</v>
      </c>
      <c r="DQ285" s="313" t="str">
        <f t="shared" si="379"/>
        <v>OK</v>
      </c>
      <c r="DR285" s="153" t="str">
        <f t="shared" si="322"/>
        <v>OK</v>
      </c>
      <c r="DS285" s="153" t="str">
        <f t="shared" si="380"/>
        <v>OK</v>
      </c>
      <c r="DT285" s="313" t="str">
        <f t="shared" si="338"/>
        <v>OK</v>
      </c>
      <c r="DU285" s="153" t="str">
        <f t="shared" si="381"/>
        <v>OK</v>
      </c>
      <c r="DV285" s="153" t="str">
        <f t="shared" si="323"/>
        <v>OK</v>
      </c>
      <c r="DW285" s="154" t="str">
        <f t="shared" si="324"/>
        <v>OK</v>
      </c>
      <c r="DX285" s="157">
        <f t="shared" si="325"/>
        <v>0</v>
      </c>
      <c r="DY285" s="156" t="str">
        <f t="shared" si="326"/>
        <v>OK</v>
      </c>
    </row>
    <row r="286" spans="1:129" ht="13" hidden="1" x14ac:dyDescent="0.3">
      <c r="A286" s="333"/>
      <c r="B286" s="333"/>
      <c r="C286" s="332" t="str">
        <f t="shared" si="334"/>
        <v>-</v>
      </c>
      <c r="D286" s="584">
        <f t="shared" si="336"/>
        <v>263</v>
      </c>
      <c r="E286" s="585"/>
      <c r="F286" s="586"/>
      <c r="G286" s="600"/>
      <c r="H286" s="587"/>
      <c r="I286" s="601"/>
      <c r="J286" s="585"/>
      <c r="K286" s="617"/>
      <c r="L286" s="602"/>
      <c r="M286" s="603"/>
      <c r="N286" s="588"/>
      <c r="O286" s="604"/>
      <c r="P286" s="605"/>
      <c r="Q286" s="588"/>
      <c r="R286" s="604"/>
      <c r="S286" s="605"/>
      <c r="T286" s="606"/>
      <c r="U286" s="606"/>
      <c r="V286" s="429" t="str">
        <f t="shared" si="331"/>
        <v/>
      </c>
      <c r="W286" s="430" t="str">
        <f t="shared" si="330"/>
        <v/>
      </c>
      <c r="X286" s="66" t="str">
        <f>IF(AND(ISNUMBER(P286),N286=FixedDim),MAX('Adjustment factors'!$S$16,0.2+0.8*P286),IF(ISTEXT(N286),VLOOKUP(N286,Afactors,2,TRUE),""))</f>
        <v/>
      </c>
      <c r="Y286" s="17" t="str">
        <f>IF(AND(ISNUMBER(S286),Q286=FixedDim),MAX('Adjustment factors'!$S$16,0.2+0.8*S286),IF(ISTEXT(Q286),VLOOKUP(Q286,Afactors,2,TRUE),""))</f>
        <v/>
      </c>
      <c r="Z286" s="297" t="str">
        <f>IF(ISBLANK(T286),"",VLOOKUP(T286,'Adjustment factors'!$R$27:$S$30,2,TRUE))</f>
        <v/>
      </c>
      <c r="AA286" s="297" t="str">
        <f>IF(ISBLANK(U286),"",VLOOKUP(U286,'Adjustment factors'!$R$27:$S$30,2,TRUE))</f>
        <v/>
      </c>
      <c r="AB286" s="480">
        <f t="shared" si="382"/>
        <v>1</v>
      </c>
      <c r="AC286" s="18" t="b">
        <f t="shared" si="339"/>
        <v>0</v>
      </c>
      <c r="AD286" s="18" t="b">
        <f t="shared" si="340"/>
        <v>0</v>
      </c>
      <c r="AE286" s="18" t="b">
        <f t="shared" si="327"/>
        <v>0</v>
      </c>
      <c r="AF286" s="17" t="str">
        <f t="shared" si="341"/>
        <v/>
      </c>
      <c r="AG286" s="18" t="str">
        <f t="shared" si="342"/>
        <v/>
      </c>
      <c r="AH286" s="17" t="str">
        <f t="shared" si="328"/>
        <v/>
      </c>
      <c r="AI286" s="297" t="e">
        <f t="shared" si="383"/>
        <v>#VALUE!</v>
      </c>
      <c r="AJ286" s="79" t="e">
        <f t="shared" si="343"/>
        <v>#VALUE!</v>
      </c>
      <c r="AK286" s="17" t="str">
        <f t="shared" si="329"/>
        <v/>
      </c>
      <c r="AL286" s="80" t="e">
        <f t="shared" si="344"/>
        <v>#VALUE!</v>
      </c>
      <c r="AM286" s="139" t="b">
        <f t="shared" si="345"/>
        <v>1</v>
      </c>
      <c r="AN286" s="139" t="b">
        <f>AND(COUNTA(E286)&gt;0,ISNUMBER(F286),OR(COUNT(G286:H286)=0,COUNT(G286:H286)=2,AND(ISNUMBER(G286),ISNUMBER(VALUE(LEFT(H286,SUM(LEN(H286)-LEN(SUBSTITUTE(H286,{"0","1","2","3","4","5","6","7","8","9","."},"")))))))),ISNUMBER(I286),ISTEXT(J286))</f>
        <v>0</v>
      </c>
      <c r="AO286" s="19" t="b">
        <f t="shared" si="346"/>
        <v>0</v>
      </c>
      <c r="AP286" s="19" t="b">
        <f t="shared" si="347"/>
        <v>1</v>
      </c>
      <c r="AQ286" s="19" t="b">
        <f>IF(AND(COUNTBLANK(E286:J286)=6,OR(AN287:AN$523)),NOT(AN286))</f>
        <v>0</v>
      </c>
      <c r="AR286" s="19" t="str">
        <f t="shared" si="348"/>
        <v/>
      </c>
      <c r="AS286" s="19" t="b">
        <f t="shared" si="349"/>
        <v>1</v>
      </c>
      <c r="AT286" s="19" t="str">
        <f t="shared" si="350"/>
        <v/>
      </c>
      <c r="AU286" s="19" t="b">
        <f t="shared" si="351"/>
        <v>1</v>
      </c>
      <c r="AV286" s="140" t="str">
        <f t="shared" si="311"/>
        <v/>
      </c>
      <c r="AW286" s="19" t="str">
        <f t="shared" si="352"/>
        <v/>
      </c>
      <c r="AX286" s="81">
        <f t="shared" si="353"/>
        <v>0</v>
      </c>
      <c r="AY286" s="81" t="str">
        <f t="shared" si="354"/>
        <v/>
      </c>
      <c r="AZ286" s="307" t="str">
        <f t="shared" si="384"/>
        <v/>
      </c>
      <c r="BA286" s="281" t="str">
        <f t="shared" si="312"/>
        <v/>
      </c>
      <c r="BB286" s="281" t="str">
        <f t="shared" si="313"/>
        <v/>
      </c>
      <c r="BC286" s="953"/>
      <c r="BD286" s="955"/>
      <c r="BE286" s="219" t="str">
        <f t="shared" si="355"/>
        <v>n/a</v>
      </c>
      <c r="BF286" s="215" t="b">
        <f t="shared" si="356"/>
        <v>0</v>
      </c>
      <c r="BG286" s="145" t="b">
        <f t="shared" si="357"/>
        <v>0</v>
      </c>
      <c r="BH286" s="145" t="b">
        <f t="shared" si="358"/>
        <v>0</v>
      </c>
      <c r="BI286" s="216" t="b">
        <f t="shared" si="359"/>
        <v>0</v>
      </c>
      <c r="BJ286" s="215" t="b">
        <f t="shared" si="360"/>
        <v>0</v>
      </c>
      <c r="BK286" s="145" t="b">
        <f t="shared" si="361"/>
        <v>0</v>
      </c>
      <c r="BL286" s="216" t="b">
        <f t="shared" si="362"/>
        <v>0</v>
      </c>
      <c r="BM286" s="217" t="str">
        <f t="shared" si="314"/>
        <v/>
      </c>
      <c r="BN286" s="146" t="str">
        <f t="shared" si="315"/>
        <v/>
      </c>
      <c r="BO286" s="147" t="str">
        <f t="shared" si="316"/>
        <v/>
      </c>
      <c r="BP286" s="148" t="str">
        <f t="shared" si="317"/>
        <v/>
      </c>
      <c r="BT286" s="50">
        <f t="shared" si="337"/>
        <v>263</v>
      </c>
      <c r="BU286" s="50" t="str">
        <f t="shared" si="333"/>
        <v>-</v>
      </c>
      <c r="BW286" s="340"/>
      <c r="BX286" s="333"/>
      <c r="BY286" s="333"/>
      <c r="BZ286" s="333"/>
      <c r="CA286" s="333"/>
      <c r="CB286" s="333"/>
      <c r="CC286" s="333"/>
      <c r="CD286" s="333"/>
      <c r="CE286" s="333"/>
      <c r="CF286" s="333"/>
      <c r="CG286" s="354">
        <f t="shared" si="363"/>
        <v>263</v>
      </c>
      <c r="CH286" s="613">
        <f t="shared" si="364"/>
        <v>0</v>
      </c>
      <c r="CI286" s="613">
        <f t="shared" si="365"/>
        <v>0</v>
      </c>
      <c r="CJ286" s="614" t="str">
        <f t="shared" si="366"/>
        <v/>
      </c>
      <c r="CK286" s="615" t="str">
        <f t="shared" si="367"/>
        <v/>
      </c>
      <c r="CL286" s="610" t="str">
        <f>IF(ISBLANK(H286),"",IF(AND(ISNUMBER(F286),ISNUMBER(G286),ISNUMBER(H286)),ROUND(F286/(H286*G286),2),ROUND(F286/(VALUE(LEFT(H286,SUM(LEN(H286)-LEN(SUBSTITUTE(H286,{"0","1","2","3","4","5","6","7","8","9","."},"")))))*G286),2)))</f>
        <v/>
      </c>
      <c r="CM286" s="616" t="str">
        <f t="shared" si="318"/>
        <v/>
      </c>
      <c r="CN286" s="616" t="str">
        <f>IF(ISNUMBER(P286),MAX('Adjustment factors'!$S$16,(0.2+0.8*P286)),IF(ISTEXT(N286),VLOOKUP(N286,Afactors,2,FALSE),""))</f>
        <v/>
      </c>
      <c r="CO286" s="616" t="str">
        <f>IF(ISNUMBER(S286),MAX('Adjustment factors'!$S$16,0.2+0.8*S286),IF(ISTEXT(Q286),VLOOKUP(Q286,Afactors,2,FALSE),""))</f>
        <v/>
      </c>
      <c r="CP286" s="611" t="str">
        <f t="shared" si="385"/>
        <v/>
      </c>
      <c r="CQ286" s="612" t="str">
        <f t="shared" si="386"/>
        <v/>
      </c>
      <c r="CR286" s="340"/>
      <c r="CS286" s="340"/>
      <c r="CT286" s="340"/>
      <c r="CU286" s="340"/>
      <c r="CV286" s="333"/>
      <c r="CW286" s="333"/>
      <c r="CX286" s="333"/>
      <c r="CY286" s="333"/>
      <c r="DA286" s="313" t="str">
        <f t="shared" si="368"/>
        <v>OK</v>
      </c>
      <c r="DB286" s="313" t="str">
        <f t="shared" si="369"/>
        <v>OK</v>
      </c>
      <c r="DC286" s="313" t="str">
        <f t="shared" si="370"/>
        <v>OK</v>
      </c>
      <c r="DD286" s="313" t="str">
        <f t="shared" si="371"/>
        <v>OK</v>
      </c>
      <c r="DE286" s="153" t="str">
        <f t="shared" si="372"/>
        <v>OK</v>
      </c>
      <c r="DF286" s="314" t="str">
        <f t="shared" si="373"/>
        <v>OK</v>
      </c>
      <c r="DG286" s="482" t="str">
        <f t="shared" si="387"/>
        <v>OK</v>
      </c>
      <c r="DH286" s="482" t="str">
        <f>IF(OR(AND(T286='Adjustment factors'!$R$28,'Class 3, 5-9'!U286='Adjustment factors'!$R$29),AND('Class 3, 5-9'!T286='Adjustment factors'!$R$29,'Class 3, 5-9'!U286='Adjustment factors'!$R$28)),"Invalid combination of adjustment factors",IF(AND(T286=U286,NOT(ISBLANK(T286)),NOT(ISBLANK(U286))),"Same colour factor selected twice","OK"))</f>
        <v>OK</v>
      </c>
      <c r="DI286" s="313" t="str">
        <f t="shared" si="374"/>
        <v>OK</v>
      </c>
      <c r="DJ286" s="153" t="str">
        <f t="shared" si="319"/>
        <v>OK</v>
      </c>
      <c r="DK286" s="153" t="str">
        <f t="shared" si="375"/>
        <v>OK</v>
      </c>
      <c r="DL286" s="313" t="str">
        <f t="shared" si="376"/>
        <v>OK</v>
      </c>
      <c r="DM286" s="153" t="str">
        <f t="shared" si="377"/>
        <v>OK</v>
      </c>
      <c r="DN286" s="153" t="str">
        <f t="shared" si="320"/>
        <v>OK</v>
      </c>
      <c r="DO286" s="154" t="str">
        <f t="shared" si="321"/>
        <v>OK</v>
      </c>
      <c r="DP286" s="153" t="str">
        <f t="shared" si="378"/>
        <v>OK</v>
      </c>
      <c r="DQ286" s="313" t="str">
        <f t="shared" si="379"/>
        <v>OK</v>
      </c>
      <c r="DR286" s="153" t="str">
        <f t="shared" si="322"/>
        <v>OK</v>
      </c>
      <c r="DS286" s="153" t="str">
        <f t="shared" si="380"/>
        <v>OK</v>
      </c>
      <c r="DT286" s="313" t="str">
        <f t="shared" si="338"/>
        <v>OK</v>
      </c>
      <c r="DU286" s="153" t="str">
        <f t="shared" si="381"/>
        <v>OK</v>
      </c>
      <c r="DV286" s="153" t="str">
        <f t="shared" si="323"/>
        <v>OK</v>
      </c>
      <c r="DW286" s="154" t="str">
        <f t="shared" si="324"/>
        <v>OK</v>
      </c>
      <c r="DX286" s="157">
        <f t="shared" si="325"/>
        <v>0</v>
      </c>
      <c r="DY286" s="156" t="str">
        <f t="shared" si="326"/>
        <v>OK</v>
      </c>
    </row>
    <row r="287" spans="1:129" ht="13" hidden="1" x14ac:dyDescent="0.3">
      <c r="A287" s="333"/>
      <c r="B287" s="333"/>
      <c r="C287" s="332" t="str">
        <f t="shared" si="334"/>
        <v>-</v>
      </c>
      <c r="D287" s="584">
        <f t="shared" si="336"/>
        <v>264</v>
      </c>
      <c r="E287" s="585"/>
      <c r="F287" s="586"/>
      <c r="G287" s="600"/>
      <c r="H287" s="587"/>
      <c r="I287" s="601"/>
      <c r="J287" s="585"/>
      <c r="K287" s="617"/>
      <c r="L287" s="602"/>
      <c r="M287" s="603"/>
      <c r="N287" s="588"/>
      <c r="O287" s="604"/>
      <c r="P287" s="605"/>
      <c r="Q287" s="588"/>
      <c r="R287" s="604"/>
      <c r="S287" s="605"/>
      <c r="T287" s="606"/>
      <c r="U287" s="606"/>
      <c r="V287" s="429" t="str">
        <f t="shared" si="331"/>
        <v/>
      </c>
      <c r="W287" s="430" t="str">
        <f t="shared" si="330"/>
        <v/>
      </c>
      <c r="X287" s="66" t="str">
        <f>IF(AND(ISNUMBER(P287),N287=FixedDim),MAX('Adjustment factors'!$S$16,0.2+0.8*P287),IF(ISTEXT(N287),VLOOKUP(N287,Afactors,2,TRUE),""))</f>
        <v/>
      </c>
      <c r="Y287" s="17" t="str">
        <f>IF(AND(ISNUMBER(S287),Q287=FixedDim),MAX('Adjustment factors'!$S$16,0.2+0.8*S287),IF(ISTEXT(Q287),VLOOKUP(Q287,Afactors,2,TRUE),""))</f>
        <v/>
      </c>
      <c r="Z287" s="297" t="str">
        <f>IF(ISBLANK(T287),"",VLOOKUP(T287,'Adjustment factors'!$R$27:$S$30,2,TRUE))</f>
        <v/>
      </c>
      <c r="AA287" s="297" t="str">
        <f>IF(ISBLANK(U287),"",VLOOKUP(U287,'Adjustment factors'!$R$27:$S$30,2,TRUE))</f>
        <v/>
      </c>
      <c r="AB287" s="480">
        <f t="shared" si="382"/>
        <v>1</v>
      </c>
      <c r="AC287" s="18" t="b">
        <f t="shared" si="339"/>
        <v>0</v>
      </c>
      <c r="AD287" s="18" t="b">
        <f t="shared" si="340"/>
        <v>0</v>
      </c>
      <c r="AE287" s="18" t="b">
        <f t="shared" si="327"/>
        <v>0</v>
      </c>
      <c r="AF287" s="17" t="str">
        <f t="shared" si="341"/>
        <v/>
      </c>
      <c r="AG287" s="18" t="str">
        <f t="shared" si="342"/>
        <v/>
      </c>
      <c r="AH287" s="17" t="str">
        <f t="shared" si="328"/>
        <v/>
      </c>
      <c r="AI287" s="297" t="e">
        <f t="shared" si="383"/>
        <v>#VALUE!</v>
      </c>
      <c r="AJ287" s="79" t="e">
        <f t="shared" si="343"/>
        <v>#VALUE!</v>
      </c>
      <c r="AK287" s="17" t="str">
        <f t="shared" si="329"/>
        <v/>
      </c>
      <c r="AL287" s="80" t="e">
        <f t="shared" si="344"/>
        <v>#VALUE!</v>
      </c>
      <c r="AM287" s="139" t="b">
        <f t="shared" si="345"/>
        <v>1</v>
      </c>
      <c r="AN287" s="139" t="b">
        <f>AND(COUNTA(E287)&gt;0,ISNUMBER(F287),OR(COUNT(G287:H287)=0,COUNT(G287:H287)=2,AND(ISNUMBER(G287),ISNUMBER(VALUE(LEFT(H287,SUM(LEN(H287)-LEN(SUBSTITUTE(H287,{"0","1","2","3","4","5","6","7","8","9","."},"")))))))),ISNUMBER(I287),ISTEXT(J287))</f>
        <v>0</v>
      </c>
      <c r="AO287" s="19" t="b">
        <f t="shared" si="346"/>
        <v>0</v>
      </c>
      <c r="AP287" s="19" t="b">
        <f t="shared" si="347"/>
        <v>1</v>
      </c>
      <c r="AQ287" s="19" t="b">
        <f>IF(AND(COUNTBLANK(E287:J287)=6,OR(AN288:AN$523)),NOT(AN287))</f>
        <v>0</v>
      </c>
      <c r="AR287" s="19" t="str">
        <f t="shared" si="348"/>
        <v/>
      </c>
      <c r="AS287" s="19" t="b">
        <f t="shared" si="349"/>
        <v>1</v>
      </c>
      <c r="AT287" s="19" t="str">
        <f t="shared" si="350"/>
        <v/>
      </c>
      <c r="AU287" s="19" t="b">
        <f t="shared" si="351"/>
        <v>1</v>
      </c>
      <c r="AV287" s="140" t="str">
        <f t="shared" si="311"/>
        <v/>
      </c>
      <c r="AW287" s="19" t="str">
        <f t="shared" si="352"/>
        <v/>
      </c>
      <c r="AX287" s="81">
        <f t="shared" si="353"/>
        <v>0</v>
      </c>
      <c r="AY287" s="81" t="str">
        <f t="shared" si="354"/>
        <v/>
      </c>
      <c r="AZ287" s="307" t="str">
        <f t="shared" si="384"/>
        <v/>
      </c>
      <c r="BA287" s="281" t="str">
        <f t="shared" si="312"/>
        <v/>
      </c>
      <c r="BB287" s="281" t="str">
        <f t="shared" si="313"/>
        <v/>
      </c>
      <c r="BC287" s="953"/>
      <c r="BD287" s="955"/>
      <c r="BE287" s="219" t="str">
        <f t="shared" si="355"/>
        <v>n/a</v>
      </c>
      <c r="BF287" s="215" t="b">
        <f t="shared" si="356"/>
        <v>0</v>
      </c>
      <c r="BG287" s="145" t="b">
        <f t="shared" si="357"/>
        <v>0</v>
      </c>
      <c r="BH287" s="145" t="b">
        <f t="shared" si="358"/>
        <v>0</v>
      </c>
      <c r="BI287" s="216" t="b">
        <f t="shared" si="359"/>
        <v>0</v>
      </c>
      <c r="BJ287" s="215" t="b">
        <f t="shared" si="360"/>
        <v>0</v>
      </c>
      <c r="BK287" s="145" t="b">
        <f t="shared" si="361"/>
        <v>0</v>
      </c>
      <c r="BL287" s="216" t="b">
        <f t="shared" si="362"/>
        <v>0</v>
      </c>
      <c r="BM287" s="217" t="str">
        <f t="shared" si="314"/>
        <v/>
      </c>
      <c r="BN287" s="146" t="str">
        <f t="shared" si="315"/>
        <v/>
      </c>
      <c r="BO287" s="147" t="str">
        <f t="shared" si="316"/>
        <v/>
      </c>
      <c r="BP287" s="148" t="str">
        <f t="shared" si="317"/>
        <v/>
      </c>
      <c r="BT287" s="50">
        <f t="shared" si="337"/>
        <v>264</v>
      </c>
      <c r="BU287" s="50" t="str">
        <f t="shared" si="333"/>
        <v>-</v>
      </c>
      <c r="BW287" s="340"/>
      <c r="BX287" s="333"/>
      <c r="BY287" s="333"/>
      <c r="BZ287" s="333"/>
      <c r="CA287" s="333"/>
      <c r="CB287" s="333"/>
      <c r="CC287" s="333"/>
      <c r="CD287" s="333"/>
      <c r="CE287" s="333"/>
      <c r="CF287" s="333"/>
      <c r="CG287" s="354">
        <f t="shared" si="363"/>
        <v>264</v>
      </c>
      <c r="CH287" s="613">
        <f t="shared" si="364"/>
        <v>0</v>
      </c>
      <c r="CI287" s="613">
        <f t="shared" si="365"/>
        <v>0</v>
      </c>
      <c r="CJ287" s="614" t="str">
        <f t="shared" si="366"/>
        <v/>
      </c>
      <c r="CK287" s="615" t="str">
        <f t="shared" si="367"/>
        <v/>
      </c>
      <c r="CL287" s="610" t="str">
        <f>IF(ISBLANK(H287),"",IF(AND(ISNUMBER(F287),ISNUMBER(G287),ISNUMBER(H287)),ROUND(F287/(H287*G287),2),ROUND(F287/(VALUE(LEFT(H287,SUM(LEN(H287)-LEN(SUBSTITUTE(H287,{"0","1","2","3","4","5","6","7","8","9","."},"")))))*G287),2)))</f>
        <v/>
      </c>
      <c r="CM287" s="616" t="str">
        <f t="shared" si="318"/>
        <v/>
      </c>
      <c r="CN287" s="616" t="str">
        <f>IF(ISNUMBER(P287),MAX('Adjustment factors'!$S$16,(0.2+0.8*P287)),IF(ISTEXT(N287),VLOOKUP(N287,Afactors,2,FALSE),""))</f>
        <v/>
      </c>
      <c r="CO287" s="616" t="str">
        <f>IF(ISNUMBER(S287),MAX('Adjustment factors'!$S$16,0.2+0.8*S287),IF(ISTEXT(Q287),VLOOKUP(Q287,Afactors,2,FALSE),""))</f>
        <v/>
      </c>
      <c r="CP287" s="611" t="str">
        <f t="shared" si="385"/>
        <v/>
      </c>
      <c r="CQ287" s="612" t="str">
        <f t="shared" si="386"/>
        <v/>
      </c>
      <c r="CR287" s="340"/>
      <c r="CS287" s="340"/>
      <c r="CT287" s="340"/>
      <c r="CU287" s="340"/>
      <c r="CV287" s="333"/>
      <c r="CW287" s="333"/>
      <c r="CX287" s="333"/>
      <c r="CY287" s="333"/>
      <c r="DA287" s="313" t="str">
        <f t="shared" si="368"/>
        <v>OK</v>
      </c>
      <c r="DB287" s="313" t="str">
        <f t="shared" si="369"/>
        <v>OK</v>
      </c>
      <c r="DC287" s="313" t="str">
        <f t="shared" si="370"/>
        <v>OK</v>
      </c>
      <c r="DD287" s="313" t="str">
        <f t="shared" si="371"/>
        <v>OK</v>
      </c>
      <c r="DE287" s="153" t="str">
        <f t="shared" si="372"/>
        <v>OK</v>
      </c>
      <c r="DF287" s="314" t="str">
        <f t="shared" si="373"/>
        <v>OK</v>
      </c>
      <c r="DG287" s="482" t="str">
        <f t="shared" si="387"/>
        <v>OK</v>
      </c>
      <c r="DH287" s="482" t="str">
        <f>IF(OR(AND(T287='Adjustment factors'!$R$28,'Class 3, 5-9'!U287='Adjustment factors'!$R$29),AND('Class 3, 5-9'!T287='Adjustment factors'!$R$29,'Class 3, 5-9'!U287='Adjustment factors'!$R$28)),"Invalid combination of adjustment factors",IF(AND(T287=U287,NOT(ISBLANK(T287)),NOT(ISBLANK(U287))),"Same colour factor selected twice","OK"))</f>
        <v>OK</v>
      </c>
      <c r="DI287" s="313" t="str">
        <f t="shared" si="374"/>
        <v>OK</v>
      </c>
      <c r="DJ287" s="153" t="str">
        <f t="shared" si="319"/>
        <v>OK</v>
      </c>
      <c r="DK287" s="153" t="str">
        <f t="shared" si="375"/>
        <v>OK</v>
      </c>
      <c r="DL287" s="313" t="str">
        <f t="shared" si="376"/>
        <v>OK</v>
      </c>
      <c r="DM287" s="153" t="str">
        <f t="shared" si="377"/>
        <v>OK</v>
      </c>
      <c r="DN287" s="153" t="str">
        <f t="shared" si="320"/>
        <v>OK</v>
      </c>
      <c r="DO287" s="154" t="str">
        <f t="shared" si="321"/>
        <v>OK</v>
      </c>
      <c r="DP287" s="153" t="str">
        <f t="shared" si="378"/>
        <v>OK</v>
      </c>
      <c r="DQ287" s="313" t="str">
        <f t="shared" si="379"/>
        <v>OK</v>
      </c>
      <c r="DR287" s="153" t="str">
        <f t="shared" si="322"/>
        <v>OK</v>
      </c>
      <c r="DS287" s="153" t="str">
        <f t="shared" si="380"/>
        <v>OK</v>
      </c>
      <c r="DT287" s="313" t="str">
        <f t="shared" si="338"/>
        <v>OK</v>
      </c>
      <c r="DU287" s="153" t="str">
        <f t="shared" si="381"/>
        <v>OK</v>
      </c>
      <c r="DV287" s="153" t="str">
        <f t="shared" si="323"/>
        <v>OK</v>
      </c>
      <c r="DW287" s="154" t="str">
        <f t="shared" si="324"/>
        <v>OK</v>
      </c>
      <c r="DX287" s="157">
        <f t="shared" si="325"/>
        <v>0</v>
      </c>
      <c r="DY287" s="156" t="str">
        <f t="shared" si="326"/>
        <v>OK</v>
      </c>
    </row>
    <row r="288" spans="1:129" ht="13" hidden="1" x14ac:dyDescent="0.3">
      <c r="A288" s="333"/>
      <c r="B288" s="333"/>
      <c r="C288" s="332" t="str">
        <f t="shared" si="334"/>
        <v>-</v>
      </c>
      <c r="D288" s="584">
        <f t="shared" si="336"/>
        <v>265</v>
      </c>
      <c r="E288" s="585"/>
      <c r="F288" s="586"/>
      <c r="G288" s="600"/>
      <c r="H288" s="587"/>
      <c r="I288" s="601"/>
      <c r="J288" s="585"/>
      <c r="K288" s="617"/>
      <c r="L288" s="602"/>
      <c r="M288" s="603"/>
      <c r="N288" s="588"/>
      <c r="O288" s="604"/>
      <c r="P288" s="605"/>
      <c r="Q288" s="588"/>
      <c r="R288" s="604"/>
      <c r="S288" s="605"/>
      <c r="T288" s="606"/>
      <c r="U288" s="606"/>
      <c r="V288" s="429" t="str">
        <f t="shared" si="331"/>
        <v/>
      </c>
      <c r="W288" s="430" t="str">
        <f t="shared" si="330"/>
        <v/>
      </c>
      <c r="X288" s="66" t="str">
        <f>IF(AND(ISNUMBER(P288),N288=FixedDim),MAX('Adjustment factors'!$S$16,0.2+0.8*P288),IF(ISTEXT(N288),VLOOKUP(N288,Afactors,2,TRUE),""))</f>
        <v/>
      </c>
      <c r="Y288" s="17" t="str">
        <f>IF(AND(ISNUMBER(S288),Q288=FixedDim),MAX('Adjustment factors'!$S$16,0.2+0.8*S288),IF(ISTEXT(Q288),VLOOKUP(Q288,Afactors,2,TRUE),""))</f>
        <v/>
      </c>
      <c r="Z288" s="297" t="str">
        <f>IF(ISBLANK(T288),"",VLOOKUP(T288,'Adjustment factors'!$R$27:$S$30,2,TRUE))</f>
        <v/>
      </c>
      <c r="AA288" s="297" t="str">
        <f>IF(ISBLANK(U288),"",VLOOKUP(U288,'Adjustment factors'!$R$27:$S$30,2,TRUE))</f>
        <v/>
      </c>
      <c r="AB288" s="480">
        <f t="shared" si="382"/>
        <v>1</v>
      </c>
      <c r="AC288" s="18" t="b">
        <f t="shared" si="339"/>
        <v>0</v>
      </c>
      <c r="AD288" s="18" t="b">
        <f t="shared" si="340"/>
        <v>0</v>
      </c>
      <c r="AE288" s="18" t="b">
        <f t="shared" si="327"/>
        <v>0</v>
      </c>
      <c r="AF288" s="17" t="str">
        <f t="shared" si="341"/>
        <v/>
      </c>
      <c r="AG288" s="18" t="str">
        <f t="shared" si="342"/>
        <v/>
      </c>
      <c r="AH288" s="17" t="str">
        <f t="shared" si="328"/>
        <v/>
      </c>
      <c r="AI288" s="297" t="e">
        <f t="shared" si="383"/>
        <v>#VALUE!</v>
      </c>
      <c r="AJ288" s="79" t="e">
        <f t="shared" si="343"/>
        <v>#VALUE!</v>
      </c>
      <c r="AK288" s="17" t="str">
        <f t="shared" si="329"/>
        <v/>
      </c>
      <c r="AL288" s="80" t="e">
        <f t="shared" si="344"/>
        <v>#VALUE!</v>
      </c>
      <c r="AM288" s="139" t="b">
        <f t="shared" si="345"/>
        <v>1</v>
      </c>
      <c r="AN288" s="139" t="b">
        <f>AND(COUNTA(E288)&gt;0,ISNUMBER(F288),OR(COUNT(G288:H288)=0,COUNT(G288:H288)=2,AND(ISNUMBER(G288),ISNUMBER(VALUE(LEFT(H288,SUM(LEN(H288)-LEN(SUBSTITUTE(H288,{"0","1","2","3","4","5","6","7","8","9","."},"")))))))),ISNUMBER(I288),ISTEXT(J288))</f>
        <v>0</v>
      </c>
      <c r="AO288" s="19" t="b">
        <f t="shared" si="346"/>
        <v>0</v>
      </c>
      <c r="AP288" s="19" t="b">
        <f t="shared" si="347"/>
        <v>1</v>
      </c>
      <c r="AQ288" s="19" t="b">
        <f>IF(AND(COUNTBLANK(E288:J288)=6,OR(AN289:AN$523)),NOT(AN288))</f>
        <v>0</v>
      </c>
      <c r="AR288" s="19" t="str">
        <f t="shared" si="348"/>
        <v/>
      </c>
      <c r="AS288" s="19" t="b">
        <f t="shared" si="349"/>
        <v>1</v>
      </c>
      <c r="AT288" s="19" t="str">
        <f t="shared" si="350"/>
        <v/>
      </c>
      <c r="AU288" s="19" t="b">
        <f t="shared" si="351"/>
        <v>1</v>
      </c>
      <c r="AV288" s="140" t="str">
        <f t="shared" si="311"/>
        <v/>
      </c>
      <c r="AW288" s="19" t="str">
        <f t="shared" si="352"/>
        <v/>
      </c>
      <c r="AX288" s="81">
        <f t="shared" si="353"/>
        <v>0</v>
      </c>
      <c r="AY288" s="81" t="str">
        <f t="shared" si="354"/>
        <v/>
      </c>
      <c r="AZ288" s="307" t="str">
        <f t="shared" si="384"/>
        <v/>
      </c>
      <c r="BA288" s="281" t="str">
        <f t="shared" si="312"/>
        <v/>
      </c>
      <c r="BB288" s="281" t="str">
        <f t="shared" si="313"/>
        <v/>
      </c>
      <c r="BC288" s="953"/>
      <c r="BD288" s="955"/>
      <c r="BE288" s="219" t="str">
        <f t="shared" si="355"/>
        <v>n/a</v>
      </c>
      <c r="BF288" s="215" t="b">
        <f t="shared" si="356"/>
        <v>0</v>
      </c>
      <c r="BG288" s="145" t="b">
        <f t="shared" si="357"/>
        <v>0</v>
      </c>
      <c r="BH288" s="145" t="b">
        <f t="shared" si="358"/>
        <v>0</v>
      </c>
      <c r="BI288" s="216" t="b">
        <f t="shared" si="359"/>
        <v>0</v>
      </c>
      <c r="BJ288" s="215" t="b">
        <f t="shared" si="360"/>
        <v>0</v>
      </c>
      <c r="BK288" s="145" t="b">
        <f t="shared" si="361"/>
        <v>0</v>
      </c>
      <c r="BL288" s="216" t="b">
        <f t="shared" si="362"/>
        <v>0</v>
      </c>
      <c r="BM288" s="217" t="str">
        <f t="shared" si="314"/>
        <v/>
      </c>
      <c r="BN288" s="146" t="str">
        <f t="shared" si="315"/>
        <v/>
      </c>
      <c r="BO288" s="147" t="str">
        <f t="shared" si="316"/>
        <v/>
      </c>
      <c r="BP288" s="148" t="str">
        <f t="shared" si="317"/>
        <v/>
      </c>
      <c r="BT288" s="50">
        <f t="shared" si="337"/>
        <v>265</v>
      </c>
      <c r="BU288" s="50" t="str">
        <f t="shared" si="333"/>
        <v>-</v>
      </c>
      <c r="BW288" s="340"/>
      <c r="BX288" s="333"/>
      <c r="BY288" s="333"/>
      <c r="BZ288" s="333"/>
      <c r="CA288" s="333"/>
      <c r="CB288" s="333"/>
      <c r="CC288" s="333"/>
      <c r="CD288" s="333"/>
      <c r="CE288" s="333"/>
      <c r="CF288" s="333"/>
      <c r="CG288" s="354">
        <f t="shared" si="363"/>
        <v>265</v>
      </c>
      <c r="CH288" s="613">
        <f t="shared" si="364"/>
        <v>0</v>
      </c>
      <c r="CI288" s="613">
        <f t="shared" si="365"/>
        <v>0</v>
      </c>
      <c r="CJ288" s="614" t="str">
        <f t="shared" si="366"/>
        <v/>
      </c>
      <c r="CK288" s="615" t="str">
        <f t="shared" si="367"/>
        <v/>
      </c>
      <c r="CL288" s="610" t="str">
        <f>IF(ISBLANK(H288),"",IF(AND(ISNUMBER(F288),ISNUMBER(G288),ISNUMBER(H288)),ROUND(F288/(H288*G288),2),ROUND(F288/(VALUE(LEFT(H288,SUM(LEN(H288)-LEN(SUBSTITUTE(H288,{"0","1","2","3","4","5","6","7","8","9","."},"")))))*G288),2)))</f>
        <v/>
      </c>
      <c r="CM288" s="616" t="str">
        <f t="shared" si="318"/>
        <v/>
      </c>
      <c r="CN288" s="616" t="str">
        <f>IF(ISNUMBER(P288),MAX('Adjustment factors'!$S$16,(0.2+0.8*P288)),IF(ISTEXT(N288),VLOOKUP(N288,Afactors,2,FALSE),""))</f>
        <v/>
      </c>
      <c r="CO288" s="616" t="str">
        <f>IF(ISNUMBER(S288),MAX('Adjustment factors'!$S$16,0.2+0.8*S288),IF(ISTEXT(Q288),VLOOKUP(Q288,Afactors,2,FALSE),""))</f>
        <v/>
      </c>
      <c r="CP288" s="611" t="str">
        <f t="shared" si="385"/>
        <v/>
      </c>
      <c r="CQ288" s="612" t="str">
        <f t="shared" si="386"/>
        <v/>
      </c>
      <c r="CR288" s="340"/>
      <c r="CS288" s="340"/>
      <c r="CT288" s="340"/>
      <c r="CU288" s="340"/>
      <c r="CV288" s="333"/>
      <c r="CW288" s="333"/>
      <c r="CX288" s="333"/>
      <c r="CY288" s="333"/>
      <c r="DA288" s="313" t="str">
        <f t="shared" si="368"/>
        <v>OK</v>
      </c>
      <c r="DB288" s="313" t="str">
        <f t="shared" si="369"/>
        <v>OK</v>
      </c>
      <c r="DC288" s="313" t="str">
        <f t="shared" si="370"/>
        <v>OK</v>
      </c>
      <c r="DD288" s="313" t="str">
        <f t="shared" si="371"/>
        <v>OK</v>
      </c>
      <c r="DE288" s="153" t="str">
        <f t="shared" si="372"/>
        <v>OK</v>
      </c>
      <c r="DF288" s="314" t="str">
        <f t="shared" si="373"/>
        <v>OK</v>
      </c>
      <c r="DG288" s="482" t="str">
        <f t="shared" si="387"/>
        <v>OK</v>
      </c>
      <c r="DH288" s="482" t="str">
        <f>IF(OR(AND(T288='Adjustment factors'!$R$28,'Class 3, 5-9'!U288='Adjustment factors'!$R$29),AND('Class 3, 5-9'!T288='Adjustment factors'!$R$29,'Class 3, 5-9'!U288='Adjustment factors'!$R$28)),"Invalid combination of adjustment factors",IF(AND(T288=U288,NOT(ISBLANK(T288)),NOT(ISBLANK(U288))),"Same colour factor selected twice","OK"))</f>
        <v>OK</v>
      </c>
      <c r="DI288" s="313" t="str">
        <f t="shared" si="374"/>
        <v>OK</v>
      </c>
      <c r="DJ288" s="153" t="str">
        <f t="shared" si="319"/>
        <v>OK</v>
      </c>
      <c r="DK288" s="153" t="str">
        <f t="shared" si="375"/>
        <v>OK</v>
      </c>
      <c r="DL288" s="313" t="str">
        <f t="shared" si="376"/>
        <v>OK</v>
      </c>
      <c r="DM288" s="153" t="str">
        <f t="shared" si="377"/>
        <v>OK</v>
      </c>
      <c r="DN288" s="153" t="str">
        <f t="shared" si="320"/>
        <v>OK</v>
      </c>
      <c r="DO288" s="154" t="str">
        <f t="shared" si="321"/>
        <v>OK</v>
      </c>
      <c r="DP288" s="153" t="str">
        <f t="shared" si="378"/>
        <v>OK</v>
      </c>
      <c r="DQ288" s="313" t="str">
        <f t="shared" si="379"/>
        <v>OK</v>
      </c>
      <c r="DR288" s="153" t="str">
        <f t="shared" si="322"/>
        <v>OK</v>
      </c>
      <c r="DS288" s="153" t="str">
        <f t="shared" si="380"/>
        <v>OK</v>
      </c>
      <c r="DT288" s="313" t="str">
        <f t="shared" si="338"/>
        <v>OK</v>
      </c>
      <c r="DU288" s="153" t="str">
        <f t="shared" si="381"/>
        <v>OK</v>
      </c>
      <c r="DV288" s="153" t="str">
        <f t="shared" si="323"/>
        <v>OK</v>
      </c>
      <c r="DW288" s="154" t="str">
        <f t="shared" si="324"/>
        <v>OK</v>
      </c>
      <c r="DX288" s="157">
        <f t="shared" si="325"/>
        <v>0</v>
      </c>
      <c r="DY288" s="156" t="str">
        <f t="shared" si="326"/>
        <v>OK</v>
      </c>
    </row>
    <row r="289" spans="1:129" ht="13" hidden="1" x14ac:dyDescent="0.3">
      <c r="A289" s="333"/>
      <c r="B289" s="333"/>
      <c r="C289" s="332" t="str">
        <f t="shared" si="334"/>
        <v>-</v>
      </c>
      <c r="D289" s="584">
        <f t="shared" si="336"/>
        <v>266</v>
      </c>
      <c r="E289" s="585"/>
      <c r="F289" s="586"/>
      <c r="G289" s="600"/>
      <c r="H289" s="587"/>
      <c r="I289" s="601"/>
      <c r="J289" s="585"/>
      <c r="K289" s="617"/>
      <c r="L289" s="602"/>
      <c r="M289" s="603"/>
      <c r="N289" s="588"/>
      <c r="O289" s="604"/>
      <c r="P289" s="605"/>
      <c r="Q289" s="588"/>
      <c r="R289" s="604"/>
      <c r="S289" s="605"/>
      <c r="T289" s="606"/>
      <c r="U289" s="606"/>
      <c r="V289" s="429" t="str">
        <f t="shared" si="331"/>
        <v/>
      </c>
      <c r="W289" s="430" t="str">
        <f t="shared" si="330"/>
        <v/>
      </c>
      <c r="X289" s="66" t="str">
        <f>IF(AND(ISNUMBER(P289),N289=FixedDim),MAX('Adjustment factors'!$S$16,0.2+0.8*P289),IF(ISTEXT(N289),VLOOKUP(N289,Afactors,2,TRUE),""))</f>
        <v/>
      </c>
      <c r="Y289" s="17" t="str">
        <f>IF(AND(ISNUMBER(S289),Q289=FixedDim),MAX('Adjustment factors'!$S$16,0.2+0.8*S289),IF(ISTEXT(Q289),VLOOKUP(Q289,Afactors,2,TRUE),""))</f>
        <v/>
      </c>
      <c r="Z289" s="297" t="str">
        <f>IF(ISBLANK(T289),"",VLOOKUP(T289,'Adjustment factors'!$R$27:$S$30,2,TRUE))</f>
        <v/>
      </c>
      <c r="AA289" s="297" t="str">
        <f>IF(ISBLANK(U289),"",VLOOKUP(U289,'Adjustment factors'!$R$27:$S$30,2,TRUE))</f>
        <v/>
      </c>
      <c r="AB289" s="480">
        <f t="shared" si="382"/>
        <v>1</v>
      </c>
      <c r="AC289" s="18" t="b">
        <f t="shared" si="339"/>
        <v>0</v>
      </c>
      <c r="AD289" s="18" t="b">
        <f t="shared" si="340"/>
        <v>0</v>
      </c>
      <c r="AE289" s="18" t="b">
        <f t="shared" si="327"/>
        <v>0</v>
      </c>
      <c r="AF289" s="17" t="str">
        <f t="shared" si="341"/>
        <v/>
      </c>
      <c r="AG289" s="18" t="str">
        <f t="shared" si="342"/>
        <v/>
      </c>
      <c r="AH289" s="17" t="str">
        <f t="shared" si="328"/>
        <v/>
      </c>
      <c r="AI289" s="297" t="e">
        <f t="shared" si="383"/>
        <v>#VALUE!</v>
      </c>
      <c r="AJ289" s="79" t="e">
        <f t="shared" si="343"/>
        <v>#VALUE!</v>
      </c>
      <c r="AK289" s="17" t="str">
        <f t="shared" si="329"/>
        <v/>
      </c>
      <c r="AL289" s="80" t="e">
        <f t="shared" si="344"/>
        <v>#VALUE!</v>
      </c>
      <c r="AM289" s="139" t="b">
        <f t="shared" si="345"/>
        <v>1</v>
      </c>
      <c r="AN289" s="139" t="b">
        <f>AND(COUNTA(E289)&gt;0,ISNUMBER(F289),OR(COUNT(G289:H289)=0,COUNT(G289:H289)=2,AND(ISNUMBER(G289),ISNUMBER(VALUE(LEFT(H289,SUM(LEN(H289)-LEN(SUBSTITUTE(H289,{"0","1","2","3","4","5","6","7","8","9","."},"")))))))),ISNUMBER(I289),ISTEXT(J289))</f>
        <v>0</v>
      </c>
      <c r="AO289" s="19" t="b">
        <f t="shared" si="346"/>
        <v>0</v>
      </c>
      <c r="AP289" s="19" t="b">
        <f t="shared" si="347"/>
        <v>1</v>
      </c>
      <c r="AQ289" s="19" t="b">
        <f>IF(AND(COUNTBLANK(E289:J289)=6,OR(AN290:AN$523)),NOT(AN289))</f>
        <v>0</v>
      </c>
      <c r="AR289" s="19" t="str">
        <f t="shared" si="348"/>
        <v/>
      </c>
      <c r="AS289" s="19" t="b">
        <f t="shared" si="349"/>
        <v>1</v>
      </c>
      <c r="AT289" s="19" t="str">
        <f t="shared" si="350"/>
        <v/>
      </c>
      <c r="AU289" s="19" t="b">
        <f t="shared" si="351"/>
        <v>1</v>
      </c>
      <c r="AV289" s="140" t="str">
        <f t="shared" ref="AV289:AV323" si="388">IF(AND(AM289,AN289,AR289,AT289),IF(ISNUMBER(AG289),ROUND(AL289,0),ROUND(AJ289,0)),"")</f>
        <v/>
      </c>
      <c r="AW289" s="19" t="str">
        <f t="shared" si="352"/>
        <v/>
      </c>
      <c r="AX289" s="81">
        <f t="shared" si="353"/>
        <v>0</v>
      </c>
      <c r="AY289" s="81" t="str">
        <f t="shared" si="354"/>
        <v/>
      </c>
      <c r="AZ289" s="307" t="str">
        <f t="shared" si="384"/>
        <v/>
      </c>
      <c r="BA289" s="281" t="str">
        <f t="shared" ref="BA289:BA323" si="389">IF(DI289&lt;&gt;"OK",DI289,IF(DJ289&lt;&gt;"OK",DJ289,IF(DK289&lt;&gt;"OK",DK289,IF(DL289&lt;&gt;"OK",DL289,IF(DM289&lt;&gt;"OK",DM289,IF(DN289&lt;&gt;"OK",DN289,IF(DO289&lt;&gt;"OK",DO289,BB289)))))))</f>
        <v/>
      </c>
      <c r="BB289" s="281" t="str">
        <f t="shared" ref="BB289:BB323" si="390">IF(DP289&lt;&gt;"OK",DP289,IF(DQ289&lt;&gt;"OK",DQ289,IF(DR289&lt;&gt;"OK",DR289,IF(DS289&lt;&gt;"OK",DS289,IF(DT289&lt;&gt;"OK",DT289,IF(DU289&lt;&gt;"OK",DU289,IF(DV289&lt;&gt;"OK",DV289,IF(DW289&lt;&gt;"OK",DW289,IF(DY289&lt;&gt;"OK",DY289,"")))))))))</f>
        <v/>
      </c>
      <c r="BC289" s="953"/>
      <c r="BD289" s="955"/>
      <c r="BE289" s="219" t="str">
        <f t="shared" si="355"/>
        <v>n/a</v>
      </c>
      <c r="BF289" s="215" t="b">
        <f t="shared" si="356"/>
        <v>0</v>
      </c>
      <c r="BG289" s="145" t="b">
        <f t="shared" si="357"/>
        <v>0</v>
      </c>
      <c r="BH289" s="145" t="b">
        <f t="shared" si="358"/>
        <v>0</v>
      </c>
      <c r="BI289" s="216" t="b">
        <f t="shared" si="359"/>
        <v>0</v>
      </c>
      <c r="BJ289" s="215" t="b">
        <f t="shared" si="360"/>
        <v>0</v>
      </c>
      <c r="BK289" s="145" t="b">
        <f t="shared" si="361"/>
        <v>0</v>
      </c>
      <c r="BL289" s="216" t="b">
        <f t="shared" si="362"/>
        <v>0</v>
      </c>
      <c r="BM289" s="217" t="str">
        <f t="shared" ref="BM289:BM323" si="391">IF(AN289,AX289/ADIPLone,"")</f>
        <v/>
      </c>
      <c r="BN289" s="146" t="str">
        <f t="shared" ref="BN289:BN323" si="392">IF(AN289,percentage,"")</f>
        <v/>
      </c>
      <c r="BO289" s="147" t="str">
        <f t="shared" ref="BO289:BO323" si="393">IF(AN289,MIPDLONE&gt;=ADIPLone,"")</f>
        <v/>
      </c>
      <c r="BP289" s="148" t="str">
        <f t="shared" ref="BP289:BP323" si="394">IF(AND(AN289,AR289,AT289),TEXT(BM289,"0%")&amp;" of "&amp;TEXT(BN289*100,"General")&amp;"%","")</f>
        <v/>
      </c>
      <c r="BT289" s="50">
        <f t="shared" si="337"/>
        <v>266</v>
      </c>
      <c r="BU289" s="50" t="str">
        <f t="shared" si="333"/>
        <v>-</v>
      </c>
      <c r="BW289" s="340"/>
      <c r="BX289" s="333"/>
      <c r="BY289" s="333"/>
      <c r="BZ289" s="333"/>
      <c r="CA289" s="333"/>
      <c r="CB289" s="333"/>
      <c r="CC289" s="333"/>
      <c r="CD289" s="333"/>
      <c r="CE289" s="333"/>
      <c r="CF289" s="333"/>
      <c r="CG289" s="354">
        <f t="shared" si="363"/>
        <v>266</v>
      </c>
      <c r="CH289" s="613">
        <f t="shared" si="364"/>
        <v>0</v>
      </c>
      <c r="CI289" s="613">
        <f t="shared" si="365"/>
        <v>0</v>
      </c>
      <c r="CJ289" s="614" t="str">
        <f t="shared" si="366"/>
        <v/>
      </c>
      <c r="CK289" s="615" t="str">
        <f t="shared" si="367"/>
        <v/>
      </c>
      <c r="CL289" s="610" t="str">
        <f>IF(ISBLANK(H289),"",IF(AND(ISNUMBER(F289),ISNUMBER(G289),ISNUMBER(H289)),ROUND(F289/(H289*G289),2),ROUND(F289/(VALUE(LEFT(H289,SUM(LEN(H289)-LEN(SUBSTITUTE(H289,{"0","1","2","3","4","5","6","7","8","9","."},"")))))*G289),2)))</f>
        <v/>
      </c>
      <c r="CM289" s="616" t="str">
        <f t="shared" ref="CM289:CM323" si="395">IF(CL289&lt;1.5,ROUND(0.5+CL289/3,2),"")</f>
        <v/>
      </c>
      <c r="CN289" s="616" t="str">
        <f>IF(ISNUMBER(P289),MAX('Adjustment factors'!$S$16,(0.2+0.8*P289)),IF(ISTEXT(N289),VLOOKUP(N289,Afactors,2,FALSE),""))</f>
        <v/>
      </c>
      <c r="CO289" s="616" t="str">
        <f>IF(ISNUMBER(S289),MAX('Adjustment factors'!$S$16,0.2+0.8*S289),IF(ISTEXT(Q289),VLOOKUP(Q289,Afactors,2,FALSE),""))</f>
        <v/>
      </c>
      <c r="CP289" s="611" t="str">
        <f t="shared" si="385"/>
        <v/>
      </c>
      <c r="CQ289" s="612" t="str">
        <f t="shared" si="386"/>
        <v/>
      </c>
      <c r="CR289" s="340"/>
      <c r="CS289" s="340"/>
      <c r="CT289" s="340"/>
      <c r="CU289" s="340"/>
      <c r="CV289" s="333"/>
      <c r="CW289" s="333"/>
      <c r="CX289" s="333"/>
      <c r="CY289" s="333"/>
      <c r="DA289" s="313" t="str">
        <f t="shared" si="368"/>
        <v>OK</v>
      </c>
      <c r="DB289" s="313" t="str">
        <f t="shared" si="369"/>
        <v>OK</v>
      </c>
      <c r="DC289" s="313" t="str">
        <f t="shared" si="370"/>
        <v>OK</v>
      </c>
      <c r="DD289" s="313" t="str">
        <f t="shared" si="371"/>
        <v>OK</v>
      </c>
      <c r="DE289" s="153" t="str">
        <f t="shared" si="372"/>
        <v>OK</v>
      </c>
      <c r="DF289" s="314" t="str">
        <f t="shared" si="373"/>
        <v>OK</v>
      </c>
      <c r="DG289" s="482" t="str">
        <f t="shared" si="387"/>
        <v>OK</v>
      </c>
      <c r="DH289" s="482" t="str">
        <f>IF(OR(AND(T289='Adjustment factors'!$R$28,'Class 3, 5-9'!U289='Adjustment factors'!$R$29),AND('Class 3, 5-9'!T289='Adjustment factors'!$R$29,'Class 3, 5-9'!U289='Adjustment factors'!$R$28)),"Invalid combination of adjustment factors",IF(AND(T289=U289,NOT(ISBLANK(T289)),NOT(ISBLANK(U289))),"Same colour factor selected twice","OK"))</f>
        <v>OK</v>
      </c>
      <c r="DI289" s="313" t="str">
        <f t="shared" si="374"/>
        <v>OK</v>
      </c>
      <c r="DJ289" s="153" t="str">
        <f t="shared" ref="DJ289:DJ323" si="396">"OK"</f>
        <v>OK</v>
      </c>
      <c r="DK289" s="153" t="str">
        <f t="shared" si="375"/>
        <v>OK</v>
      </c>
      <c r="DL289" s="313" t="str">
        <f t="shared" si="376"/>
        <v>OK</v>
      </c>
      <c r="DM289" s="153" t="str">
        <f t="shared" si="377"/>
        <v>OK</v>
      </c>
      <c r="DN289" s="153" t="str">
        <f t="shared" ref="DN289:DN323" si="397">IF(ISNUMBER(FIND("NA",$N289)),"Adjustment Factor not applicable","OK")</f>
        <v>OK</v>
      </c>
      <c r="DO289" s="154" t="str">
        <f t="shared" ref="DO289:DO323" si="398">"OK"</f>
        <v>OK</v>
      </c>
      <c r="DP289" s="153" t="str">
        <f t="shared" si="378"/>
        <v>OK</v>
      </c>
      <c r="DQ289" s="313" t="str">
        <f t="shared" si="379"/>
        <v>OK</v>
      </c>
      <c r="DR289" s="153" t="str">
        <f t="shared" ref="DR289:DR323" si="399">"OK"</f>
        <v>OK</v>
      </c>
      <c r="DS289" s="153" t="str">
        <f t="shared" si="380"/>
        <v>OK</v>
      </c>
      <c r="DT289" s="313" t="str">
        <f t="shared" si="338"/>
        <v>OK</v>
      </c>
      <c r="DU289" s="153" t="str">
        <f t="shared" si="381"/>
        <v>OK</v>
      </c>
      <c r="DV289" s="153" t="str">
        <f t="shared" ref="DV289:DV323" si="400">IF(ISNUMBER(FIND("NA",$Q289)),"Adjustment Factor not applicable","OK")</f>
        <v>OK</v>
      </c>
      <c r="DW289" s="154" t="str">
        <f t="shared" ref="DW289:DW323" si="401">"OK"</f>
        <v>OK</v>
      </c>
      <c r="DX289" s="157">
        <f t="shared" ref="DX289:DX323" si="402">COUNTIF(DA289:DW289,"&lt;&gt;OK")</f>
        <v>0</v>
      </c>
      <c r="DY289" s="156" t="str">
        <f t="shared" ref="DY289:DY323" si="403">IF(AQ289,"ROW SKIPPED (OK if intentional)","OK")</f>
        <v>OK</v>
      </c>
    </row>
    <row r="290" spans="1:129" ht="13" hidden="1" x14ac:dyDescent="0.3">
      <c r="A290" s="333"/>
      <c r="B290" s="333"/>
      <c r="C290" s="332" t="str">
        <f t="shared" si="334"/>
        <v>-</v>
      </c>
      <c r="D290" s="584">
        <f t="shared" si="336"/>
        <v>267</v>
      </c>
      <c r="E290" s="585"/>
      <c r="F290" s="586"/>
      <c r="G290" s="600"/>
      <c r="H290" s="587"/>
      <c r="I290" s="601"/>
      <c r="J290" s="585"/>
      <c r="K290" s="617"/>
      <c r="L290" s="602"/>
      <c r="M290" s="603"/>
      <c r="N290" s="588"/>
      <c r="O290" s="604"/>
      <c r="P290" s="605"/>
      <c r="Q290" s="588"/>
      <c r="R290" s="604"/>
      <c r="S290" s="605"/>
      <c r="T290" s="606"/>
      <c r="U290" s="606"/>
      <c r="V290" s="429" t="str">
        <f t="shared" si="331"/>
        <v/>
      </c>
      <c r="W290" s="430" t="str">
        <f t="shared" si="330"/>
        <v/>
      </c>
      <c r="X290" s="66" t="str">
        <f>IF(AND(ISNUMBER(P290),N290=FixedDim),MAX('Adjustment factors'!$S$16,0.2+0.8*P290),IF(ISTEXT(N290),VLOOKUP(N290,Afactors,2,TRUE),""))</f>
        <v/>
      </c>
      <c r="Y290" s="17" t="str">
        <f>IF(AND(ISNUMBER(S290),Q290=FixedDim),MAX('Adjustment factors'!$S$16,0.2+0.8*S290),IF(ISTEXT(Q290),VLOOKUP(Q290,Afactors,2,TRUE),""))</f>
        <v/>
      </c>
      <c r="Z290" s="297" t="str">
        <f>IF(ISBLANK(T290),"",VLOOKUP(T290,'Adjustment factors'!$R$27:$S$30,2,TRUE))</f>
        <v/>
      </c>
      <c r="AA290" s="297" t="str">
        <f>IF(ISBLANK(U290),"",VLOOKUP(U290,'Adjustment factors'!$R$27:$S$30,2,TRUE))</f>
        <v/>
      </c>
      <c r="AB290" s="480">
        <f t="shared" si="382"/>
        <v>1</v>
      </c>
      <c r="AC290" s="18" t="b">
        <f t="shared" si="339"/>
        <v>0</v>
      </c>
      <c r="AD290" s="18" t="b">
        <f t="shared" si="340"/>
        <v>0</v>
      </c>
      <c r="AE290" s="18" t="b">
        <f t="shared" ref="AE290:AE323" si="404">ISNUMBER(CM290)</f>
        <v>0</v>
      </c>
      <c r="AF290" s="17" t="str">
        <f t="shared" si="341"/>
        <v/>
      </c>
      <c r="AG290" s="18" t="str">
        <f t="shared" si="342"/>
        <v/>
      </c>
      <c r="AH290" s="17" t="str">
        <f t="shared" ref="AH290:AH324" si="405">IF(AE290,CK290/CM290,"")</f>
        <v/>
      </c>
      <c r="AI290" s="297" t="e">
        <f t="shared" si="383"/>
        <v>#VALUE!</v>
      </c>
      <c r="AJ290" s="79" t="e">
        <f t="shared" si="343"/>
        <v>#VALUE!</v>
      </c>
      <c r="AK290" s="17" t="str">
        <f t="shared" si="329"/>
        <v/>
      </c>
      <c r="AL290" s="80" t="e">
        <f t="shared" si="344"/>
        <v>#VALUE!</v>
      </c>
      <c r="AM290" s="139" t="b">
        <f t="shared" si="345"/>
        <v>1</v>
      </c>
      <c r="AN290" s="139" t="b">
        <f>AND(COUNTA(E290)&gt;0,ISNUMBER(F290),OR(COUNT(G290:H290)=0,COUNT(G290:H290)=2,AND(ISNUMBER(G290),ISNUMBER(VALUE(LEFT(H290,SUM(LEN(H290)-LEN(SUBSTITUTE(H290,{"0","1","2","3","4","5","6","7","8","9","."},"")))))))),ISNUMBER(I290),ISTEXT(J290))</f>
        <v>0</v>
      </c>
      <c r="AO290" s="19" t="b">
        <f t="shared" si="346"/>
        <v>0</v>
      </c>
      <c r="AP290" s="19" t="b">
        <f t="shared" si="347"/>
        <v>1</v>
      </c>
      <c r="AQ290" s="19" t="b">
        <f>IF(AND(COUNTBLANK(E290:J290)=6,OR(AN291:AN$523)),NOT(AN290))</f>
        <v>0</v>
      </c>
      <c r="AR290" s="19" t="str">
        <f t="shared" si="348"/>
        <v/>
      </c>
      <c r="AS290" s="19" t="b">
        <f t="shared" si="349"/>
        <v>1</v>
      </c>
      <c r="AT290" s="19" t="str">
        <f t="shared" si="350"/>
        <v/>
      </c>
      <c r="AU290" s="19" t="b">
        <f t="shared" si="351"/>
        <v>1</v>
      </c>
      <c r="AV290" s="140" t="str">
        <f t="shared" si="388"/>
        <v/>
      </c>
      <c r="AW290" s="19" t="str">
        <f t="shared" si="352"/>
        <v/>
      </c>
      <c r="AX290" s="81">
        <f t="shared" si="353"/>
        <v>0</v>
      </c>
      <c r="AY290" s="81" t="str">
        <f t="shared" si="354"/>
        <v/>
      </c>
      <c r="AZ290" s="307" t="str">
        <f t="shared" si="384"/>
        <v/>
      </c>
      <c r="BA290" s="281" t="str">
        <f t="shared" si="389"/>
        <v/>
      </c>
      <c r="BB290" s="281" t="str">
        <f t="shared" si="390"/>
        <v/>
      </c>
      <c r="BC290" s="953"/>
      <c r="BD290" s="955"/>
      <c r="BE290" s="219" t="str">
        <f t="shared" si="355"/>
        <v>n/a</v>
      </c>
      <c r="BF290" s="215" t="b">
        <f t="shared" si="356"/>
        <v>0</v>
      </c>
      <c r="BG290" s="145" t="b">
        <f t="shared" si="357"/>
        <v>0</v>
      </c>
      <c r="BH290" s="145" t="b">
        <f t="shared" si="358"/>
        <v>0</v>
      </c>
      <c r="BI290" s="216" t="b">
        <f t="shared" si="359"/>
        <v>0</v>
      </c>
      <c r="BJ290" s="215" t="b">
        <f t="shared" si="360"/>
        <v>0</v>
      </c>
      <c r="BK290" s="145" t="b">
        <f t="shared" si="361"/>
        <v>0</v>
      </c>
      <c r="BL290" s="216" t="b">
        <f t="shared" si="362"/>
        <v>0</v>
      </c>
      <c r="BM290" s="217" t="str">
        <f t="shared" si="391"/>
        <v/>
      </c>
      <c r="BN290" s="146" t="str">
        <f t="shared" si="392"/>
        <v/>
      </c>
      <c r="BO290" s="147" t="str">
        <f t="shared" si="393"/>
        <v/>
      </c>
      <c r="BP290" s="148" t="str">
        <f t="shared" si="394"/>
        <v/>
      </c>
      <c r="BT290" s="50">
        <f t="shared" si="337"/>
        <v>267</v>
      </c>
      <c r="BU290" s="50" t="str">
        <f t="shared" si="333"/>
        <v>-</v>
      </c>
      <c r="BW290" s="340"/>
      <c r="BX290" s="333"/>
      <c r="BY290" s="333"/>
      <c r="BZ290" s="333"/>
      <c r="CA290" s="333"/>
      <c r="CB290" s="333"/>
      <c r="CC290" s="333"/>
      <c r="CD290" s="333"/>
      <c r="CE290" s="333"/>
      <c r="CF290" s="333"/>
      <c r="CG290" s="354">
        <f t="shared" si="363"/>
        <v>267</v>
      </c>
      <c r="CH290" s="613">
        <f t="shared" si="364"/>
        <v>0</v>
      </c>
      <c r="CI290" s="613">
        <f t="shared" si="365"/>
        <v>0</v>
      </c>
      <c r="CJ290" s="614" t="str">
        <f t="shared" si="366"/>
        <v/>
      </c>
      <c r="CK290" s="615" t="str">
        <f t="shared" si="367"/>
        <v/>
      </c>
      <c r="CL290" s="610" t="str">
        <f>IF(ISBLANK(H290),"",IF(AND(ISNUMBER(F290),ISNUMBER(G290),ISNUMBER(H290)),ROUND(F290/(H290*G290),2),ROUND(F290/(VALUE(LEFT(H290,SUM(LEN(H290)-LEN(SUBSTITUTE(H290,{"0","1","2","3","4","5","6","7","8","9","."},"")))))*G290),2)))</f>
        <v/>
      </c>
      <c r="CM290" s="616" t="str">
        <f t="shared" si="395"/>
        <v/>
      </c>
      <c r="CN290" s="616" t="str">
        <f>IF(ISNUMBER(P290),MAX('Adjustment factors'!$S$16,(0.2+0.8*P290)),IF(ISTEXT(N290),VLOOKUP(N290,Afactors,2,FALSE),""))</f>
        <v/>
      </c>
      <c r="CO290" s="616" t="str">
        <f>IF(ISNUMBER(S290),MAX('Adjustment factors'!$S$16,0.2+0.8*S290),IF(ISTEXT(Q290),VLOOKUP(Q290,Afactors,2,FALSE),""))</f>
        <v/>
      </c>
      <c r="CP290" s="611" t="str">
        <f t="shared" si="385"/>
        <v/>
      </c>
      <c r="CQ290" s="612" t="str">
        <f t="shared" si="386"/>
        <v/>
      </c>
      <c r="CR290" s="340"/>
      <c r="CS290" s="340"/>
      <c r="CT290" s="340"/>
      <c r="CU290" s="340"/>
      <c r="CV290" s="333"/>
      <c r="CW290" s="333"/>
      <c r="CX290" s="333"/>
      <c r="CY290" s="333"/>
      <c r="DA290" s="313" t="str">
        <f t="shared" si="368"/>
        <v>OK</v>
      </c>
      <c r="DB290" s="313" t="str">
        <f t="shared" si="369"/>
        <v>OK</v>
      </c>
      <c r="DC290" s="313" t="str">
        <f t="shared" si="370"/>
        <v>OK</v>
      </c>
      <c r="DD290" s="313" t="str">
        <f t="shared" si="371"/>
        <v>OK</v>
      </c>
      <c r="DE290" s="153" t="str">
        <f t="shared" si="372"/>
        <v>OK</v>
      </c>
      <c r="DF290" s="314" t="str">
        <f t="shared" si="373"/>
        <v>OK</v>
      </c>
      <c r="DG290" s="482" t="str">
        <f t="shared" si="387"/>
        <v>OK</v>
      </c>
      <c r="DH290" s="482" t="str">
        <f>IF(OR(AND(T290='Adjustment factors'!$R$28,'Class 3, 5-9'!U290='Adjustment factors'!$R$29),AND('Class 3, 5-9'!T290='Adjustment factors'!$R$29,'Class 3, 5-9'!U290='Adjustment factors'!$R$28)),"Invalid combination of adjustment factors",IF(AND(T290=U290,NOT(ISBLANK(T290)),NOT(ISBLANK(U290))),"Same colour factor selected twice","OK"))</f>
        <v>OK</v>
      </c>
      <c r="DI290" s="313" t="str">
        <f t="shared" si="374"/>
        <v>OK</v>
      </c>
      <c r="DJ290" s="153" t="str">
        <f t="shared" si="396"/>
        <v>OK</v>
      </c>
      <c r="DK290" s="153" t="str">
        <f t="shared" si="375"/>
        <v>OK</v>
      </c>
      <c r="DL290" s="313" t="str">
        <f t="shared" si="376"/>
        <v>OK</v>
      </c>
      <c r="DM290" s="153" t="str">
        <f t="shared" si="377"/>
        <v>OK</v>
      </c>
      <c r="DN290" s="153" t="str">
        <f t="shared" si="397"/>
        <v>OK</v>
      </c>
      <c r="DO290" s="154" t="str">
        <f t="shared" si="398"/>
        <v>OK</v>
      </c>
      <c r="DP290" s="153" t="str">
        <f t="shared" si="378"/>
        <v>OK</v>
      </c>
      <c r="DQ290" s="313" t="str">
        <f t="shared" si="379"/>
        <v>OK</v>
      </c>
      <c r="DR290" s="153" t="str">
        <f t="shared" si="399"/>
        <v>OK</v>
      </c>
      <c r="DS290" s="153" t="str">
        <f t="shared" si="380"/>
        <v>OK</v>
      </c>
      <c r="DT290" s="313" t="str">
        <f t="shared" si="338"/>
        <v>OK</v>
      </c>
      <c r="DU290" s="153" t="str">
        <f t="shared" si="381"/>
        <v>OK</v>
      </c>
      <c r="DV290" s="153" t="str">
        <f t="shared" si="400"/>
        <v>OK</v>
      </c>
      <c r="DW290" s="154" t="str">
        <f t="shared" si="401"/>
        <v>OK</v>
      </c>
      <c r="DX290" s="157">
        <f t="shared" si="402"/>
        <v>0</v>
      </c>
      <c r="DY290" s="156" t="str">
        <f t="shared" si="403"/>
        <v>OK</v>
      </c>
    </row>
    <row r="291" spans="1:129" ht="13" hidden="1" x14ac:dyDescent="0.3">
      <c r="A291" s="333"/>
      <c r="B291" s="333"/>
      <c r="C291" s="332" t="str">
        <f t="shared" si="334"/>
        <v>-</v>
      </c>
      <c r="D291" s="584">
        <f t="shared" si="336"/>
        <v>268</v>
      </c>
      <c r="E291" s="585"/>
      <c r="F291" s="586"/>
      <c r="G291" s="600"/>
      <c r="H291" s="587"/>
      <c r="I291" s="601"/>
      <c r="J291" s="585"/>
      <c r="K291" s="617"/>
      <c r="L291" s="602"/>
      <c r="M291" s="603"/>
      <c r="N291" s="588"/>
      <c r="O291" s="604"/>
      <c r="P291" s="605"/>
      <c r="Q291" s="588"/>
      <c r="R291" s="604"/>
      <c r="S291" s="605"/>
      <c r="T291" s="606"/>
      <c r="U291" s="606"/>
      <c r="V291" s="429" t="str">
        <f t="shared" si="331"/>
        <v/>
      </c>
      <c r="W291" s="430" t="str">
        <f t="shared" si="330"/>
        <v/>
      </c>
      <c r="X291" s="66" t="str">
        <f>IF(AND(ISNUMBER(P291),N291=FixedDim),MAX('Adjustment factors'!$S$16,0.2+0.8*P291),IF(ISTEXT(N291),VLOOKUP(N291,Afactors,2,TRUE),""))</f>
        <v/>
      </c>
      <c r="Y291" s="17" t="str">
        <f>IF(AND(ISNUMBER(S291),Q291=FixedDim),MAX('Adjustment factors'!$S$16,0.2+0.8*S291),IF(ISTEXT(Q291),VLOOKUP(Q291,Afactors,2,TRUE),""))</f>
        <v/>
      </c>
      <c r="Z291" s="297" t="str">
        <f>IF(ISBLANK(T291),"",VLOOKUP(T291,'Adjustment factors'!$R$27:$S$30,2,TRUE))</f>
        <v/>
      </c>
      <c r="AA291" s="297" t="str">
        <f>IF(ISBLANK(U291),"",VLOOKUP(U291,'Adjustment factors'!$R$27:$S$30,2,TRUE))</f>
        <v/>
      </c>
      <c r="AB291" s="480">
        <f t="shared" si="382"/>
        <v>1</v>
      </c>
      <c r="AC291" s="18" t="b">
        <f t="shared" si="339"/>
        <v>0</v>
      </c>
      <c r="AD291" s="18" t="b">
        <f t="shared" si="340"/>
        <v>0</v>
      </c>
      <c r="AE291" s="18" t="b">
        <f t="shared" si="404"/>
        <v>0</v>
      </c>
      <c r="AF291" s="17" t="str">
        <f t="shared" si="341"/>
        <v/>
      </c>
      <c r="AG291" s="18" t="str">
        <f t="shared" si="342"/>
        <v/>
      </c>
      <c r="AH291" s="17" t="str">
        <f t="shared" si="405"/>
        <v/>
      </c>
      <c r="AI291" s="297" t="e">
        <f t="shared" si="383"/>
        <v>#VALUE!</v>
      </c>
      <c r="AJ291" s="79" t="e">
        <f t="shared" si="343"/>
        <v>#VALUE!</v>
      </c>
      <c r="AK291" s="17" t="str">
        <f t="shared" ref="AK291:AK323" si="406">IF(AD291,(AF291*(AG291+((1-AG291)/2))),"")</f>
        <v/>
      </c>
      <c r="AL291" s="80" t="e">
        <f t="shared" si="344"/>
        <v>#VALUE!</v>
      </c>
      <c r="AM291" s="139" t="b">
        <f t="shared" si="345"/>
        <v>1</v>
      </c>
      <c r="AN291" s="139" t="b">
        <f>AND(COUNTA(E291)&gt;0,ISNUMBER(F291),OR(COUNT(G291:H291)=0,COUNT(G291:H291)=2,AND(ISNUMBER(G291),ISNUMBER(VALUE(LEFT(H291,SUM(LEN(H291)-LEN(SUBSTITUTE(H291,{"0","1","2","3","4","5","6","7","8","9","."},"")))))))),ISNUMBER(I291),ISTEXT(J291))</f>
        <v>0</v>
      </c>
      <c r="AO291" s="19" t="b">
        <f t="shared" si="346"/>
        <v>0</v>
      </c>
      <c r="AP291" s="19" t="b">
        <f t="shared" si="347"/>
        <v>1</v>
      </c>
      <c r="AQ291" s="19" t="b">
        <f>IF(AND(COUNTBLANK(E291:J291)=6,OR(AN292:AN$523)),NOT(AN291))</f>
        <v>0</v>
      </c>
      <c r="AR291" s="19" t="str">
        <f t="shared" si="348"/>
        <v/>
      </c>
      <c r="AS291" s="19" t="b">
        <f t="shared" si="349"/>
        <v>1</v>
      </c>
      <c r="AT291" s="19" t="str">
        <f t="shared" si="350"/>
        <v/>
      </c>
      <c r="AU291" s="19" t="b">
        <f t="shared" si="351"/>
        <v>1</v>
      </c>
      <c r="AV291" s="140" t="str">
        <f t="shared" si="388"/>
        <v/>
      </c>
      <c r="AW291" s="19" t="str">
        <f t="shared" si="352"/>
        <v/>
      </c>
      <c r="AX291" s="81">
        <f t="shared" si="353"/>
        <v>0</v>
      </c>
      <c r="AY291" s="81" t="str">
        <f t="shared" si="354"/>
        <v/>
      </c>
      <c r="AZ291" s="307" t="str">
        <f t="shared" si="384"/>
        <v/>
      </c>
      <c r="BA291" s="281" t="str">
        <f t="shared" si="389"/>
        <v/>
      </c>
      <c r="BB291" s="281" t="str">
        <f t="shared" si="390"/>
        <v/>
      </c>
      <c r="BC291" s="953"/>
      <c r="BD291" s="955"/>
      <c r="BE291" s="219" t="str">
        <f t="shared" si="355"/>
        <v>n/a</v>
      </c>
      <c r="BF291" s="215" t="b">
        <f t="shared" si="356"/>
        <v>0</v>
      </c>
      <c r="BG291" s="145" t="b">
        <f t="shared" si="357"/>
        <v>0</v>
      </c>
      <c r="BH291" s="145" t="b">
        <f t="shared" si="358"/>
        <v>0</v>
      </c>
      <c r="BI291" s="216" t="b">
        <f t="shared" si="359"/>
        <v>0</v>
      </c>
      <c r="BJ291" s="215" t="b">
        <f t="shared" si="360"/>
        <v>0</v>
      </c>
      <c r="BK291" s="145" t="b">
        <f t="shared" si="361"/>
        <v>0</v>
      </c>
      <c r="BL291" s="216" t="b">
        <f t="shared" si="362"/>
        <v>0</v>
      </c>
      <c r="BM291" s="217" t="str">
        <f t="shared" si="391"/>
        <v/>
      </c>
      <c r="BN291" s="146" t="str">
        <f t="shared" si="392"/>
        <v/>
      </c>
      <c r="BO291" s="147" t="str">
        <f t="shared" si="393"/>
        <v/>
      </c>
      <c r="BP291" s="148" t="str">
        <f t="shared" si="394"/>
        <v/>
      </c>
      <c r="BT291" s="50">
        <f t="shared" si="337"/>
        <v>268</v>
      </c>
      <c r="BU291" s="50" t="str">
        <f t="shared" si="333"/>
        <v>-</v>
      </c>
      <c r="BW291" s="340"/>
      <c r="BX291" s="333"/>
      <c r="BY291" s="333"/>
      <c r="BZ291" s="333"/>
      <c r="CA291" s="333"/>
      <c r="CB291" s="333"/>
      <c r="CC291" s="333"/>
      <c r="CD291" s="333"/>
      <c r="CE291" s="333"/>
      <c r="CF291" s="333"/>
      <c r="CG291" s="354">
        <f t="shared" si="363"/>
        <v>268</v>
      </c>
      <c r="CH291" s="613">
        <f t="shared" si="364"/>
        <v>0</v>
      </c>
      <c r="CI291" s="613">
        <f t="shared" si="365"/>
        <v>0</v>
      </c>
      <c r="CJ291" s="614" t="str">
        <f t="shared" si="366"/>
        <v/>
      </c>
      <c r="CK291" s="615" t="str">
        <f t="shared" si="367"/>
        <v/>
      </c>
      <c r="CL291" s="610" t="str">
        <f>IF(ISBLANK(H291),"",IF(AND(ISNUMBER(F291),ISNUMBER(G291),ISNUMBER(H291)),ROUND(F291/(H291*G291),2),ROUND(F291/(VALUE(LEFT(H291,SUM(LEN(H291)-LEN(SUBSTITUTE(H291,{"0","1","2","3","4","5","6","7","8","9","."},"")))))*G291),2)))</f>
        <v/>
      </c>
      <c r="CM291" s="616" t="str">
        <f t="shared" si="395"/>
        <v/>
      </c>
      <c r="CN291" s="616" t="str">
        <f>IF(ISNUMBER(P291),MAX('Adjustment factors'!$S$16,(0.2+0.8*P291)),IF(ISTEXT(N291),VLOOKUP(N291,Afactors,2,FALSE),""))</f>
        <v/>
      </c>
      <c r="CO291" s="616" t="str">
        <f>IF(ISNUMBER(S291),MAX('Adjustment factors'!$S$16,0.2+0.8*S291),IF(ISTEXT(Q291),VLOOKUP(Q291,Afactors,2,FALSE),""))</f>
        <v/>
      </c>
      <c r="CP291" s="611" t="str">
        <f t="shared" si="385"/>
        <v/>
      </c>
      <c r="CQ291" s="612" t="str">
        <f t="shared" si="386"/>
        <v/>
      </c>
      <c r="CR291" s="340"/>
      <c r="CS291" s="340"/>
      <c r="CT291" s="340"/>
      <c r="CU291" s="340"/>
      <c r="CV291" s="333"/>
      <c r="CW291" s="333"/>
      <c r="CX291" s="333"/>
      <c r="CY291" s="333"/>
      <c r="DA291" s="313" t="str">
        <f t="shared" si="368"/>
        <v>OK</v>
      </c>
      <c r="DB291" s="313" t="str">
        <f t="shared" si="369"/>
        <v>OK</v>
      </c>
      <c r="DC291" s="313" t="str">
        <f t="shared" si="370"/>
        <v>OK</v>
      </c>
      <c r="DD291" s="313" t="str">
        <f t="shared" si="371"/>
        <v>OK</v>
      </c>
      <c r="DE291" s="153" t="str">
        <f t="shared" si="372"/>
        <v>OK</v>
      </c>
      <c r="DF291" s="314" t="str">
        <f t="shared" si="373"/>
        <v>OK</v>
      </c>
      <c r="DG291" s="482" t="str">
        <f t="shared" si="387"/>
        <v>OK</v>
      </c>
      <c r="DH291" s="482" t="str">
        <f>IF(OR(AND(T291='Adjustment factors'!$R$28,'Class 3, 5-9'!U291='Adjustment factors'!$R$29),AND('Class 3, 5-9'!T291='Adjustment factors'!$R$29,'Class 3, 5-9'!U291='Adjustment factors'!$R$28)),"Invalid combination of adjustment factors",IF(AND(T291=U291,NOT(ISBLANK(T291)),NOT(ISBLANK(U291))),"Same colour factor selected twice","OK"))</f>
        <v>OK</v>
      </c>
      <c r="DI291" s="313" t="str">
        <f t="shared" si="374"/>
        <v>OK</v>
      </c>
      <c r="DJ291" s="153" t="str">
        <f t="shared" si="396"/>
        <v>OK</v>
      </c>
      <c r="DK291" s="153" t="str">
        <f t="shared" si="375"/>
        <v>OK</v>
      </c>
      <c r="DL291" s="313" t="str">
        <f t="shared" si="376"/>
        <v>OK</v>
      </c>
      <c r="DM291" s="153" t="str">
        <f t="shared" si="377"/>
        <v>OK</v>
      </c>
      <c r="DN291" s="153" t="str">
        <f t="shared" si="397"/>
        <v>OK</v>
      </c>
      <c r="DO291" s="154" t="str">
        <f t="shared" si="398"/>
        <v>OK</v>
      </c>
      <c r="DP291" s="153" t="str">
        <f t="shared" si="378"/>
        <v>OK</v>
      </c>
      <c r="DQ291" s="313" t="str">
        <f t="shared" si="379"/>
        <v>OK</v>
      </c>
      <c r="DR291" s="153" t="str">
        <f t="shared" si="399"/>
        <v>OK</v>
      </c>
      <c r="DS291" s="153" t="str">
        <f t="shared" si="380"/>
        <v>OK</v>
      </c>
      <c r="DT291" s="313" t="str">
        <f t="shared" si="338"/>
        <v>OK</v>
      </c>
      <c r="DU291" s="153" t="str">
        <f t="shared" si="381"/>
        <v>OK</v>
      </c>
      <c r="DV291" s="153" t="str">
        <f t="shared" si="400"/>
        <v>OK</v>
      </c>
      <c r="DW291" s="154" t="str">
        <f t="shared" si="401"/>
        <v>OK</v>
      </c>
      <c r="DX291" s="157">
        <f t="shared" si="402"/>
        <v>0</v>
      </c>
      <c r="DY291" s="156" t="str">
        <f t="shared" si="403"/>
        <v>OK</v>
      </c>
    </row>
    <row r="292" spans="1:129" ht="13" hidden="1" x14ac:dyDescent="0.3">
      <c r="A292" s="333"/>
      <c r="B292" s="333"/>
      <c r="C292" s="332" t="str">
        <f t="shared" si="334"/>
        <v>-</v>
      </c>
      <c r="D292" s="584">
        <f t="shared" si="336"/>
        <v>269</v>
      </c>
      <c r="E292" s="585"/>
      <c r="F292" s="586"/>
      <c r="G292" s="600"/>
      <c r="H292" s="587"/>
      <c r="I292" s="601"/>
      <c r="J292" s="585"/>
      <c r="K292" s="617"/>
      <c r="L292" s="602"/>
      <c r="M292" s="603"/>
      <c r="N292" s="588"/>
      <c r="O292" s="604"/>
      <c r="P292" s="605"/>
      <c r="Q292" s="588"/>
      <c r="R292" s="604"/>
      <c r="S292" s="605"/>
      <c r="T292" s="606"/>
      <c r="U292" s="606"/>
      <c r="V292" s="429" t="str">
        <f t="shared" si="331"/>
        <v/>
      </c>
      <c r="W292" s="430" t="str">
        <f t="shared" ref="W292:W323" si="407">AW292</f>
        <v/>
      </c>
      <c r="X292" s="66" t="str">
        <f>IF(AND(ISNUMBER(P292),N292=FixedDim),MAX('Adjustment factors'!$S$16,0.2+0.8*P292),IF(ISTEXT(N292),VLOOKUP(N292,Afactors,2,TRUE),""))</f>
        <v/>
      </c>
      <c r="Y292" s="17" t="str">
        <f>IF(AND(ISNUMBER(S292),Q292=FixedDim),MAX('Adjustment factors'!$S$16,0.2+0.8*S292),IF(ISTEXT(Q292),VLOOKUP(Q292,Afactors,2,TRUE),""))</f>
        <v/>
      </c>
      <c r="Z292" s="297" t="str">
        <f>IF(ISBLANK(T292),"",VLOOKUP(T292,'Adjustment factors'!$R$27:$S$30,2,TRUE))</f>
        <v/>
      </c>
      <c r="AA292" s="297" t="str">
        <f>IF(ISBLANK(U292),"",VLOOKUP(U292,'Adjustment factors'!$R$27:$S$30,2,TRUE))</f>
        <v/>
      </c>
      <c r="AB292" s="480">
        <f t="shared" si="382"/>
        <v>1</v>
      </c>
      <c r="AC292" s="18" t="b">
        <f t="shared" si="339"/>
        <v>0</v>
      </c>
      <c r="AD292" s="18" t="b">
        <f t="shared" si="340"/>
        <v>0</v>
      </c>
      <c r="AE292" s="18" t="b">
        <f t="shared" si="404"/>
        <v>0</v>
      </c>
      <c r="AF292" s="17" t="str">
        <f t="shared" si="341"/>
        <v/>
      </c>
      <c r="AG292" s="18" t="str">
        <f t="shared" si="342"/>
        <v/>
      </c>
      <c r="AH292" s="17" t="str">
        <f t="shared" si="405"/>
        <v/>
      </c>
      <c r="AI292" s="297" t="e">
        <f t="shared" si="383"/>
        <v>#VALUE!</v>
      </c>
      <c r="AJ292" s="79" t="e">
        <f t="shared" si="343"/>
        <v>#VALUE!</v>
      </c>
      <c r="AK292" s="17" t="str">
        <f t="shared" si="406"/>
        <v/>
      </c>
      <c r="AL292" s="80" t="e">
        <f t="shared" si="344"/>
        <v>#VALUE!</v>
      </c>
      <c r="AM292" s="139" t="b">
        <f t="shared" si="345"/>
        <v>1</v>
      </c>
      <c r="AN292" s="139" t="b">
        <f>AND(COUNTA(E292)&gt;0,ISNUMBER(F292),OR(COUNT(G292:H292)=0,COUNT(G292:H292)=2,AND(ISNUMBER(G292),ISNUMBER(VALUE(LEFT(H292,SUM(LEN(H292)-LEN(SUBSTITUTE(H292,{"0","1","2","3","4","5","6","7","8","9","."},"")))))))),ISNUMBER(I292),ISTEXT(J292))</f>
        <v>0</v>
      </c>
      <c r="AO292" s="19" t="b">
        <f t="shared" si="346"/>
        <v>0</v>
      </c>
      <c r="AP292" s="19" t="b">
        <f t="shared" si="347"/>
        <v>1</v>
      </c>
      <c r="AQ292" s="19" t="b">
        <f>IF(AND(COUNTBLANK(E292:J292)=6,OR(AN293:AN$523)),NOT(AN292))</f>
        <v>0</v>
      </c>
      <c r="AR292" s="19" t="str">
        <f t="shared" si="348"/>
        <v/>
      </c>
      <c r="AS292" s="19" t="b">
        <f t="shared" si="349"/>
        <v>1</v>
      </c>
      <c r="AT292" s="19" t="str">
        <f t="shared" si="350"/>
        <v/>
      </c>
      <c r="AU292" s="19" t="b">
        <f t="shared" si="351"/>
        <v>1</v>
      </c>
      <c r="AV292" s="140" t="str">
        <f t="shared" si="388"/>
        <v/>
      </c>
      <c r="AW292" s="19" t="str">
        <f t="shared" si="352"/>
        <v/>
      </c>
      <c r="AX292" s="81">
        <f t="shared" si="353"/>
        <v>0</v>
      </c>
      <c r="AY292" s="81" t="str">
        <f t="shared" si="354"/>
        <v/>
      </c>
      <c r="AZ292" s="307" t="str">
        <f t="shared" si="384"/>
        <v/>
      </c>
      <c r="BA292" s="281" t="str">
        <f t="shared" si="389"/>
        <v/>
      </c>
      <c r="BB292" s="281" t="str">
        <f t="shared" si="390"/>
        <v/>
      </c>
      <c r="BC292" s="953"/>
      <c r="BD292" s="955"/>
      <c r="BE292" s="219" t="str">
        <f t="shared" si="355"/>
        <v>n/a</v>
      </c>
      <c r="BF292" s="215" t="b">
        <f t="shared" si="356"/>
        <v>0</v>
      </c>
      <c r="BG292" s="145" t="b">
        <f t="shared" si="357"/>
        <v>0</v>
      </c>
      <c r="BH292" s="145" t="b">
        <f t="shared" si="358"/>
        <v>0</v>
      </c>
      <c r="BI292" s="216" t="b">
        <f t="shared" si="359"/>
        <v>0</v>
      </c>
      <c r="BJ292" s="215" t="b">
        <f t="shared" si="360"/>
        <v>0</v>
      </c>
      <c r="BK292" s="145" t="b">
        <f t="shared" si="361"/>
        <v>0</v>
      </c>
      <c r="BL292" s="216" t="b">
        <f t="shared" si="362"/>
        <v>0</v>
      </c>
      <c r="BM292" s="217" t="str">
        <f t="shared" si="391"/>
        <v/>
      </c>
      <c r="BN292" s="146" t="str">
        <f t="shared" si="392"/>
        <v/>
      </c>
      <c r="BO292" s="147" t="str">
        <f t="shared" si="393"/>
        <v/>
      </c>
      <c r="BP292" s="148" t="str">
        <f t="shared" si="394"/>
        <v/>
      </c>
      <c r="BT292" s="50">
        <f t="shared" si="337"/>
        <v>269</v>
      </c>
      <c r="BU292" s="50" t="str">
        <f t="shared" si="333"/>
        <v>-</v>
      </c>
      <c r="BW292" s="340"/>
      <c r="BX292" s="333"/>
      <c r="BY292" s="333"/>
      <c r="BZ292" s="333"/>
      <c r="CA292" s="333"/>
      <c r="CB292" s="333"/>
      <c r="CC292" s="333"/>
      <c r="CD292" s="333"/>
      <c r="CE292" s="333"/>
      <c r="CF292" s="333"/>
      <c r="CG292" s="354">
        <f t="shared" si="363"/>
        <v>269</v>
      </c>
      <c r="CH292" s="613">
        <f t="shared" si="364"/>
        <v>0</v>
      </c>
      <c r="CI292" s="613">
        <f t="shared" si="365"/>
        <v>0</v>
      </c>
      <c r="CJ292" s="614" t="str">
        <f t="shared" si="366"/>
        <v/>
      </c>
      <c r="CK292" s="615" t="str">
        <f t="shared" si="367"/>
        <v/>
      </c>
      <c r="CL292" s="610" t="str">
        <f>IF(ISBLANK(H292),"",IF(AND(ISNUMBER(F292),ISNUMBER(G292),ISNUMBER(H292)),ROUND(F292/(H292*G292),2),ROUND(F292/(VALUE(LEFT(H292,SUM(LEN(H292)-LEN(SUBSTITUTE(H292,{"0","1","2","3","4","5","6","7","8","9","."},"")))))*G292),2)))</f>
        <v/>
      </c>
      <c r="CM292" s="616" t="str">
        <f t="shared" si="395"/>
        <v/>
      </c>
      <c r="CN292" s="616" t="str">
        <f>IF(ISNUMBER(P292),MAX('Adjustment factors'!$S$16,(0.2+0.8*P292)),IF(ISTEXT(N292),VLOOKUP(N292,Afactors,2,FALSE),""))</f>
        <v/>
      </c>
      <c r="CO292" s="616" t="str">
        <f>IF(ISNUMBER(S292),MAX('Adjustment factors'!$S$16,0.2+0.8*S292),IF(ISTEXT(Q292),VLOOKUP(Q292,Afactors,2,FALSE),""))</f>
        <v/>
      </c>
      <c r="CP292" s="611" t="str">
        <f t="shared" si="385"/>
        <v/>
      </c>
      <c r="CQ292" s="612" t="str">
        <f t="shared" si="386"/>
        <v/>
      </c>
      <c r="CR292" s="340"/>
      <c r="CS292" s="340"/>
      <c r="CT292" s="340"/>
      <c r="CU292" s="340"/>
      <c r="CV292" s="333"/>
      <c r="CW292" s="333"/>
      <c r="CX292" s="333"/>
      <c r="CY292" s="333"/>
      <c r="DA292" s="313" t="str">
        <f t="shared" si="368"/>
        <v>OK</v>
      </c>
      <c r="DB292" s="313" t="str">
        <f t="shared" si="369"/>
        <v>OK</v>
      </c>
      <c r="DC292" s="313" t="str">
        <f t="shared" si="370"/>
        <v>OK</v>
      </c>
      <c r="DD292" s="313" t="str">
        <f t="shared" si="371"/>
        <v>OK</v>
      </c>
      <c r="DE292" s="153" t="str">
        <f t="shared" si="372"/>
        <v>OK</v>
      </c>
      <c r="DF292" s="314" t="str">
        <f t="shared" si="373"/>
        <v>OK</v>
      </c>
      <c r="DG292" s="482" t="str">
        <f t="shared" si="387"/>
        <v>OK</v>
      </c>
      <c r="DH292" s="482" t="str">
        <f>IF(OR(AND(T292='Adjustment factors'!$R$28,'Class 3, 5-9'!U292='Adjustment factors'!$R$29),AND('Class 3, 5-9'!T292='Adjustment factors'!$R$29,'Class 3, 5-9'!U292='Adjustment factors'!$R$28)),"Invalid combination of adjustment factors",IF(AND(T292=U292,NOT(ISBLANK(T292)),NOT(ISBLANK(U292))),"Same colour factor selected twice","OK"))</f>
        <v>OK</v>
      </c>
      <c r="DI292" s="313" t="str">
        <f t="shared" si="374"/>
        <v>OK</v>
      </c>
      <c r="DJ292" s="153" t="str">
        <f t="shared" si="396"/>
        <v>OK</v>
      </c>
      <c r="DK292" s="153" t="str">
        <f t="shared" si="375"/>
        <v>OK</v>
      </c>
      <c r="DL292" s="313" t="str">
        <f t="shared" si="376"/>
        <v>OK</v>
      </c>
      <c r="DM292" s="153" t="str">
        <f t="shared" si="377"/>
        <v>OK</v>
      </c>
      <c r="DN292" s="153" t="str">
        <f t="shared" si="397"/>
        <v>OK</v>
      </c>
      <c r="DO292" s="154" t="str">
        <f t="shared" si="398"/>
        <v>OK</v>
      </c>
      <c r="DP292" s="153" t="str">
        <f t="shared" si="378"/>
        <v>OK</v>
      </c>
      <c r="DQ292" s="313" t="str">
        <f t="shared" si="379"/>
        <v>OK</v>
      </c>
      <c r="DR292" s="153" t="str">
        <f t="shared" si="399"/>
        <v>OK</v>
      </c>
      <c r="DS292" s="153" t="str">
        <f t="shared" si="380"/>
        <v>OK</v>
      </c>
      <c r="DT292" s="313" t="str">
        <f t="shared" si="338"/>
        <v>OK</v>
      </c>
      <c r="DU292" s="153" t="str">
        <f t="shared" si="381"/>
        <v>OK</v>
      </c>
      <c r="DV292" s="153" t="str">
        <f t="shared" si="400"/>
        <v>OK</v>
      </c>
      <c r="DW292" s="154" t="str">
        <f t="shared" si="401"/>
        <v>OK</v>
      </c>
      <c r="DX292" s="157">
        <f t="shared" si="402"/>
        <v>0</v>
      </c>
      <c r="DY292" s="156" t="str">
        <f t="shared" si="403"/>
        <v>OK</v>
      </c>
    </row>
    <row r="293" spans="1:129" ht="13" hidden="1" x14ac:dyDescent="0.3">
      <c r="A293" s="333"/>
      <c r="B293" s="333"/>
      <c r="C293" s="332" t="str">
        <f t="shared" si="334"/>
        <v>-</v>
      </c>
      <c r="D293" s="584">
        <f t="shared" si="336"/>
        <v>270</v>
      </c>
      <c r="E293" s="585"/>
      <c r="F293" s="586"/>
      <c r="G293" s="600"/>
      <c r="H293" s="587"/>
      <c r="I293" s="601"/>
      <c r="J293" s="585"/>
      <c r="K293" s="617"/>
      <c r="L293" s="602"/>
      <c r="M293" s="603"/>
      <c r="N293" s="588"/>
      <c r="O293" s="604"/>
      <c r="P293" s="605"/>
      <c r="Q293" s="588"/>
      <c r="R293" s="604"/>
      <c r="S293" s="605"/>
      <c r="T293" s="606"/>
      <c r="U293" s="606"/>
      <c r="V293" s="429" t="str">
        <f t="shared" si="331"/>
        <v/>
      </c>
      <c r="W293" s="430" t="str">
        <f t="shared" si="407"/>
        <v/>
      </c>
      <c r="X293" s="66" t="str">
        <f>IF(AND(ISNUMBER(P293),N293=FixedDim),MAX('Adjustment factors'!$S$16,0.2+0.8*P293),IF(ISTEXT(N293),VLOOKUP(N293,Afactors,2,TRUE),""))</f>
        <v/>
      </c>
      <c r="Y293" s="17" t="str">
        <f>IF(AND(ISNUMBER(S293),Q293=FixedDim),MAX('Adjustment factors'!$S$16,0.2+0.8*S293),IF(ISTEXT(Q293),VLOOKUP(Q293,Afactors,2,TRUE),""))</f>
        <v/>
      </c>
      <c r="Z293" s="297" t="str">
        <f>IF(ISBLANK(T293),"",VLOOKUP(T293,'Adjustment factors'!$R$27:$S$30,2,TRUE))</f>
        <v/>
      </c>
      <c r="AA293" s="297" t="str">
        <f>IF(ISBLANK(U293),"",VLOOKUP(U293,'Adjustment factors'!$R$27:$S$30,2,TRUE))</f>
        <v/>
      </c>
      <c r="AB293" s="480">
        <f t="shared" si="382"/>
        <v>1</v>
      </c>
      <c r="AC293" s="18" t="b">
        <f t="shared" si="339"/>
        <v>0</v>
      </c>
      <c r="AD293" s="18" t="b">
        <f t="shared" si="340"/>
        <v>0</v>
      </c>
      <c r="AE293" s="18" t="b">
        <f t="shared" si="404"/>
        <v>0</v>
      </c>
      <c r="AF293" s="17" t="str">
        <f t="shared" si="341"/>
        <v/>
      </c>
      <c r="AG293" s="18" t="str">
        <f t="shared" si="342"/>
        <v/>
      </c>
      <c r="AH293" s="17" t="str">
        <f t="shared" si="405"/>
        <v/>
      </c>
      <c r="AI293" s="297" t="e">
        <f t="shared" si="383"/>
        <v>#VALUE!</v>
      </c>
      <c r="AJ293" s="79" t="e">
        <f t="shared" si="343"/>
        <v>#VALUE!</v>
      </c>
      <c r="AK293" s="17" t="str">
        <f t="shared" si="406"/>
        <v/>
      </c>
      <c r="AL293" s="80" t="e">
        <f t="shared" si="344"/>
        <v>#VALUE!</v>
      </c>
      <c r="AM293" s="139" t="b">
        <f t="shared" si="345"/>
        <v>1</v>
      </c>
      <c r="AN293" s="139" t="b">
        <f>AND(COUNTA(E293)&gt;0,ISNUMBER(F293),OR(COUNT(G293:H293)=0,COUNT(G293:H293)=2,AND(ISNUMBER(G293),ISNUMBER(VALUE(LEFT(H293,SUM(LEN(H293)-LEN(SUBSTITUTE(H293,{"0","1","2","3","4","5","6","7","8","9","."},"")))))))),ISNUMBER(I293),ISTEXT(J293))</f>
        <v>0</v>
      </c>
      <c r="AO293" s="19" t="b">
        <f t="shared" si="346"/>
        <v>0</v>
      </c>
      <c r="AP293" s="19" t="b">
        <f t="shared" si="347"/>
        <v>1</v>
      </c>
      <c r="AQ293" s="19" t="b">
        <f>IF(AND(COUNTBLANK(E293:J293)=6,OR(AN294:AN$523)),NOT(AN293))</f>
        <v>0</v>
      </c>
      <c r="AR293" s="19" t="str">
        <f t="shared" si="348"/>
        <v/>
      </c>
      <c r="AS293" s="19" t="b">
        <f t="shared" si="349"/>
        <v>1</v>
      </c>
      <c r="AT293" s="19" t="str">
        <f t="shared" si="350"/>
        <v/>
      </c>
      <c r="AU293" s="19" t="b">
        <f t="shared" si="351"/>
        <v>1</v>
      </c>
      <c r="AV293" s="140" t="str">
        <f t="shared" si="388"/>
        <v/>
      </c>
      <c r="AW293" s="19" t="str">
        <f t="shared" si="352"/>
        <v/>
      </c>
      <c r="AX293" s="81">
        <f t="shared" si="353"/>
        <v>0</v>
      </c>
      <c r="AY293" s="81" t="str">
        <f t="shared" si="354"/>
        <v/>
      </c>
      <c r="AZ293" s="307" t="str">
        <f t="shared" si="384"/>
        <v/>
      </c>
      <c r="BA293" s="281" t="str">
        <f t="shared" si="389"/>
        <v/>
      </c>
      <c r="BB293" s="281" t="str">
        <f t="shared" si="390"/>
        <v/>
      </c>
      <c r="BC293" s="953"/>
      <c r="BD293" s="955"/>
      <c r="BE293" s="219" t="str">
        <f t="shared" si="355"/>
        <v>n/a</v>
      </c>
      <c r="BF293" s="215" t="b">
        <f t="shared" si="356"/>
        <v>0</v>
      </c>
      <c r="BG293" s="145" t="b">
        <f t="shared" si="357"/>
        <v>0</v>
      </c>
      <c r="BH293" s="145" t="b">
        <f t="shared" si="358"/>
        <v>0</v>
      </c>
      <c r="BI293" s="216" t="b">
        <f t="shared" si="359"/>
        <v>0</v>
      </c>
      <c r="BJ293" s="215" t="b">
        <f t="shared" si="360"/>
        <v>0</v>
      </c>
      <c r="BK293" s="145" t="b">
        <f t="shared" si="361"/>
        <v>0</v>
      </c>
      <c r="BL293" s="216" t="b">
        <f t="shared" si="362"/>
        <v>0</v>
      </c>
      <c r="BM293" s="217" t="str">
        <f t="shared" si="391"/>
        <v/>
      </c>
      <c r="BN293" s="146" t="str">
        <f t="shared" si="392"/>
        <v/>
      </c>
      <c r="BO293" s="147" t="str">
        <f t="shared" si="393"/>
        <v/>
      </c>
      <c r="BP293" s="148" t="str">
        <f t="shared" si="394"/>
        <v/>
      </c>
      <c r="BT293" s="50">
        <f t="shared" si="337"/>
        <v>270</v>
      </c>
      <c r="BU293" s="50" t="str">
        <f t="shared" si="333"/>
        <v>-</v>
      </c>
      <c r="BW293" s="340"/>
      <c r="BX293" s="333"/>
      <c r="BY293" s="333"/>
      <c r="BZ293" s="333"/>
      <c r="CA293" s="333"/>
      <c r="CB293" s="333"/>
      <c r="CC293" s="333"/>
      <c r="CD293" s="333"/>
      <c r="CE293" s="333"/>
      <c r="CF293" s="333"/>
      <c r="CG293" s="354">
        <f t="shared" si="363"/>
        <v>270</v>
      </c>
      <c r="CH293" s="613">
        <f t="shared" si="364"/>
        <v>0</v>
      </c>
      <c r="CI293" s="613">
        <f t="shared" si="365"/>
        <v>0</v>
      </c>
      <c r="CJ293" s="614" t="str">
        <f t="shared" si="366"/>
        <v/>
      </c>
      <c r="CK293" s="615" t="str">
        <f t="shared" si="367"/>
        <v/>
      </c>
      <c r="CL293" s="610" t="str">
        <f>IF(ISBLANK(H293),"",IF(AND(ISNUMBER(F293),ISNUMBER(G293),ISNUMBER(H293)),ROUND(F293/(H293*G293),2),ROUND(F293/(VALUE(LEFT(H293,SUM(LEN(H293)-LEN(SUBSTITUTE(H293,{"0","1","2","3","4","5","6","7","8","9","."},"")))))*G293),2)))</f>
        <v/>
      </c>
      <c r="CM293" s="616" t="str">
        <f t="shared" si="395"/>
        <v/>
      </c>
      <c r="CN293" s="616" t="str">
        <f>IF(ISNUMBER(P293),MAX('Adjustment factors'!$S$16,(0.2+0.8*P293)),IF(ISTEXT(N293),VLOOKUP(N293,Afactors,2,FALSE),""))</f>
        <v/>
      </c>
      <c r="CO293" s="616" t="str">
        <f>IF(ISNUMBER(S293),MAX('Adjustment factors'!$S$16,0.2+0.8*S293),IF(ISTEXT(Q293),VLOOKUP(Q293,Afactors,2,FALSE),""))</f>
        <v/>
      </c>
      <c r="CP293" s="611" t="str">
        <f t="shared" si="385"/>
        <v/>
      </c>
      <c r="CQ293" s="612" t="str">
        <f t="shared" si="386"/>
        <v/>
      </c>
      <c r="CR293" s="340"/>
      <c r="CS293" s="340"/>
      <c r="CT293" s="340"/>
      <c r="CU293" s="340"/>
      <c r="CV293" s="333"/>
      <c r="CW293" s="333"/>
      <c r="CX293" s="333"/>
      <c r="CY293" s="333"/>
      <c r="DA293" s="313" t="str">
        <f t="shared" si="368"/>
        <v>OK</v>
      </c>
      <c r="DB293" s="313" t="str">
        <f t="shared" si="369"/>
        <v>OK</v>
      </c>
      <c r="DC293" s="313" t="str">
        <f t="shared" si="370"/>
        <v>OK</v>
      </c>
      <c r="DD293" s="313" t="str">
        <f t="shared" si="371"/>
        <v>OK</v>
      </c>
      <c r="DE293" s="153" t="str">
        <f t="shared" si="372"/>
        <v>OK</v>
      </c>
      <c r="DF293" s="314" t="str">
        <f t="shared" si="373"/>
        <v>OK</v>
      </c>
      <c r="DG293" s="482" t="str">
        <f t="shared" si="387"/>
        <v>OK</v>
      </c>
      <c r="DH293" s="482" t="str">
        <f>IF(OR(AND(T293='Adjustment factors'!$R$28,'Class 3, 5-9'!U293='Adjustment factors'!$R$29),AND('Class 3, 5-9'!T293='Adjustment factors'!$R$29,'Class 3, 5-9'!U293='Adjustment factors'!$R$28)),"Invalid combination of adjustment factors",IF(AND(T293=U293,NOT(ISBLANK(T293)),NOT(ISBLANK(U293))),"Same colour factor selected twice","OK"))</f>
        <v>OK</v>
      </c>
      <c r="DI293" s="313" t="str">
        <f t="shared" si="374"/>
        <v>OK</v>
      </c>
      <c r="DJ293" s="153" t="str">
        <f t="shared" si="396"/>
        <v>OK</v>
      </c>
      <c r="DK293" s="153" t="str">
        <f t="shared" si="375"/>
        <v>OK</v>
      </c>
      <c r="DL293" s="313" t="str">
        <f t="shared" si="376"/>
        <v>OK</v>
      </c>
      <c r="DM293" s="153" t="str">
        <f t="shared" si="377"/>
        <v>OK</v>
      </c>
      <c r="DN293" s="153" t="str">
        <f t="shared" si="397"/>
        <v>OK</v>
      </c>
      <c r="DO293" s="154" t="str">
        <f t="shared" si="398"/>
        <v>OK</v>
      </c>
      <c r="DP293" s="153" t="str">
        <f t="shared" si="378"/>
        <v>OK</v>
      </c>
      <c r="DQ293" s="313" t="str">
        <f t="shared" si="379"/>
        <v>OK</v>
      </c>
      <c r="DR293" s="153" t="str">
        <f t="shared" si="399"/>
        <v>OK</v>
      </c>
      <c r="DS293" s="153" t="str">
        <f t="shared" si="380"/>
        <v>OK</v>
      </c>
      <c r="DT293" s="313" t="str">
        <f t="shared" si="338"/>
        <v>OK</v>
      </c>
      <c r="DU293" s="153" t="str">
        <f t="shared" si="381"/>
        <v>OK</v>
      </c>
      <c r="DV293" s="153" t="str">
        <f t="shared" si="400"/>
        <v>OK</v>
      </c>
      <c r="DW293" s="154" t="str">
        <f t="shared" si="401"/>
        <v>OK</v>
      </c>
      <c r="DX293" s="157">
        <f t="shared" si="402"/>
        <v>0</v>
      </c>
      <c r="DY293" s="156" t="str">
        <f t="shared" si="403"/>
        <v>OK</v>
      </c>
    </row>
    <row r="294" spans="1:129" ht="13" hidden="1" x14ac:dyDescent="0.3">
      <c r="A294" s="333"/>
      <c r="B294" s="333"/>
      <c r="C294" s="332" t="str">
        <f t="shared" si="334"/>
        <v>-</v>
      </c>
      <c r="D294" s="584">
        <f t="shared" si="336"/>
        <v>271</v>
      </c>
      <c r="E294" s="585"/>
      <c r="F294" s="586"/>
      <c r="G294" s="600"/>
      <c r="H294" s="587"/>
      <c r="I294" s="601"/>
      <c r="J294" s="585"/>
      <c r="K294" s="617"/>
      <c r="L294" s="602"/>
      <c r="M294" s="603"/>
      <c r="N294" s="588"/>
      <c r="O294" s="604"/>
      <c r="P294" s="605"/>
      <c r="Q294" s="588"/>
      <c r="R294" s="604"/>
      <c r="S294" s="605"/>
      <c r="T294" s="606"/>
      <c r="U294" s="606"/>
      <c r="V294" s="429" t="str">
        <f t="shared" ref="V294:V328" si="408">AV294</f>
        <v/>
      </c>
      <c r="W294" s="430" t="str">
        <f t="shared" si="407"/>
        <v/>
      </c>
      <c r="X294" s="66" t="str">
        <f>IF(AND(ISNUMBER(P294),N294=FixedDim),MAX('Adjustment factors'!$S$16,0.2+0.8*P294),IF(ISTEXT(N294),VLOOKUP(N294,Afactors,2,TRUE),""))</f>
        <v/>
      </c>
      <c r="Y294" s="17" t="str">
        <f>IF(AND(ISNUMBER(S294),Q294=FixedDim),MAX('Adjustment factors'!$S$16,0.2+0.8*S294),IF(ISTEXT(Q294),VLOOKUP(Q294,Afactors,2,TRUE),""))</f>
        <v/>
      </c>
      <c r="Z294" s="297" t="str">
        <f>IF(ISBLANK(T294),"",VLOOKUP(T294,'Adjustment factors'!$R$27:$S$30,2,TRUE))</f>
        <v/>
      </c>
      <c r="AA294" s="297" t="str">
        <f>IF(ISBLANK(U294),"",VLOOKUP(U294,'Adjustment factors'!$R$27:$S$30,2,TRUE))</f>
        <v/>
      </c>
      <c r="AB294" s="480">
        <f t="shared" si="382"/>
        <v>1</v>
      </c>
      <c r="AC294" s="18" t="b">
        <f t="shared" si="339"/>
        <v>0</v>
      </c>
      <c r="AD294" s="18" t="b">
        <f t="shared" si="340"/>
        <v>0</v>
      </c>
      <c r="AE294" s="18" t="b">
        <f t="shared" si="404"/>
        <v>0</v>
      </c>
      <c r="AF294" s="17" t="str">
        <f t="shared" si="341"/>
        <v/>
      </c>
      <c r="AG294" s="18" t="str">
        <f t="shared" si="342"/>
        <v/>
      </c>
      <c r="AH294" s="17" t="str">
        <f t="shared" si="405"/>
        <v/>
      </c>
      <c r="AI294" s="297" t="e">
        <f t="shared" si="383"/>
        <v>#VALUE!</v>
      </c>
      <c r="AJ294" s="79" t="e">
        <f t="shared" si="343"/>
        <v>#VALUE!</v>
      </c>
      <c r="AK294" s="17" t="str">
        <f t="shared" si="406"/>
        <v/>
      </c>
      <c r="AL294" s="80" t="e">
        <f t="shared" si="344"/>
        <v>#VALUE!</v>
      </c>
      <c r="AM294" s="139" t="b">
        <f t="shared" si="345"/>
        <v>1</v>
      </c>
      <c r="AN294" s="139" t="b">
        <f>AND(COUNTA(E294)&gt;0,ISNUMBER(F294),OR(COUNT(G294:H294)=0,COUNT(G294:H294)=2,AND(ISNUMBER(G294),ISNUMBER(VALUE(LEFT(H294,SUM(LEN(H294)-LEN(SUBSTITUTE(H294,{"0","1","2","3","4","5","6","7","8","9","."},"")))))))),ISNUMBER(I294),ISTEXT(J294))</f>
        <v>0</v>
      </c>
      <c r="AO294" s="19" t="b">
        <f t="shared" si="346"/>
        <v>0</v>
      </c>
      <c r="AP294" s="19" t="b">
        <f t="shared" si="347"/>
        <v>1</v>
      </c>
      <c r="AQ294" s="19" t="b">
        <f>IF(AND(COUNTBLANK(E294:J294)=6,OR(AN295:AN$523)),NOT(AN294))</f>
        <v>0</v>
      </c>
      <c r="AR294" s="19" t="str">
        <f t="shared" si="348"/>
        <v/>
      </c>
      <c r="AS294" s="19" t="b">
        <f t="shared" si="349"/>
        <v>1</v>
      </c>
      <c r="AT294" s="19" t="str">
        <f t="shared" si="350"/>
        <v/>
      </c>
      <c r="AU294" s="19" t="b">
        <f t="shared" si="351"/>
        <v>1</v>
      </c>
      <c r="AV294" s="140" t="str">
        <f t="shared" si="388"/>
        <v/>
      </c>
      <c r="AW294" s="19" t="str">
        <f t="shared" si="352"/>
        <v/>
      </c>
      <c r="AX294" s="81">
        <f t="shared" si="353"/>
        <v>0</v>
      </c>
      <c r="AY294" s="81" t="str">
        <f t="shared" si="354"/>
        <v/>
      </c>
      <c r="AZ294" s="307" t="str">
        <f t="shared" si="384"/>
        <v/>
      </c>
      <c r="BA294" s="281" t="str">
        <f t="shared" si="389"/>
        <v/>
      </c>
      <c r="BB294" s="281" t="str">
        <f t="shared" si="390"/>
        <v/>
      </c>
      <c r="BC294" s="953"/>
      <c r="BD294" s="955"/>
      <c r="BE294" s="219" t="str">
        <f t="shared" si="355"/>
        <v>n/a</v>
      </c>
      <c r="BF294" s="215" t="b">
        <f t="shared" si="356"/>
        <v>0</v>
      </c>
      <c r="BG294" s="145" t="b">
        <f t="shared" si="357"/>
        <v>0</v>
      </c>
      <c r="BH294" s="145" t="b">
        <f t="shared" si="358"/>
        <v>0</v>
      </c>
      <c r="BI294" s="216" t="b">
        <f t="shared" si="359"/>
        <v>0</v>
      </c>
      <c r="BJ294" s="215" t="b">
        <f t="shared" si="360"/>
        <v>0</v>
      </c>
      <c r="BK294" s="145" t="b">
        <f t="shared" si="361"/>
        <v>0</v>
      </c>
      <c r="BL294" s="216" t="b">
        <f t="shared" si="362"/>
        <v>0</v>
      </c>
      <c r="BM294" s="217" t="str">
        <f t="shared" si="391"/>
        <v/>
      </c>
      <c r="BN294" s="146" t="str">
        <f t="shared" si="392"/>
        <v/>
      </c>
      <c r="BO294" s="147" t="str">
        <f t="shared" si="393"/>
        <v/>
      </c>
      <c r="BP294" s="148" t="str">
        <f t="shared" si="394"/>
        <v/>
      </c>
      <c r="BT294" s="50">
        <f t="shared" si="337"/>
        <v>271</v>
      </c>
      <c r="BU294" s="50" t="str">
        <f t="shared" si="333"/>
        <v>-</v>
      </c>
      <c r="BW294" s="340"/>
      <c r="BX294" s="333"/>
      <c r="BY294" s="333"/>
      <c r="BZ294" s="333"/>
      <c r="CA294" s="333"/>
      <c r="CB294" s="333"/>
      <c r="CC294" s="333"/>
      <c r="CD294" s="333"/>
      <c r="CE294" s="333"/>
      <c r="CF294" s="333"/>
      <c r="CG294" s="354">
        <f t="shared" si="363"/>
        <v>271</v>
      </c>
      <c r="CH294" s="613">
        <f t="shared" si="364"/>
        <v>0</v>
      </c>
      <c r="CI294" s="613">
        <f t="shared" si="365"/>
        <v>0</v>
      </c>
      <c r="CJ294" s="614" t="str">
        <f t="shared" si="366"/>
        <v/>
      </c>
      <c r="CK294" s="615" t="str">
        <f t="shared" si="367"/>
        <v/>
      </c>
      <c r="CL294" s="610" t="str">
        <f>IF(ISBLANK(H294),"",IF(AND(ISNUMBER(F294),ISNUMBER(G294),ISNUMBER(H294)),ROUND(F294/(H294*G294),2),ROUND(F294/(VALUE(LEFT(H294,SUM(LEN(H294)-LEN(SUBSTITUTE(H294,{"0","1","2","3","4","5","6","7","8","9","."},"")))))*G294),2)))</f>
        <v/>
      </c>
      <c r="CM294" s="616" t="str">
        <f t="shared" si="395"/>
        <v/>
      </c>
      <c r="CN294" s="616" t="str">
        <f>IF(ISNUMBER(P294),MAX('Adjustment factors'!$S$16,(0.2+0.8*P294)),IF(ISTEXT(N294),VLOOKUP(N294,Afactors,2,FALSE),""))</f>
        <v/>
      </c>
      <c r="CO294" s="616" t="str">
        <f>IF(ISNUMBER(S294),MAX('Adjustment factors'!$S$16,0.2+0.8*S294),IF(ISTEXT(Q294),VLOOKUP(Q294,Afactors,2,FALSE),""))</f>
        <v/>
      </c>
      <c r="CP294" s="611" t="str">
        <f t="shared" si="385"/>
        <v/>
      </c>
      <c r="CQ294" s="612" t="str">
        <f t="shared" si="386"/>
        <v/>
      </c>
      <c r="CR294" s="340"/>
      <c r="CS294" s="340"/>
      <c r="CT294" s="340"/>
      <c r="CU294" s="340"/>
      <c r="CV294" s="333"/>
      <c r="CW294" s="333"/>
      <c r="CX294" s="333"/>
      <c r="CY294" s="333"/>
      <c r="DA294" s="313" t="str">
        <f t="shared" si="368"/>
        <v>OK</v>
      </c>
      <c r="DB294" s="313" t="str">
        <f t="shared" si="369"/>
        <v>OK</v>
      </c>
      <c r="DC294" s="313" t="str">
        <f t="shared" si="370"/>
        <v>OK</v>
      </c>
      <c r="DD294" s="313" t="str">
        <f t="shared" si="371"/>
        <v>OK</v>
      </c>
      <c r="DE294" s="153" t="str">
        <f t="shared" si="372"/>
        <v>OK</v>
      </c>
      <c r="DF294" s="314" t="str">
        <f t="shared" si="373"/>
        <v>OK</v>
      </c>
      <c r="DG294" s="482" t="str">
        <f t="shared" si="387"/>
        <v>OK</v>
      </c>
      <c r="DH294" s="482" t="str">
        <f>IF(OR(AND(T294='Adjustment factors'!$R$28,'Class 3, 5-9'!U294='Adjustment factors'!$R$29),AND('Class 3, 5-9'!T294='Adjustment factors'!$R$29,'Class 3, 5-9'!U294='Adjustment factors'!$R$28)),"Invalid combination of adjustment factors",IF(AND(T294=U294,NOT(ISBLANK(T294)),NOT(ISBLANK(U294))),"Same colour factor selected twice","OK"))</f>
        <v>OK</v>
      </c>
      <c r="DI294" s="313" t="str">
        <f t="shared" si="374"/>
        <v>OK</v>
      </c>
      <c r="DJ294" s="153" t="str">
        <f t="shared" si="396"/>
        <v>OK</v>
      </c>
      <c r="DK294" s="153" t="str">
        <f t="shared" si="375"/>
        <v>OK</v>
      </c>
      <c r="DL294" s="313" t="str">
        <f t="shared" si="376"/>
        <v>OK</v>
      </c>
      <c r="DM294" s="153" t="str">
        <f t="shared" si="377"/>
        <v>OK</v>
      </c>
      <c r="DN294" s="153" t="str">
        <f t="shared" si="397"/>
        <v>OK</v>
      </c>
      <c r="DO294" s="154" t="str">
        <f t="shared" si="398"/>
        <v>OK</v>
      </c>
      <c r="DP294" s="153" t="str">
        <f t="shared" si="378"/>
        <v>OK</v>
      </c>
      <c r="DQ294" s="313" t="str">
        <f t="shared" si="379"/>
        <v>OK</v>
      </c>
      <c r="DR294" s="153" t="str">
        <f t="shared" si="399"/>
        <v>OK</v>
      </c>
      <c r="DS294" s="153" t="str">
        <f t="shared" si="380"/>
        <v>OK</v>
      </c>
      <c r="DT294" s="313" t="str">
        <f t="shared" si="338"/>
        <v>OK</v>
      </c>
      <c r="DU294" s="153" t="str">
        <f t="shared" si="381"/>
        <v>OK</v>
      </c>
      <c r="DV294" s="153" t="str">
        <f t="shared" si="400"/>
        <v>OK</v>
      </c>
      <c r="DW294" s="154" t="str">
        <f t="shared" si="401"/>
        <v>OK</v>
      </c>
      <c r="DX294" s="157">
        <f t="shared" si="402"/>
        <v>0</v>
      </c>
      <c r="DY294" s="156" t="str">
        <f t="shared" si="403"/>
        <v>OK</v>
      </c>
    </row>
    <row r="295" spans="1:129" ht="13" hidden="1" x14ac:dyDescent="0.3">
      <c r="A295" s="333"/>
      <c r="B295" s="333"/>
      <c r="C295" s="332" t="str">
        <f t="shared" si="334"/>
        <v>-</v>
      </c>
      <c r="D295" s="584">
        <f t="shared" si="336"/>
        <v>272</v>
      </c>
      <c r="E295" s="585"/>
      <c r="F295" s="586"/>
      <c r="G295" s="600"/>
      <c r="H295" s="587"/>
      <c r="I295" s="601"/>
      <c r="J295" s="585"/>
      <c r="K295" s="617"/>
      <c r="L295" s="602"/>
      <c r="M295" s="603"/>
      <c r="N295" s="588"/>
      <c r="O295" s="604"/>
      <c r="P295" s="605"/>
      <c r="Q295" s="588"/>
      <c r="R295" s="604"/>
      <c r="S295" s="605"/>
      <c r="T295" s="606"/>
      <c r="U295" s="606"/>
      <c r="V295" s="429" t="str">
        <f t="shared" si="408"/>
        <v/>
      </c>
      <c r="W295" s="430" t="str">
        <f t="shared" si="407"/>
        <v/>
      </c>
      <c r="X295" s="66" t="str">
        <f>IF(AND(ISNUMBER(P295),N295=FixedDim),MAX('Adjustment factors'!$S$16,0.2+0.8*P295),IF(ISTEXT(N295),VLOOKUP(N295,Afactors,2,TRUE),""))</f>
        <v/>
      </c>
      <c r="Y295" s="17" t="str">
        <f>IF(AND(ISNUMBER(S295),Q295=FixedDim),MAX('Adjustment factors'!$S$16,0.2+0.8*S295),IF(ISTEXT(Q295),VLOOKUP(Q295,Afactors,2,TRUE),""))</f>
        <v/>
      </c>
      <c r="Z295" s="297" t="str">
        <f>IF(ISBLANK(T295),"",VLOOKUP(T295,'Adjustment factors'!$R$27:$S$30,2,TRUE))</f>
        <v/>
      </c>
      <c r="AA295" s="297" t="str">
        <f>IF(ISBLANK(U295),"",VLOOKUP(U295,'Adjustment factors'!$R$27:$S$30,2,TRUE))</f>
        <v/>
      </c>
      <c r="AB295" s="480">
        <f t="shared" si="382"/>
        <v>1</v>
      </c>
      <c r="AC295" s="18" t="b">
        <f t="shared" si="339"/>
        <v>0</v>
      </c>
      <c r="AD295" s="18" t="b">
        <f t="shared" si="340"/>
        <v>0</v>
      </c>
      <c r="AE295" s="18" t="b">
        <f t="shared" si="404"/>
        <v>0</v>
      </c>
      <c r="AF295" s="17" t="str">
        <f t="shared" si="341"/>
        <v/>
      </c>
      <c r="AG295" s="18" t="str">
        <f t="shared" si="342"/>
        <v/>
      </c>
      <c r="AH295" s="17" t="str">
        <f t="shared" si="405"/>
        <v/>
      </c>
      <c r="AI295" s="297" t="e">
        <f t="shared" si="383"/>
        <v>#VALUE!</v>
      </c>
      <c r="AJ295" s="79" t="e">
        <f t="shared" si="343"/>
        <v>#VALUE!</v>
      </c>
      <c r="AK295" s="17" t="str">
        <f t="shared" si="406"/>
        <v/>
      </c>
      <c r="AL295" s="80" t="e">
        <f t="shared" si="344"/>
        <v>#VALUE!</v>
      </c>
      <c r="AM295" s="139" t="b">
        <f t="shared" si="345"/>
        <v>1</v>
      </c>
      <c r="AN295" s="139" t="b">
        <f>AND(COUNTA(E295)&gt;0,ISNUMBER(F295),OR(COUNT(G295:H295)=0,COUNT(G295:H295)=2,AND(ISNUMBER(G295),ISNUMBER(VALUE(LEFT(H295,SUM(LEN(H295)-LEN(SUBSTITUTE(H295,{"0","1","2","3","4","5","6","7","8","9","."},"")))))))),ISNUMBER(I295),ISTEXT(J295))</f>
        <v>0</v>
      </c>
      <c r="AO295" s="19" t="b">
        <f t="shared" si="346"/>
        <v>0</v>
      </c>
      <c r="AP295" s="19" t="b">
        <f t="shared" si="347"/>
        <v>1</v>
      </c>
      <c r="AQ295" s="19" t="b">
        <f>IF(AND(COUNTBLANK(E295:J295)=6,OR(AN296:AN$523)),NOT(AN295))</f>
        <v>0</v>
      </c>
      <c r="AR295" s="19" t="str">
        <f t="shared" si="348"/>
        <v/>
      </c>
      <c r="AS295" s="19" t="b">
        <f t="shared" si="349"/>
        <v>1</v>
      </c>
      <c r="AT295" s="19" t="str">
        <f t="shared" si="350"/>
        <v/>
      </c>
      <c r="AU295" s="19" t="b">
        <f t="shared" si="351"/>
        <v>1</v>
      </c>
      <c r="AV295" s="140" t="str">
        <f t="shared" si="388"/>
        <v/>
      </c>
      <c r="AW295" s="19" t="str">
        <f t="shared" si="352"/>
        <v/>
      </c>
      <c r="AX295" s="81">
        <f t="shared" si="353"/>
        <v>0</v>
      </c>
      <c r="AY295" s="81" t="str">
        <f t="shared" si="354"/>
        <v/>
      </c>
      <c r="AZ295" s="307" t="str">
        <f t="shared" si="384"/>
        <v/>
      </c>
      <c r="BA295" s="281" t="str">
        <f t="shared" si="389"/>
        <v/>
      </c>
      <c r="BB295" s="281" t="str">
        <f t="shared" si="390"/>
        <v/>
      </c>
      <c r="BC295" s="953"/>
      <c r="BD295" s="955"/>
      <c r="BE295" s="219" t="str">
        <f t="shared" si="355"/>
        <v>n/a</v>
      </c>
      <c r="BF295" s="215" t="b">
        <f t="shared" si="356"/>
        <v>0</v>
      </c>
      <c r="BG295" s="145" t="b">
        <f t="shared" si="357"/>
        <v>0</v>
      </c>
      <c r="BH295" s="145" t="b">
        <f t="shared" si="358"/>
        <v>0</v>
      </c>
      <c r="BI295" s="216" t="b">
        <f t="shared" si="359"/>
        <v>0</v>
      </c>
      <c r="BJ295" s="215" t="b">
        <f t="shared" si="360"/>
        <v>0</v>
      </c>
      <c r="BK295" s="145" t="b">
        <f t="shared" si="361"/>
        <v>0</v>
      </c>
      <c r="BL295" s="216" t="b">
        <f t="shared" si="362"/>
        <v>0</v>
      </c>
      <c r="BM295" s="217" t="str">
        <f t="shared" si="391"/>
        <v/>
      </c>
      <c r="BN295" s="146" t="str">
        <f t="shared" si="392"/>
        <v/>
      </c>
      <c r="BO295" s="147" t="str">
        <f t="shared" si="393"/>
        <v/>
      </c>
      <c r="BP295" s="148" t="str">
        <f t="shared" si="394"/>
        <v/>
      </c>
      <c r="BT295" s="50">
        <f t="shared" si="337"/>
        <v>272</v>
      </c>
      <c r="BU295" s="50" t="str">
        <f t="shared" si="333"/>
        <v>-</v>
      </c>
      <c r="BW295" s="340"/>
      <c r="BX295" s="333"/>
      <c r="BY295" s="333"/>
      <c r="BZ295" s="333"/>
      <c r="CA295" s="333"/>
      <c r="CB295" s="333"/>
      <c r="CC295" s="333"/>
      <c r="CD295" s="333"/>
      <c r="CE295" s="333"/>
      <c r="CF295" s="333"/>
      <c r="CG295" s="354">
        <f t="shared" si="363"/>
        <v>272</v>
      </c>
      <c r="CH295" s="613">
        <f t="shared" si="364"/>
        <v>0</v>
      </c>
      <c r="CI295" s="613">
        <f t="shared" si="365"/>
        <v>0</v>
      </c>
      <c r="CJ295" s="614" t="str">
        <f t="shared" si="366"/>
        <v/>
      </c>
      <c r="CK295" s="615" t="str">
        <f t="shared" si="367"/>
        <v/>
      </c>
      <c r="CL295" s="610" t="str">
        <f>IF(ISBLANK(H295),"",IF(AND(ISNUMBER(F295),ISNUMBER(G295),ISNUMBER(H295)),ROUND(F295/(H295*G295),2),ROUND(F295/(VALUE(LEFT(H295,SUM(LEN(H295)-LEN(SUBSTITUTE(H295,{"0","1","2","3","4","5","6","7","8","9","."},"")))))*G295),2)))</f>
        <v/>
      </c>
      <c r="CM295" s="616" t="str">
        <f t="shared" si="395"/>
        <v/>
      </c>
      <c r="CN295" s="616" t="str">
        <f>IF(ISNUMBER(P295),MAX('Adjustment factors'!$S$16,(0.2+0.8*P295)),IF(ISTEXT(N295),VLOOKUP(N295,Afactors,2,FALSE),""))</f>
        <v/>
      </c>
      <c r="CO295" s="616" t="str">
        <f>IF(ISNUMBER(S295),MAX('Adjustment factors'!$S$16,0.2+0.8*S295),IF(ISTEXT(Q295),VLOOKUP(Q295,Afactors,2,FALSE),""))</f>
        <v/>
      </c>
      <c r="CP295" s="611" t="str">
        <f t="shared" si="385"/>
        <v/>
      </c>
      <c r="CQ295" s="612" t="str">
        <f t="shared" si="386"/>
        <v/>
      </c>
      <c r="CR295" s="340"/>
      <c r="CS295" s="340"/>
      <c r="CT295" s="340"/>
      <c r="CU295" s="340"/>
      <c r="CV295" s="333"/>
      <c r="CW295" s="333"/>
      <c r="CX295" s="333"/>
      <c r="CY295" s="333"/>
      <c r="DA295" s="313" t="str">
        <f t="shared" si="368"/>
        <v>OK</v>
      </c>
      <c r="DB295" s="313" t="str">
        <f t="shared" si="369"/>
        <v>OK</v>
      </c>
      <c r="DC295" s="313" t="str">
        <f t="shared" si="370"/>
        <v>OK</v>
      </c>
      <c r="DD295" s="313" t="str">
        <f t="shared" si="371"/>
        <v>OK</v>
      </c>
      <c r="DE295" s="153" t="str">
        <f t="shared" si="372"/>
        <v>OK</v>
      </c>
      <c r="DF295" s="314" t="str">
        <f t="shared" si="373"/>
        <v>OK</v>
      </c>
      <c r="DG295" s="482" t="str">
        <f t="shared" si="387"/>
        <v>OK</v>
      </c>
      <c r="DH295" s="482" t="str">
        <f>IF(OR(AND(T295='Adjustment factors'!$R$28,'Class 3, 5-9'!U295='Adjustment factors'!$R$29),AND('Class 3, 5-9'!T295='Adjustment factors'!$R$29,'Class 3, 5-9'!U295='Adjustment factors'!$R$28)),"Invalid combination of adjustment factors",IF(AND(T295=U295,NOT(ISBLANK(T295)),NOT(ISBLANK(U295))),"Same colour factor selected twice","OK"))</f>
        <v>OK</v>
      </c>
      <c r="DI295" s="313" t="str">
        <f t="shared" si="374"/>
        <v>OK</v>
      </c>
      <c r="DJ295" s="153" t="str">
        <f t="shared" si="396"/>
        <v>OK</v>
      </c>
      <c r="DK295" s="153" t="str">
        <f t="shared" si="375"/>
        <v>OK</v>
      </c>
      <c r="DL295" s="313" t="str">
        <f t="shared" si="376"/>
        <v>OK</v>
      </c>
      <c r="DM295" s="153" t="str">
        <f t="shared" si="377"/>
        <v>OK</v>
      </c>
      <c r="DN295" s="153" t="str">
        <f t="shared" si="397"/>
        <v>OK</v>
      </c>
      <c r="DO295" s="154" t="str">
        <f t="shared" si="398"/>
        <v>OK</v>
      </c>
      <c r="DP295" s="153" t="str">
        <f t="shared" si="378"/>
        <v>OK</v>
      </c>
      <c r="DQ295" s="313" t="str">
        <f t="shared" si="379"/>
        <v>OK</v>
      </c>
      <c r="DR295" s="153" t="str">
        <f t="shared" si="399"/>
        <v>OK</v>
      </c>
      <c r="DS295" s="153" t="str">
        <f t="shared" si="380"/>
        <v>OK</v>
      </c>
      <c r="DT295" s="313" t="str">
        <f t="shared" si="338"/>
        <v>OK</v>
      </c>
      <c r="DU295" s="153" t="str">
        <f t="shared" si="381"/>
        <v>OK</v>
      </c>
      <c r="DV295" s="153" t="str">
        <f t="shared" si="400"/>
        <v>OK</v>
      </c>
      <c r="DW295" s="154" t="str">
        <f t="shared" si="401"/>
        <v>OK</v>
      </c>
      <c r="DX295" s="157">
        <f t="shared" si="402"/>
        <v>0</v>
      </c>
      <c r="DY295" s="156" t="str">
        <f t="shared" si="403"/>
        <v>OK</v>
      </c>
    </row>
    <row r="296" spans="1:129" ht="13" hidden="1" x14ac:dyDescent="0.3">
      <c r="A296" s="333"/>
      <c r="B296" s="333"/>
      <c r="C296" s="332" t="str">
        <f t="shared" si="334"/>
        <v>-</v>
      </c>
      <c r="D296" s="584">
        <f t="shared" si="336"/>
        <v>273</v>
      </c>
      <c r="E296" s="585"/>
      <c r="F296" s="586"/>
      <c r="G296" s="600"/>
      <c r="H296" s="587"/>
      <c r="I296" s="601"/>
      <c r="J296" s="585"/>
      <c r="K296" s="617"/>
      <c r="L296" s="602"/>
      <c r="M296" s="603"/>
      <c r="N296" s="588"/>
      <c r="O296" s="604"/>
      <c r="P296" s="605"/>
      <c r="Q296" s="588"/>
      <c r="R296" s="604"/>
      <c r="S296" s="605"/>
      <c r="T296" s="606"/>
      <c r="U296" s="606"/>
      <c r="V296" s="429" t="str">
        <f t="shared" si="408"/>
        <v/>
      </c>
      <c r="W296" s="430" t="str">
        <f t="shared" si="407"/>
        <v/>
      </c>
      <c r="X296" s="66" t="str">
        <f>IF(AND(ISNUMBER(P296),N296=FixedDim),MAX('Adjustment factors'!$S$16,0.2+0.8*P296),IF(ISTEXT(N296),VLOOKUP(N296,Afactors,2,TRUE),""))</f>
        <v/>
      </c>
      <c r="Y296" s="17" t="str">
        <f>IF(AND(ISNUMBER(S296),Q296=FixedDim),MAX('Adjustment factors'!$S$16,0.2+0.8*S296),IF(ISTEXT(Q296),VLOOKUP(Q296,Afactors,2,TRUE),""))</f>
        <v/>
      </c>
      <c r="Z296" s="297" t="str">
        <f>IF(ISBLANK(T296),"",VLOOKUP(T296,'Adjustment factors'!$R$27:$S$30,2,TRUE))</f>
        <v/>
      </c>
      <c r="AA296" s="297" t="str">
        <f>IF(ISBLANK(U296),"",VLOOKUP(U296,'Adjustment factors'!$R$27:$S$30,2,TRUE))</f>
        <v/>
      </c>
      <c r="AB296" s="480">
        <f t="shared" si="382"/>
        <v>1</v>
      </c>
      <c r="AC296" s="18" t="b">
        <f t="shared" si="339"/>
        <v>0</v>
      </c>
      <c r="AD296" s="18" t="b">
        <f t="shared" si="340"/>
        <v>0</v>
      </c>
      <c r="AE296" s="18" t="b">
        <f t="shared" si="404"/>
        <v>0</v>
      </c>
      <c r="AF296" s="17" t="str">
        <f t="shared" si="341"/>
        <v/>
      </c>
      <c r="AG296" s="18" t="str">
        <f t="shared" si="342"/>
        <v/>
      </c>
      <c r="AH296" s="17" t="str">
        <f t="shared" si="405"/>
        <v/>
      </c>
      <c r="AI296" s="297" t="e">
        <f t="shared" si="383"/>
        <v>#VALUE!</v>
      </c>
      <c r="AJ296" s="79" t="e">
        <f t="shared" si="343"/>
        <v>#VALUE!</v>
      </c>
      <c r="AK296" s="17" t="str">
        <f t="shared" si="406"/>
        <v/>
      </c>
      <c r="AL296" s="80" t="e">
        <f t="shared" si="344"/>
        <v>#VALUE!</v>
      </c>
      <c r="AM296" s="139" t="b">
        <f t="shared" si="345"/>
        <v>1</v>
      </c>
      <c r="AN296" s="139" t="b">
        <f>AND(COUNTA(E296)&gt;0,ISNUMBER(F296),OR(COUNT(G296:H296)=0,COUNT(G296:H296)=2,AND(ISNUMBER(G296),ISNUMBER(VALUE(LEFT(H296,SUM(LEN(H296)-LEN(SUBSTITUTE(H296,{"0","1","2","3","4","5","6","7","8","9","."},"")))))))),ISNUMBER(I296),ISTEXT(J296))</f>
        <v>0</v>
      </c>
      <c r="AO296" s="19" t="b">
        <f t="shared" si="346"/>
        <v>0</v>
      </c>
      <c r="AP296" s="19" t="b">
        <f t="shared" si="347"/>
        <v>1</v>
      </c>
      <c r="AQ296" s="19" t="b">
        <f>IF(AND(COUNTBLANK(E296:J296)=6,OR(AN297:AN$523)),NOT(AN296))</f>
        <v>0</v>
      </c>
      <c r="AR296" s="19" t="str">
        <f t="shared" si="348"/>
        <v/>
      </c>
      <c r="AS296" s="19" t="b">
        <f t="shared" si="349"/>
        <v>1</v>
      </c>
      <c r="AT296" s="19" t="str">
        <f t="shared" si="350"/>
        <v/>
      </c>
      <c r="AU296" s="19" t="b">
        <f t="shared" si="351"/>
        <v>1</v>
      </c>
      <c r="AV296" s="140" t="str">
        <f t="shared" si="388"/>
        <v/>
      </c>
      <c r="AW296" s="19" t="str">
        <f t="shared" si="352"/>
        <v/>
      </c>
      <c r="AX296" s="81">
        <f t="shared" si="353"/>
        <v>0</v>
      </c>
      <c r="AY296" s="81" t="str">
        <f t="shared" si="354"/>
        <v/>
      </c>
      <c r="AZ296" s="307" t="str">
        <f t="shared" si="384"/>
        <v/>
      </c>
      <c r="BA296" s="281" t="str">
        <f t="shared" si="389"/>
        <v/>
      </c>
      <c r="BB296" s="281" t="str">
        <f t="shared" si="390"/>
        <v/>
      </c>
      <c r="BC296" s="953"/>
      <c r="BD296" s="955"/>
      <c r="BE296" s="219" t="str">
        <f t="shared" si="355"/>
        <v>n/a</v>
      </c>
      <c r="BF296" s="215" t="b">
        <f t="shared" si="356"/>
        <v>0</v>
      </c>
      <c r="BG296" s="145" t="b">
        <f t="shared" si="357"/>
        <v>0</v>
      </c>
      <c r="BH296" s="145" t="b">
        <f t="shared" si="358"/>
        <v>0</v>
      </c>
      <c r="BI296" s="216" t="b">
        <f t="shared" si="359"/>
        <v>0</v>
      </c>
      <c r="BJ296" s="215" t="b">
        <f t="shared" si="360"/>
        <v>0</v>
      </c>
      <c r="BK296" s="145" t="b">
        <f t="shared" si="361"/>
        <v>0</v>
      </c>
      <c r="BL296" s="216" t="b">
        <f t="shared" si="362"/>
        <v>0</v>
      </c>
      <c r="BM296" s="217" t="str">
        <f t="shared" si="391"/>
        <v/>
      </c>
      <c r="BN296" s="146" t="str">
        <f t="shared" si="392"/>
        <v/>
      </c>
      <c r="BO296" s="147" t="str">
        <f t="shared" si="393"/>
        <v/>
      </c>
      <c r="BP296" s="148" t="str">
        <f t="shared" si="394"/>
        <v/>
      </c>
      <c r="BT296" s="50">
        <f t="shared" si="337"/>
        <v>273</v>
      </c>
      <c r="BU296" s="50" t="str">
        <f t="shared" si="333"/>
        <v>-</v>
      </c>
      <c r="BW296" s="340"/>
      <c r="BX296" s="333"/>
      <c r="BY296" s="333"/>
      <c r="BZ296" s="333"/>
      <c r="CA296" s="333"/>
      <c r="CB296" s="333"/>
      <c r="CC296" s="333"/>
      <c r="CD296" s="333"/>
      <c r="CE296" s="333"/>
      <c r="CF296" s="333"/>
      <c r="CG296" s="354">
        <f t="shared" si="363"/>
        <v>273</v>
      </c>
      <c r="CH296" s="613">
        <f t="shared" si="364"/>
        <v>0</v>
      </c>
      <c r="CI296" s="613">
        <f t="shared" si="365"/>
        <v>0</v>
      </c>
      <c r="CJ296" s="614" t="str">
        <f t="shared" si="366"/>
        <v/>
      </c>
      <c r="CK296" s="615" t="str">
        <f t="shared" si="367"/>
        <v/>
      </c>
      <c r="CL296" s="610" t="str">
        <f>IF(ISBLANK(H296),"",IF(AND(ISNUMBER(F296),ISNUMBER(G296),ISNUMBER(H296)),ROUND(F296/(H296*G296),2),ROUND(F296/(VALUE(LEFT(H296,SUM(LEN(H296)-LEN(SUBSTITUTE(H296,{"0","1","2","3","4","5","6","7","8","9","."},"")))))*G296),2)))</f>
        <v/>
      </c>
      <c r="CM296" s="616" t="str">
        <f t="shared" si="395"/>
        <v/>
      </c>
      <c r="CN296" s="616" t="str">
        <f>IF(ISNUMBER(P296),MAX('Adjustment factors'!$S$16,(0.2+0.8*P296)),IF(ISTEXT(N296),VLOOKUP(N296,Afactors,2,FALSE),""))</f>
        <v/>
      </c>
      <c r="CO296" s="616" t="str">
        <f>IF(ISNUMBER(S296),MAX('Adjustment factors'!$S$16,0.2+0.8*S296),IF(ISTEXT(Q296),VLOOKUP(Q296,Afactors,2,FALSE),""))</f>
        <v/>
      </c>
      <c r="CP296" s="611" t="str">
        <f t="shared" si="385"/>
        <v/>
      </c>
      <c r="CQ296" s="612" t="str">
        <f t="shared" si="386"/>
        <v/>
      </c>
      <c r="CR296" s="340"/>
      <c r="CS296" s="340"/>
      <c r="CT296" s="340"/>
      <c r="CU296" s="340"/>
      <c r="CV296" s="333"/>
      <c r="CW296" s="333"/>
      <c r="CX296" s="333"/>
      <c r="CY296" s="333"/>
      <c r="DA296" s="313" t="str">
        <f t="shared" si="368"/>
        <v>OK</v>
      </c>
      <c r="DB296" s="313" t="str">
        <f t="shared" si="369"/>
        <v>OK</v>
      </c>
      <c r="DC296" s="313" t="str">
        <f t="shared" si="370"/>
        <v>OK</v>
      </c>
      <c r="DD296" s="313" t="str">
        <f t="shared" si="371"/>
        <v>OK</v>
      </c>
      <c r="DE296" s="153" t="str">
        <f t="shared" si="372"/>
        <v>OK</v>
      </c>
      <c r="DF296" s="314" t="str">
        <f t="shared" si="373"/>
        <v>OK</v>
      </c>
      <c r="DG296" s="482" t="str">
        <f t="shared" si="387"/>
        <v>OK</v>
      </c>
      <c r="DH296" s="482" t="str">
        <f>IF(OR(AND(T296='Adjustment factors'!$R$28,'Class 3, 5-9'!U296='Adjustment factors'!$R$29),AND('Class 3, 5-9'!T296='Adjustment factors'!$R$29,'Class 3, 5-9'!U296='Adjustment factors'!$R$28)),"Invalid combination of adjustment factors",IF(AND(T296=U296,NOT(ISBLANK(T296)),NOT(ISBLANK(U296))),"Same colour factor selected twice","OK"))</f>
        <v>OK</v>
      </c>
      <c r="DI296" s="313" t="str">
        <f t="shared" si="374"/>
        <v>OK</v>
      </c>
      <c r="DJ296" s="153" t="str">
        <f t="shared" si="396"/>
        <v>OK</v>
      </c>
      <c r="DK296" s="153" t="str">
        <f t="shared" si="375"/>
        <v>OK</v>
      </c>
      <c r="DL296" s="313" t="str">
        <f t="shared" si="376"/>
        <v>OK</v>
      </c>
      <c r="DM296" s="153" t="str">
        <f t="shared" si="377"/>
        <v>OK</v>
      </c>
      <c r="DN296" s="153" t="str">
        <f t="shared" si="397"/>
        <v>OK</v>
      </c>
      <c r="DO296" s="154" t="str">
        <f t="shared" si="398"/>
        <v>OK</v>
      </c>
      <c r="DP296" s="153" t="str">
        <f t="shared" si="378"/>
        <v>OK</v>
      </c>
      <c r="DQ296" s="313" t="str">
        <f t="shared" si="379"/>
        <v>OK</v>
      </c>
      <c r="DR296" s="153" t="str">
        <f t="shared" si="399"/>
        <v>OK</v>
      </c>
      <c r="DS296" s="153" t="str">
        <f t="shared" si="380"/>
        <v>OK</v>
      </c>
      <c r="DT296" s="313" t="str">
        <f t="shared" si="338"/>
        <v>OK</v>
      </c>
      <c r="DU296" s="153" t="str">
        <f t="shared" si="381"/>
        <v>OK</v>
      </c>
      <c r="DV296" s="153" t="str">
        <f t="shared" si="400"/>
        <v>OK</v>
      </c>
      <c r="DW296" s="154" t="str">
        <f t="shared" si="401"/>
        <v>OK</v>
      </c>
      <c r="DX296" s="157">
        <f t="shared" si="402"/>
        <v>0</v>
      </c>
      <c r="DY296" s="156" t="str">
        <f t="shared" si="403"/>
        <v>OK</v>
      </c>
    </row>
    <row r="297" spans="1:129" ht="13" hidden="1" x14ac:dyDescent="0.3">
      <c r="A297" s="333"/>
      <c r="B297" s="333"/>
      <c r="C297" s="332" t="str">
        <f t="shared" si="334"/>
        <v>-</v>
      </c>
      <c r="D297" s="584">
        <f t="shared" si="336"/>
        <v>274</v>
      </c>
      <c r="E297" s="585"/>
      <c r="F297" s="586"/>
      <c r="G297" s="600"/>
      <c r="H297" s="587"/>
      <c r="I297" s="601"/>
      <c r="J297" s="585"/>
      <c r="K297" s="617"/>
      <c r="L297" s="602"/>
      <c r="M297" s="603"/>
      <c r="N297" s="588"/>
      <c r="O297" s="604"/>
      <c r="P297" s="605"/>
      <c r="Q297" s="588"/>
      <c r="R297" s="604"/>
      <c r="S297" s="605"/>
      <c r="T297" s="606"/>
      <c r="U297" s="606"/>
      <c r="V297" s="429" t="str">
        <f t="shared" si="408"/>
        <v/>
      </c>
      <c r="W297" s="430" t="str">
        <f t="shared" si="407"/>
        <v/>
      </c>
      <c r="X297" s="66" t="str">
        <f>IF(AND(ISNUMBER(P297),N297=FixedDim),MAX('Adjustment factors'!$S$16,0.2+0.8*P297),IF(ISTEXT(N297),VLOOKUP(N297,Afactors,2,TRUE),""))</f>
        <v/>
      </c>
      <c r="Y297" s="17" t="str">
        <f>IF(AND(ISNUMBER(S297),Q297=FixedDim),MAX('Adjustment factors'!$S$16,0.2+0.8*S297),IF(ISTEXT(Q297),VLOOKUP(Q297,Afactors,2,TRUE),""))</f>
        <v/>
      </c>
      <c r="Z297" s="297" t="str">
        <f>IF(ISBLANK(T297),"",VLOOKUP(T297,'Adjustment factors'!$R$27:$S$30,2,TRUE))</f>
        <v/>
      </c>
      <c r="AA297" s="297" t="str">
        <f>IF(ISBLANK(U297),"",VLOOKUP(U297,'Adjustment factors'!$R$27:$S$30,2,TRUE))</f>
        <v/>
      </c>
      <c r="AB297" s="480">
        <f t="shared" si="382"/>
        <v>1</v>
      </c>
      <c r="AC297" s="18" t="b">
        <f t="shared" si="339"/>
        <v>0</v>
      </c>
      <c r="AD297" s="18" t="b">
        <f t="shared" si="340"/>
        <v>0</v>
      </c>
      <c r="AE297" s="18" t="b">
        <f t="shared" si="404"/>
        <v>0</v>
      </c>
      <c r="AF297" s="17" t="str">
        <f t="shared" si="341"/>
        <v/>
      </c>
      <c r="AG297" s="18" t="str">
        <f t="shared" si="342"/>
        <v/>
      </c>
      <c r="AH297" s="17" t="str">
        <f t="shared" si="405"/>
        <v/>
      </c>
      <c r="AI297" s="297" t="e">
        <f t="shared" si="383"/>
        <v>#VALUE!</v>
      </c>
      <c r="AJ297" s="79" t="e">
        <f t="shared" si="343"/>
        <v>#VALUE!</v>
      </c>
      <c r="AK297" s="17" t="str">
        <f t="shared" si="406"/>
        <v/>
      </c>
      <c r="AL297" s="80" t="e">
        <f t="shared" si="344"/>
        <v>#VALUE!</v>
      </c>
      <c r="AM297" s="139" t="b">
        <f t="shared" si="345"/>
        <v>1</v>
      </c>
      <c r="AN297" s="139" t="b">
        <f>AND(COUNTA(E297)&gt;0,ISNUMBER(F297),OR(COUNT(G297:H297)=0,COUNT(G297:H297)=2,AND(ISNUMBER(G297),ISNUMBER(VALUE(LEFT(H297,SUM(LEN(H297)-LEN(SUBSTITUTE(H297,{"0","1","2","3","4","5","6","7","8","9","."},"")))))))),ISNUMBER(I297),ISTEXT(J297))</f>
        <v>0</v>
      </c>
      <c r="AO297" s="19" t="b">
        <f t="shared" si="346"/>
        <v>0</v>
      </c>
      <c r="AP297" s="19" t="b">
        <f t="shared" si="347"/>
        <v>1</v>
      </c>
      <c r="AQ297" s="19" t="b">
        <f>IF(AND(COUNTBLANK(E297:J297)=6,OR(AN298:AN$523)),NOT(AN297))</f>
        <v>0</v>
      </c>
      <c r="AR297" s="19" t="str">
        <f t="shared" si="348"/>
        <v/>
      </c>
      <c r="AS297" s="19" t="b">
        <f t="shared" si="349"/>
        <v>1</v>
      </c>
      <c r="AT297" s="19" t="str">
        <f t="shared" si="350"/>
        <v/>
      </c>
      <c r="AU297" s="19" t="b">
        <f t="shared" si="351"/>
        <v>1</v>
      </c>
      <c r="AV297" s="140" t="str">
        <f t="shared" si="388"/>
        <v/>
      </c>
      <c r="AW297" s="19" t="str">
        <f t="shared" si="352"/>
        <v/>
      </c>
      <c r="AX297" s="81">
        <f t="shared" si="353"/>
        <v>0</v>
      </c>
      <c r="AY297" s="81" t="str">
        <f t="shared" si="354"/>
        <v/>
      </c>
      <c r="AZ297" s="307" t="str">
        <f t="shared" si="384"/>
        <v/>
      </c>
      <c r="BA297" s="281" t="str">
        <f t="shared" si="389"/>
        <v/>
      </c>
      <c r="BB297" s="281" t="str">
        <f t="shared" si="390"/>
        <v/>
      </c>
      <c r="BC297" s="953"/>
      <c r="BD297" s="955"/>
      <c r="BE297" s="219" t="str">
        <f t="shared" si="355"/>
        <v>n/a</v>
      </c>
      <c r="BF297" s="215" t="b">
        <f t="shared" si="356"/>
        <v>0</v>
      </c>
      <c r="BG297" s="145" t="b">
        <f t="shared" si="357"/>
        <v>0</v>
      </c>
      <c r="BH297" s="145" t="b">
        <f t="shared" si="358"/>
        <v>0</v>
      </c>
      <c r="BI297" s="216" t="b">
        <f t="shared" si="359"/>
        <v>0</v>
      </c>
      <c r="BJ297" s="215" t="b">
        <f t="shared" si="360"/>
        <v>0</v>
      </c>
      <c r="BK297" s="145" t="b">
        <f t="shared" si="361"/>
        <v>0</v>
      </c>
      <c r="BL297" s="216" t="b">
        <f t="shared" si="362"/>
        <v>0</v>
      </c>
      <c r="BM297" s="217" t="str">
        <f t="shared" si="391"/>
        <v/>
      </c>
      <c r="BN297" s="146" t="str">
        <f t="shared" si="392"/>
        <v/>
      </c>
      <c r="BO297" s="147" t="str">
        <f t="shared" si="393"/>
        <v/>
      </c>
      <c r="BP297" s="148" t="str">
        <f t="shared" si="394"/>
        <v/>
      </c>
      <c r="BT297" s="50">
        <f t="shared" si="337"/>
        <v>274</v>
      </c>
      <c r="BU297" s="50" t="str">
        <f t="shared" si="333"/>
        <v>-</v>
      </c>
      <c r="BW297" s="340"/>
      <c r="BX297" s="333"/>
      <c r="BY297" s="333"/>
      <c r="BZ297" s="333"/>
      <c r="CA297" s="333"/>
      <c r="CB297" s="333"/>
      <c r="CC297" s="333"/>
      <c r="CD297" s="333"/>
      <c r="CE297" s="333"/>
      <c r="CF297" s="333"/>
      <c r="CG297" s="354">
        <f t="shared" si="363"/>
        <v>274</v>
      </c>
      <c r="CH297" s="613">
        <f t="shared" si="364"/>
        <v>0</v>
      </c>
      <c r="CI297" s="613">
        <f t="shared" si="365"/>
        <v>0</v>
      </c>
      <c r="CJ297" s="614" t="str">
        <f t="shared" si="366"/>
        <v/>
      </c>
      <c r="CK297" s="615" t="str">
        <f t="shared" si="367"/>
        <v/>
      </c>
      <c r="CL297" s="610" t="str">
        <f>IF(ISBLANK(H297),"",IF(AND(ISNUMBER(F297),ISNUMBER(G297),ISNUMBER(H297)),ROUND(F297/(H297*G297),2),ROUND(F297/(VALUE(LEFT(H297,SUM(LEN(H297)-LEN(SUBSTITUTE(H297,{"0","1","2","3","4","5","6","7","8","9","."},"")))))*G297),2)))</f>
        <v/>
      </c>
      <c r="CM297" s="616" t="str">
        <f t="shared" si="395"/>
        <v/>
      </c>
      <c r="CN297" s="616" t="str">
        <f>IF(ISNUMBER(P297),MAX('Adjustment factors'!$S$16,(0.2+0.8*P297)),IF(ISTEXT(N297),VLOOKUP(N297,Afactors,2,FALSE),""))</f>
        <v/>
      </c>
      <c r="CO297" s="616" t="str">
        <f>IF(ISNUMBER(S297),MAX('Adjustment factors'!$S$16,0.2+0.8*S297),IF(ISTEXT(Q297),VLOOKUP(Q297,Afactors,2,FALSE),""))</f>
        <v/>
      </c>
      <c r="CP297" s="611" t="str">
        <f t="shared" si="385"/>
        <v/>
      </c>
      <c r="CQ297" s="612" t="str">
        <f t="shared" si="386"/>
        <v/>
      </c>
      <c r="CR297" s="340"/>
      <c r="CS297" s="340"/>
      <c r="CT297" s="340"/>
      <c r="CU297" s="340"/>
      <c r="CV297" s="333"/>
      <c r="CW297" s="333"/>
      <c r="CX297" s="333"/>
      <c r="CY297" s="333"/>
      <c r="DA297" s="313" t="str">
        <f t="shared" si="368"/>
        <v>OK</v>
      </c>
      <c r="DB297" s="313" t="str">
        <f t="shared" si="369"/>
        <v>OK</v>
      </c>
      <c r="DC297" s="313" t="str">
        <f t="shared" si="370"/>
        <v>OK</v>
      </c>
      <c r="DD297" s="313" t="str">
        <f t="shared" si="371"/>
        <v>OK</v>
      </c>
      <c r="DE297" s="153" t="str">
        <f t="shared" si="372"/>
        <v>OK</v>
      </c>
      <c r="DF297" s="314" t="str">
        <f t="shared" si="373"/>
        <v>OK</v>
      </c>
      <c r="DG297" s="482" t="str">
        <f t="shared" si="387"/>
        <v>OK</v>
      </c>
      <c r="DH297" s="482" t="str">
        <f>IF(OR(AND(T297='Adjustment factors'!$R$28,'Class 3, 5-9'!U297='Adjustment factors'!$R$29),AND('Class 3, 5-9'!T297='Adjustment factors'!$R$29,'Class 3, 5-9'!U297='Adjustment factors'!$R$28)),"Invalid combination of adjustment factors",IF(AND(T297=U297,NOT(ISBLANK(T297)),NOT(ISBLANK(U297))),"Same colour factor selected twice","OK"))</f>
        <v>OK</v>
      </c>
      <c r="DI297" s="313" t="str">
        <f t="shared" si="374"/>
        <v>OK</v>
      </c>
      <c r="DJ297" s="153" t="str">
        <f t="shared" si="396"/>
        <v>OK</v>
      </c>
      <c r="DK297" s="153" t="str">
        <f t="shared" si="375"/>
        <v>OK</v>
      </c>
      <c r="DL297" s="313" t="str">
        <f t="shared" si="376"/>
        <v>OK</v>
      </c>
      <c r="DM297" s="153" t="str">
        <f t="shared" si="377"/>
        <v>OK</v>
      </c>
      <c r="DN297" s="153" t="str">
        <f t="shared" si="397"/>
        <v>OK</v>
      </c>
      <c r="DO297" s="154" t="str">
        <f t="shared" si="398"/>
        <v>OK</v>
      </c>
      <c r="DP297" s="153" t="str">
        <f t="shared" si="378"/>
        <v>OK</v>
      </c>
      <c r="DQ297" s="313" t="str">
        <f t="shared" si="379"/>
        <v>OK</v>
      </c>
      <c r="DR297" s="153" t="str">
        <f t="shared" si="399"/>
        <v>OK</v>
      </c>
      <c r="DS297" s="153" t="str">
        <f t="shared" si="380"/>
        <v>OK</v>
      </c>
      <c r="DT297" s="313" t="str">
        <f t="shared" si="338"/>
        <v>OK</v>
      </c>
      <c r="DU297" s="153" t="str">
        <f t="shared" si="381"/>
        <v>OK</v>
      </c>
      <c r="DV297" s="153" t="str">
        <f t="shared" si="400"/>
        <v>OK</v>
      </c>
      <c r="DW297" s="154" t="str">
        <f t="shared" si="401"/>
        <v>OK</v>
      </c>
      <c r="DX297" s="157">
        <f t="shared" si="402"/>
        <v>0</v>
      </c>
      <c r="DY297" s="156" t="str">
        <f t="shared" si="403"/>
        <v>OK</v>
      </c>
    </row>
    <row r="298" spans="1:129" ht="13" hidden="1" x14ac:dyDescent="0.3">
      <c r="A298" s="333"/>
      <c r="B298" s="333"/>
      <c r="C298" s="332" t="str">
        <f t="shared" si="334"/>
        <v>-</v>
      </c>
      <c r="D298" s="584">
        <f t="shared" si="336"/>
        <v>275</v>
      </c>
      <c r="E298" s="585"/>
      <c r="F298" s="586"/>
      <c r="G298" s="600"/>
      <c r="H298" s="587"/>
      <c r="I298" s="601"/>
      <c r="J298" s="585"/>
      <c r="K298" s="617"/>
      <c r="L298" s="602"/>
      <c r="M298" s="603"/>
      <c r="N298" s="588"/>
      <c r="O298" s="604"/>
      <c r="P298" s="605"/>
      <c r="Q298" s="588"/>
      <c r="R298" s="604"/>
      <c r="S298" s="605"/>
      <c r="T298" s="606"/>
      <c r="U298" s="606"/>
      <c r="V298" s="429" t="str">
        <f t="shared" si="408"/>
        <v/>
      </c>
      <c r="W298" s="430" t="str">
        <f t="shared" si="407"/>
        <v/>
      </c>
      <c r="X298" s="66" t="str">
        <f>IF(AND(ISNUMBER(P298),N298=FixedDim),MAX('Adjustment factors'!$S$16,0.2+0.8*P298),IF(ISTEXT(N298),VLOOKUP(N298,Afactors,2,TRUE),""))</f>
        <v/>
      </c>
      <c r="Y298" s="17" t="str">
        <f>IF(AND(ISNUMBER(S298),Q298=FixedDim),MAX('Adjustment factors'!$S$16,0.2+0.8*S298),IF(ISTEXT(Q298),VLOOKUP(Q298,Afactors,2,TRUE),""))</f>
        <v/>
      </c>
      <c r="Z298" s="297" t="str">
        <f>IF(ISBLANK(T298),"",VLOOKUP(T298,'Adjustment factors'!$R$27:$S$30,2,TRUE))</f>
        <v/>
      </c>
      <c r="AA298" s="297" t="str">
        <f>IF(ISBLANK(U298),"",VLOOKUP(U298,'Adjustment factors'!$R$27:$S$30,2,TRUE))</f>
        <v/>
      </c>
      <c r="AB298" s="480">
        <f t="shared" si="382"/>
        <v>1</v>
      </c>
      <c r="AC298" s="18" t="b">
        <f t="shared" si="339"/>
        <v>0</v>
      </c>
      <c r="AD298" s="18" t="b">
        <f t="shared" si="340"/>
        <v>0</v>
      </c>
      <c r="AE298" s="18" t="b">
        <f t="shared" si="404"/>
        <v>0</v>
      </c>
      <c r="AF298" s="17" t="str">
        <f t="shared" si="341"/>
        <v/>
      </c>
      <c r="AG298" s="18" t="str">
        <f t="shared" si="342"/>
        <v/>
      </c>
      <c r="AH298" s="17" t="str">
        <f t="shared" si="405"/>
        <v/>
      </c>
      <c r="AI298" s="297" t="e">
        <f t="shared" si="383"/>
        <v>#VALUE!</v>
      </c>
      <c r="AJ298" s="79" t="e">
        <f t="shared" si="343"/>
        <v>#VALUE!</v>
      </c>
      <c r="AK298" s="17" t="str">
        <f t="shared" si="406"/>
        <v/>
      </c>
      <c r="AL298" s="80" t="e">
        <f t="shared" si="344"/>
        <v>#VALUE!</v>
      </c>
      <c r="AM298" s="139" t="b">
        <f t="shared" si="345"/>
        <v>1</v>
      </c>
      <c r="AN298" s="139" t="b">
        <f>AND(COUNTA(E298)&gt;0,ISNUMBER(F298),OR(COUNT(G298:H298)=0,COUNT(G298:H298)=2,AND(ISNUMBER(G298),ISNUMBER(VALUE(LEFT(H298,SUM(LEN(H298)-LEN(SUBSTITUTE(H298,{"0","1","2","3","4","5","6","7","8","9","."},"")))))))),ISNUMBER(I298),ISTEXT(J298))</f>
        <v>0</v>
      </c>
      <c r="AO298" s="19" t="b">
        <f t="shared" si="346"/>
        <v>0</v>
      </c>
      <c r="AP298" s="19" t="b">
        <f t="shared" si="347"/>
        <v>1</v>
      </c>
      <c r="AQ298" s="19" t="b">
        <f>IF(AND(COUNTBLANK(E298:J298)=6,OR(AN299:AN$523)),NOT(AN298))</f>
        <v>0</v>
      </c>
      <c r="AR298" s="19" t="str">
        <f t="shared" si="348"/>
        <v/>
      </c>
      <c r="AS298" s="19" t="b">
        <f t="shared" si="349"/>
        <v>1</v>
      </c>
      <c r="AT298" s="19" t="str">
        <f t="shared" si="350"/>
        <v/>
      </c>
      <c r="AU298" s="19" t="b">
        <f t="shared" si="351"/>
        <v>1</v>
      </c>
      <c r="AV298" s="140" t="str">
        <f t="shared" si="388"/>
        <v/>
      </c>
      <c r="AW298" s="19" t="str">
        <f t="shared" si="352"/>
        <v/>
      </c>
      <c r="AX298" s="81">
        <f t="shared" si="353"/>
        <v>0</v>
      </c>
      <c r="AY298" s="81" t="str">
        <f t="shared" si="354"/>
        <v/>
      </c>
      <c r="AZ298" s="307" t="str">
        <f t="shared" si="384"/>
        <v/>
      </c>
      <c r="BA298" s="281" t="str">
        <f t="shared" si="389"/>
        <v/>
      </c>
      <c r="BB298" s="281" t="str">
        <f t="shared" si="390"/>
        <v/>
      </c>
      <c r="BC298" s="953"/>
      <c r="BD298" s="955"/>
      <c r="BE298" s="219" t="str">
        <f t="shared" si="355"/>
        <v>n/a</v>
      </c>
      <c r="BF298" s="215" t="b">
        <f t="shared" si="356"/>
        <v>0</v>
      </c>
      <c r="BG298" s="145" t="b">
        <f t="shared" si="357"/>
        <v>0</v>
      </c>
      <c r="BH298" s="145" t="b">
        <f t="shared" si="358"/>
        <v>0</v>
      </c>
      <c r="BI298" s="216" t="b">
        <f t="shared" si="359"/>
        <v>0</v>
      </c>
      <c r="BJ298" s="215" t="b">
        <f t="shared" si="360"/>
        <v>0</v>
      </c>
      <c r="BK298" s="145" t="b">
        <f t="shared" si="361"/>
        <v>0</v>
      </c>
      <c r="BL298" s="216" t="b">
        <f t="shared" si="362"/>
        <v>0</v>
      </c>
      <c r="BM298" s="217" t="str">
        <f t="shared" si="391"/>
        <v/>
      </c>
      <c r="BN298" s="146" t="str">
        <f t="shared" si="392"/>
        <v/>
      </c>
      <c r="BO298" s="147" t="str">
        <f t="shared" si="393"/>
        <v/>
      </c>
      <c r="BP298" s="148" t="str">
        <f t="shared" si="394"/>
        <v/>
      </c>
      <c r="BT298" s="50">
        <f t="shared" si="337"/>
        <v>275</v>
      </c>
      <c r="BU298" s="50" t="str">
        <f t="shared" ref="BU298:BU328" si="409">IF(RowsPreferredOne&gt;=BT298,RowsPreferredOne,"-")</f>
        <v>-</v>
      </c>
      <c r="BW298" s="340"/>
      <c r="BX298" s="333"/>
      <c r="BY298" s="333"/>
      <c r="BZ298" s="333"/>
      <c r="CA298" s="333"/>
      <c r="CB298" s="333"/>
      <c r="CC298" s="333"/>
      <c r="CD298" s="333"/>
      <c r="CE298" s="333"/>
      <c r="CF298" s="333"/>
      <c r="CG298" s="354">
        <f t="shared" si="363"/>
        <v>275</v>
      </c>
      <c r="CH298" s="613">
        <f t="shared" si="364"/>
        <v>0</v>
      </c>
      <c r="CI298" s="613">
        <f t="shared" si="365"/>
        <v>0</v>
      </c>
      <c r="CJ298" s="614" t="str">
        <f t="shared" si="366"/>
        <v/>
      </c>
      <c r="CK298" s="615" t="str">
        <f t="shared" si="367"/>
        <v/>
      </c>
      <c r="CL298" s="610" t="str">
        <f>IF(ISBLANK(H298),"",IF(AND(ISNUMBER(F298),ISNUMBER(G298),ISNUMBER(H298)),ROUND(F298/(H298*G298),2),ROUND(F298/(VALUE(LEFT(H298,SUM(LEN(H298)-LEN(SUBSTITUTE(H298,{"0","1","2","3","4","5","6","7","8","9","."},"")))))*G298),2)))</f>
        <v/>
      </c>
      <c r="CM298" s="616" t="str">
        <f t="shared" si="395"/>
        <v/>
      </c>
      <c r="CN298" s="616" t="str">
        <f>IF(ISNUMBER(P298),MAX('Adjustment factors'!$S$16,(0.2+0.8*P298)),IF(ISTEXT(N298),VLOOKUP(N298,Afactors,2,FALSE),""))</f>
        <v/>
      </c>
      <c r="CO298" s="616" t="str">
        <f>IF(ISNUMBER(S298),MAX('Adjustment factors'!$S$16,0.2+0.8*S298),IF(ISTEXT(Q298),VLOOKUP(Q298,Afactors,2,FALSE),""))</f>
        <v/>
      </c>
      <c r="CP298" s="611" t="str">
        <f t="shared" si="385"/>
        <v/>
      </c>
      <c r="CQ298" s="612" t="str">
        <f t="shared" si="386"/>
        <v/>
      </c>
      <c r="CR298" s="340"/>
      <c r="CS298" s="340"/>
      <c r="CT298" s="340"/>
      <c r="CU298" s="340"/>
      <c r="CV298" s="333"/>
      <c r="CW298" s="333"/>
      <c r="CX298" s="333"/>
      <c r="CY298" s="333"/>
      <c r="DA298" s="313" t="str">
        <f t="shared" si="368"/>
        <v>OK</v>
      </c>
      <c r="DB298" s="313" t="str">
        <f t="shared" si="369"/>
        <v>OK</v>
      </c>
      <c r="DC298" s="313" t="str">
        <f t="shared" si="370"/>
        <v>OK</v>
      </c>
      <c r="DD298" s="313" t="str">
        <f t="shared" si="371"/>
        <v>OK</v>
      </c>
      <c r="DE298" s="153" t="str">
        <f t="shared" si="372"/>
        <v>OK</v>
      </c>
      <c r="DF298" s="314" t="str">
        <f t="shared" si="373"/>
        <v>OK</v>
      </c>
      <c r="DG298" s="482" t="str">
        <f t="shared" si="387"/>
        <v>OK</v>
      </c>
      <c r="DH298" s="482" t="str">
        <f>IF(OR(AND(T298='Adjustment factors'!$R$28,'Class 3, 5-9'!U298='Adjustment factors'!$R$29),AND('Class 3, 5-9'!T298='Adjustment factors'!$R$29,'Class 3, 5-9'!U298='Adjustment factors'!$R$28)),"Invalid combination of adjustment factors",IF(AND(T298=U298,NOT(ISBLANK(T298)),NOT(ISBLANK(U298))),"Same colour factor selected twice","OK"))</f>
        <v>OK</v>
      </c>
      <c r="DI298" s="313" t="str">
        <f t="shared" si="374"/>
        <v>OK</v>
      </c>
      <c r="DJ298" s="153" t="str">
        <f t="shared" si="396"/>
        <v>OK</v>
      </c>
      <c r="DK298" s="153" t="str">
        <f t="shared" si="375"/>
        <v>OK</v>
      </c>
      <c r="DL298" s="313" t="str">
        <f t="shared" si="376"/>
        <v>OK</v>
      </c>
      <c r="DM298" s="153" t="str">
        <f t="shared" si="377"/>
        <v>OK</v>
      </c>
      <c r="DN298" s="153" t="str">
        <f t="shared" si="397"/>
        <v>OK</v>
      </c>
      <c r="DO298" s="154" t="str">
        <f t="shared" si="398"/>
        <v>OK</v>
      </c>
      <c r="DP298" s="153" t="str">
        <f t="shared" si="378"/>
        <v>OK</v>
      </c>
      <c r="DQ298" s="313" t="str">
        <f t="shared" si="379"/>
        <v>OK</v>
      </c>
      <c r="DR298" s="153" t="str">
        <f t="shared" si="399"/>
        <v>OK</v>
      </c>
      <c r="DS298" s="153" t="str">
        <f t="shared" si="380"/>
        <v>OK</v>
      </c>
      <c r="DT298" s="313" t="str">
        <f t="shared" si="338"/>
        <v>OK</v>
      </c>
      <c r="DU298" s="153" t="str">
        <f t="shared" si="381"/>
        <v>OK</v>
      </c>
      <c r="DV298" s="153" t="str">
        <f t="shared" si="400"/>
        <v>OK</v>
      </c>
      <c r="DW298" s="154" t="str">
        <f t="shared" si="401"/>
        <v>OK</v>
      </c>
      <c r="DX298" s="157">
        <f t="shared" si="402"/>
        <v>0</v>
      </c>
      <c r="DY298" s="156" t="str">
        <f t="shared" si="403"/>
        <v>OK</v>
      </c>
    </row>
    <row r="299" spans="1:129" ht="13" hidden="1" x14ac:dyDescent="0.3">
      <c r="A299" s="333"/>
      <c r="B299" s="333"/>
      <c r="C299" s="332" t="str">
        <f t="shared" si="334"/>
        <v>-</v>
      </c>
      <c r="D299" s="584">
        <f t="shared" si="336"/>
        <v>276</v>
      </c>
      <c r="E299" s="585"/>
      <c r="F299" s="586"/>
      <c r="G299" s="600"/>
      <c r="H299" s="587"/>
      <c r="I299" s="601"/>
      <c r="J299" s="585"/>
      <c r="K299" s="617"/>
      <c r="L299" s="602"/>
      <c r="M299" s="603"/>
      <c r="N299" s="588"/>
      <c r="O299" s="604"/>
      <c r="P299" s="605"/>
      <c r="Q299" s="588"/>
      <c r="R299" s="604"/>
      <c r="S299" s="605"/>
      <c r="T299" s="606"/>
      <c r="U299" s="606"/>
      <c r="V299" s="429" t="str">
        <f t="shared" si="408"/>
        <v/>
      </c>
      <c r="W299" s="430" t="str">
        <f t="shared" si="407"/>
        <v/>
      </c>
      <c r="X299" s="66" t="str">
        <f>IF(AND(ISNUMBER(P299),N299=FixedDim),MAX('Adjustment factors'!$S$16,0.2+0.8*P299),IF(ISTEXT(N299),VLOOKUP(N299,Afactors,2,TRUE),""))</f>
        <v/>
      </c>
      <c r="Y299" s="17" t="str">
        <f>IF(AND(ISNUMBER(S299),Q299=FixedDim),MAX('Adjustment factors'!$S$16,0.2+0.8*S299),IF(ISTEXT(Q299),VLOOKUP(Q299,Afactors,2,TRUE),""))</f>
        <v/>
      </c>
      <c r="Z299" s="297" t="str">
        <f>IF(ISBLANK(T299),"",VLOOKUP(T299,'Adjustment factors'!$R$27:$S$30,2,TRUE))</f>
        <v/>
      </c>
      <c r="AA299" s="297" t="str">
        <f>IF(ISBLANK(U299),"",VLOOKUP(U299,'Adjustment factors'!$R$27:$S$30,2,TRUE))</f>
        <v/>
      </c>
      <c r="AB299" s="480">
        <f t="shared" si="382"/>
        <v>1</v>
      </c>
      <c r="AC299" s="18" t="b">
        <f t="shared" si="339"/>
        <v>0</v>
      </c>
      <c r="AD299" s="18" t="b">
        <f t="shared" si="340"/>
        <v>0</v>
      </c>
      <c r="AE299" s="18" t="b">
        <f t="shared" si="404"/>
        <v>0</v>
      </c>
      <c r="AF299" s="17" t="str">
        <f t="shared" si="341"/>
        <v/>
      </c>
      <c r="AG299" s="18" t="str">
        <f t="shared" si="342"/>
        <v/>
      </c>
      <c r="AH299" s="17" t="str">
        <f t="shared" si="405"/>
        <v/>
      </c>
      <c r="AI299" s="297" t="e">
        <f t="shared" si="383"/>
        <v>#VALUE!</v>
      </c>
      <c r="AJ299" s="79" t="e">
        <f t="shared" si="343"/>
        <v>#VALUE!</v>
      </c>
      <c r="AK299" s="17" t="str">
        <f t="shared" si="406"/>
        <v/>
      </c>
      <c r="AL299" s="80" t="e">
        <f t="shared" si="344"/>
        <v>#VALUE!</v>
      </c>
      <c r="AM299" s="139" t="b">
        <f t="shared" si="345"/>
        <v>1</v>
      </c>
      <c r="AN299" s="139" t="b">
        <f>AND(COUNTA(E299)&gt;0,ISNUMBER(F299),OR(COUNT(G299:H299)=0,COUNT(G299:H299)=2,AND(ISNUMBER(G299),ISNUMBER(VALUE(LEFT(H299,SUM(LEN(H299)-LEN(SUBSTITUTE(H299,{"0","1","2","3","4","5","6","7","8","9","."},"")))))))),ISNUMBER(I299),ISTEXT(J299))</f>
        <v>0</v>
      </c>
      <c r="AO299" s="19" t="b">
        <f t="shared" si="346"/>
        <v>0</v>
      </c>
      <c r="AP299" s="19" t="b">
        <f t="shared" si="347"/>
        <v>1</v>
      </c>
      <c r="AQ299" s="19" t="b">
        <f>IF(AND(COUNTBLANK(E299:J299)=6,OR(AN300:AN$523)),NOT(AN299))</f>
        <v>0</v>
      </c>
      <c r="AR299" s="19" t="str">
        <f t="shared" si="348"/>
        <v/>
      </c>
      <c r="AS299" s="19" t="b">
        <f t="shared" si="349"/>
        <v>1</v>
      </c>
      <c r="AT299" s="19" t="str">
        <f t="shared" si="350"/>
        <v/>
      </c>
      <c r="AU299" s="19" t="b">
        <f t="shared" si="351"/>
        <v>1</v>
      </c>
      <c r="AV299" s="140" t="str">
        <f t="shared" si="388"/>
        <v/>
      </c>
      <c r="AW299" s="19" t="str">
        <f t="shared" si="352"/>
        <v/>
      </c>
      <c r="AX299" s="81">
        <f t="shared" si="353"/>
        <v>0</v>
      </c>
      <c r="AY299" s="81" t="str">
        <f t="shared" si="354"/>
        <v/>
      </c>
      <c r="AZ299" s="307" t="str">
        <f t="shared" si="384"/>
        <v/>
      </c>
      <c r="BA299" s="281" t="str">
        <f t="shared" si="389"/>
        <v/>
      </c>
      <c r="BB299" s="281" t="str">
        <f t="shared" si="390"/>
        <v/>
      </c>
      <c r="BC299" s="953"/>
      <c r="BD299" s="955"/>
      <c r="BE299" s="219" t="str">
        <f t="shared" si="355"/>
        <v>n/a</v>
      </c>
      <c r="BF299" s="215" t="b">
        <f t="shared" si="356"/>
        <v>0</v>
      </c>
      <c r="BG299" s="145" t="b">
        <f t="shared" si="357"/>
        <v>0</v>
      </c>
      <c r="BH299" s="145" t="b">
        <f t="shared" si="358"/>
        <v>0</v>
      </c>
      <c r="BI299" s="216" t="b">
        <f t="shared" si="359"/>
        <v>0</v>
      </c>
      <c r="BJ299" s="215" t="b">
        <f t="shared" si="360"/>
        <v>0</v>
      </c>
      <c r="BK299" s="145" t="b">
        <f t="shared" si="361"/>
        <v>0</v>
      </c>
      <c r="BL299" s="216" t="b">
        <f t="shared" si="362"/>
        <v>0</v>
      </c>
      <c r="BM299" s="217" t="str">
        <f t="shared" si="391"/>
        <v/>
      </c>
      <c r="BN299" s="146" t="str">
        <f t="shared" si="392"/>
        <v/>
      </c>
      <c r="BO299" s="147" t="str">
        <f t="shared" si="393"/>
        <v/>
      </c>
      <c r="BP299" s="148" t="str">
        <f t="shared" si="394"/>
        <v/>
      </c>
      <c r="BT299" s="50">
        <f t="shared" si="337"/>
        <v>276</v>
      </c>
      <c r="BU299" s="50" t="str">
        <f t="shared" si="409"/>
        <v>-</v>
      </c>
      <c r="BW299" s="340"/>
      <c r="BX299" s="333"/>
      <c r="BY299" s="333"/>
      <c r="BZ299" s="333"/>
      <c r="CA299" s="333"/>
      <c r="CB299" s="333"/>
      <c r="CC299" s="333"/>
      <c r="CD299" s="333"/>
      <c r="CE299" s="333"/>
      <c r="CF299" s="333"/>
      <c r="CG299" s="354">
        <f t="shared" si="363"/>
        <v>276</v>
      </c>
      <c r="CH299" s="613">
        <f t="shared" si="364"/>
        <v>0</v>
      </c>
      <c r="CI299" s="613">
        <f t="shared" si="365"/>
        <v>0</v>
      </c>
      <c r="CJ299" s="614" t="str">
        <f t="shared" si="366"/>
        <v/>
      </c>
      <c r="CK299" s="615" t="str">
        <f t="shared" si="367"/>
        <v/>
      </c>
      <c r="CL299" s="610" t="str">
        <f>IF(ISBLANK(H299),"",IF(AND(ISNUMBER(F299),ISNUMBER(G299),ISNUMBER(H299)),ROUND(F299/(H299*G299),2),ROUND(F299/(VALUE(LEFT(H299,SUM(LEN(H299)-LEN(SUBSTITUTE(H299,{"0","1","2","3","4","5","6","7","8","9","."},"")))))*G299),2)))</f>
        <v/>
      </c>
      <c r="CM299" s="616" t="str">
        <f t="shared" si="395"/>
        <v/>
      </c>
      <c r="CN299" s="616" t="str">
        <f>IF(ISNUMBER(P299),MAX('Adjustment factors'!$S$16,(0.2+0.8*P299)),IF(ISTEXT(N299),VLOOKUP(N299,Afactors,2,FALSE),""))</f>
        <v/>
      </c>
      <c r="CO299" s="616" t="str">
        <f>IF(ISNUMBER(S299),MAX('Adjustment factors'!$S$16,0.2+0.8*S299),IF(ISTEXT(Q299),VLOOKUP(Q299,Afactors,2,FALSE),""))</f>
        <v/>
      </c>
      <c r="CP299" s="611" t="str">
        <f t="shared" si="385"/>
        <v/>
      </c>
      <c r="CQ299" s="612" t="str">
        <f t="shared" si="386"/>
        <v/>
      </c>
      <c r="CR299" s="340"/>
      <c r="CS299" s="340"/>
      <c r="CT299" s="340"/>
      <c r="CU299" s="340"/>
      <c r="CV299" s="333"/>
      <c r="CW299" s="333"/>
      <c r="CX299" s="333"/>
      <c r="CY299" s="333"/>
      <c r="DA299" s="313" t="str">
        <f t="shared" si="368"/>
        <v>OK</v>
      </c>
      <c r="DB299" s="313" t="str">
        <f t="shared" si="369"/>
        <v>OK</v>
      </c>
      <c r="DC299" s="313" t="str">
        <f t="shared" si="370"/>
        <v>OK</v>
      </c>
      <c r="DD299" s="313" t="str">
        <f t="shared" si="371"/>
        <v>OK</v>
      </c>
      <c r="DE299" s="153" t="str">
        <f t="shared" si="372"/>
        <v>OK</v>
      </c>
      <c r="DF299" s="314" t="str">
        <f t="shared" si="373"/>
        <v>OK</v>
      </c>
      <c r="DG299" s="482" t="str">
        <f t="shared" si="387"/>
        <v>OK</v>
      </c>
      <c r="DH299" s="482" t="str">
        <f>IF(OR(AND(T299='Adjustment factors'!$R$28,'Class 3, 5-9'!U299='Adjustment factors'!$R$29),AND('Class 3, 5-9'!T299='Adjustment factors'!$R$29,'Class 3, 5-9'!U299='Adjustment factors'!$R$28)),"Invalid combination of adjustment factors",IF(AND(T299=U299,NOT(ISBLANK(T299)),NOT(ISBLANK(U299))),"Same colour factor selected twice","OK"))</f>
        <v>OK</v>
      </c>
      <c r="DI299" s="313" t="str">
        <f t="shared" si="374"/>
        <v>OK</v>
      </c>
      <c r="DJ299" s="153" t="str">
        <f t="shared" si="396"/>
        <v>OK</v>
      </c>
      <c r="DK299" s="153" t="str">
        <f t="shared" si="375"/>
        <v>OK</v>
      </c>
      <c r="DL299" s="313" t="str">
        <f t="shared" si="376"/>
        <v>OK</v>
      </c>
      <c r="DM299" s="153" t="str">
        <f t="shared" si="377"/>
        <v>OK</v>
      </c>
      <c r="DN299" s="153" t="str">
        <f t="shared" si="397"/>
        <v>OK</v>
      </c>
      <c r="DO299" s="154" t="str">
        <f t="shared" si="398"/>
        <v>OK</v>
      </c>
      <c r="DP299" s="153" t="str">
        <f t="shared" si="378"/>
        <v>OK</v>
      </c>
      <c r="DQ299" s="313" t="str">
        <f t="shared" si="379"/>
        <v>OK</v>
      </c>
      <c r="DR299" s="153" t="str">
        <f t="shared" si="399"/>
        <v>OK</v>
      </c>
      <c r="DS299" s="153" t="str">
        <f t="shared" si="380"/>
        <v>OK</v>
      </c>
      <c r="DT299" s="313" t="str">
        <f t="shared" si="338"/>
        <v>OK</v>
      </c>
      <c r="DU299" s="153" t="str">
        <f t="shared" si="381"/>
        <v>OK</v>
      </c>
      <c r="DV299" s="153" t="str">
        <f t="shared" si="400"/>
        <v>OK</v>
      </c>
      <c r="DW299" s="154" t="str">
        <f t="shared" si="401"/>
        <v>OK</v>
      </c>
      <c r="DX299" s="157">
        <f t="shared" si="402"/>
        <v>0</v>
      </c>
      <c r="DY299" s="156" t="str">
        <f t="shared" si="403"/>
        <v>OK</v>
      </c>
    </row>
    <row r="300" spans="1:129" ht="13" hidden="1" x14ac:dyDescent="0.3">
      <c r="A300" s="333"/>
      <c r="B300" s="333"/>
      <c r="C300" s="332" t="str">
        <f t="shared" ref="C300:C323" si="410">BU300</f>
        <v>-</v>
      </c>
      <c r="D300" s="584">
        <f t="shared" si="336"/>
        <v>277</v>
      </c>
      <c r="E300" s="585"/>
      <c r="F300" s="586"/>
      <c r="G300" s="600"/>
      <c r="H300" s="587"/>
      <c r="I300" s="601"/>
      <c r="J300" s="585"/>
      <c r="K300" s="617"/>
      <c r="L300" s="602"/>
      <c r="M300" s="603"/>
      <c r="N300" s="588"/>
      <c r="O300" s="604"/>
      <c r="P300" s="605"/>
      <c r="Q300" s="588"/>
      <c r="R300" s="604"/>
      <c r="S300" s="605"/>
      <c r="T300" s="606"/>
      <c r="U300" s="606"/>
      <c r="V300" s="429" t="str">
        <f t="shared" si="408"/>
        <v/>
      </c>
      <c r="W300" s="430" t="str">
        <f t="shared" si="407"/>
        <v/>
      </c>
      <c r="X300" s="66" t="str">
        <f>IF(AND(ISNUMBER(P300),N300=FixedDim),MAX('Adjustment factors'!$S$16,0.2+0.8*P300),IF(ISTEXT(N300),VLOOKUP(N300,Afactors,2,TRUE),""))</f>
        <v/>
      </c>
      <c r="Y300" s="17" t="str">
        <f>IF(AND(ISNUMBER(S300),Q300=FixedDim),MAX('Adjustment factors'!$S$16,0.2+0.8*S300),IF(ISTEXT(Q300),VLOOKUP(Q300,Afactors,2,TRUE),""))</f>
        <v/>
      </c>
      <c r="Z300" s="297" t="str">
        <f>IF(ISBLANK(T300),"",VLOOKUP(T300,'Adjustment factors'!$R$27:$S$30,2,TRUE))</f>
        <v/>
      </c>
      <c r="AA300" s="297" t="str">
        <f>IF(ISBLANK(U300),"",VLOOKUP(U300,'Adjustment factors'!$R$27:$S$30,2,TRUE))</f>
        <v/>
      </c>
      <c r="AB300" s="480">
        <f t="shared" si="382"/>
        <v>1</v>
      </c>
      <c r="AC300" s="18" t="b">
        <f t="shared" si="339"/>
        <v>0</v>
      </c>
      <c r="AD300" s="18" t="b">
        <f t="shared" si="340"/>
        <v>0</v>
      </c>
      <c r="AE300" s="18" t="b">
        <f t="shared" si="404"/>
        <v>0</v>
      </c>
      <c r="AF300" s="17" t="str">
        <f t="shared" si="341"/>
        <v/>
      </c>
      <c r="AG300" s="18" t="str">
        <f t="shared" si="342"/>
        <v/>
      </c>
      <c r="AH300" s="17" t="str">
        <f t="shared" si="405"/>
        <v/>
      </c>
      <c r="AI300" s="297" t="e">
        <f t="shared" si="383"/>
        <v>#VALUE!</v>
      </c>
      <c r="AJ300" s="79" t="e">
        <f t="shared" si="343"/>
        <v>#VALUE!</v>
      </c>
      <c r="AK300" s="17" t="str">
        <f t="shared" si="406"/>
        <v/>
      </c>
      <c r="AL300" s="80" t="e">
        <f t="shared" si="344"/>
        <v>#VALUE!</v>
      </c>
      <c r="AM300" s="139" t="b">
        <f t="shared" si="345"/>
        <v>1</v>
      </c>
      <c r="AN300" s="139" t="b">
        <f>AND(COUNTA(E300)&gt;0,ISNUMBER(F300),OR(COUNT(G300:H300)=0,COUNT(G300:H300)=2,AND(ISNUMBER(G300),ISNUMBER(VALUE(LEFT(H300,SUM(LEN(H300)-LEN(SUBSTITUTE(H300,{"0","1","2","3","4","5","6","7","8","9","."},"")))))))),ISNUMBER(I300),ISTEXT(J300))</f>
        <v>0</v>
      </c>
      <c r="AO300" s="19" t="b">
        <f t="shared" si="346"/>
        <v>0</v>
      </c>
      <c r="AP300" s="19" t="b">
        <f t="shared" si="347"/>
        <v>1</v>
      </c>
      <c r="AQ300" s="19" t="b">
        <f>IF(AND(COUNTBLANK(E300:J300)=6,OR(AN301:AN$523)),NOT(AN300))</f>
        <v>0</v>
      </c>
      <c r="AR300" s="19" t="str">
        <f t="shared" si="348"/>
        <v/>
      </c>
      <c r="AS300" s="19" t="b">
        <f t="shared" si="349"/>
        <v>1</v>
      </c>
      <c r="AT300" s="19" t="str">
        <f t="shared" si="350"/>
        <v/>
      </c>
      <c r="AU300" s="19" t="b">
        <f t="shared" si="351"/>
        <v>1</v>
      </c>
      <c r="AV300" s="140" t="str">
        <f t="shared" si="388"/>
        <v/>
      </c>
      <c r="AW300" s="19" t="str">
        <f t="shared" si="352"/>
        <v/>
      </c>
      <c r="AX300" s="81">
        <f t="shared" si="353"/>
        <v>0</v>
      </c>
      <c r="AY300" s="81" t="str">
        <f t="shared" si="354"/>
        <v/>
      </c>
      <c r="AZ300" s="307" t="str">
        <f t="shared" si="384"/>
        <v/>
      </c>
      <c r="BA300" s="281" t="str">
        <f t="shared" si="389"/>
        <v/>
      </c>
      <c r="BB300" s="281" t="str">
        <f t="shared" si="390"/>
        <v/>
      </c>
      <c r="BC300" s="953"/>
      <c r="BD300" s="955"/>
      <c r="BE300" s="219" t="str">
        <f t="shared" si="355"/>
        <v>n/a</v>
      </c>
      <c r="BF300" s="215" t="b">
        <f t="shared" si="356"/>
        <v>0</v>
      </c>
      <c r="BG300" s="145" t="b">
        <f t="shared" si="357"/>
        <v>0</v>
      </c>
      <c r="BH300" s="145" t="b">
        <f t="shared" si="358"/>
        <v>0</v>
      </c>
      <c r="BI300" s="216" t="b">
        <f t="shared" si="359"/>
        <v>0</v>
      </c>
      <c r="BJ300" s="215" t="b">
        <f t="shared" si="360"/>
        <v>0</v>
      </c>
      <c r="BK300" s="145" t="b">
        <f t="shared" si="361"/>
        <v>0</v>
      </c>
      <c r="BL300" s="216" t="b">
        <f t="shared" si="362"/>
        <v>0</v>
      </c>
      <c r="BM300" s="217" t="str">
        <f t="shared" si="391"/>
        <v/>
      </c>
      <c r="BN300" s="146" t="str">
        <f t="shared" si="392"/>
        <v/>
      </c>
      <c r="BO300" s="147" t="str">
        <f t="shared" si="393"/>
        <v/>
      </c>
      <c r="BP300" s="148" t="str">
        <f t="shared" si="394"/>
        <v/>
      </c>
      <c r="BT300" s="50">
        <f t="shared" si="337"/>
        <v>277</v>
      </c>
      <c r="BU300" s="50" t="str">
        <f t="shared" si="409"/>
        <v>-</v>
      </c>
      <c r="BW300" s="340"/>
      <c r="BX300" s="333"/>
      <c r="BY300" s="333"/>
      <c r="BZ300" s="333"/>
      <c r="CA300" s="333"/>
      <c r="CB300" s="333"/>
      <c r="CC300" s="333"/>
      <c r="CD300" s="333"/>
      <c r="CE300" s="333"/>
      <c r="CF300" s="333"/>
      <c r="CG300" s="354">
        <f t="shared" si="363"/>
        <v>277</v>
      </c>
      <c r="CH300" s="613">
        <f t="shared" si="364"/>
        <v>0</v>
      </c>
      <c r="CI300" s="613">
        <f t="shared" si="365"/>
        <v>0</v>
      </c>
      <c r="CJ300" s="614" t="str">
        <f t="shared" si="366"/>
        <v/>
      </c>
      <c r="CK300" s="615" t="str">
        <f t="shared" si="367"/>
        <v/>
      </c>
      <c r="CL300" s="610" t="str">
        <f>IF(ISBLANK(H300),"",IF(AND(ISNUMBER(F300),ISNUMBER(G300),ISNUMBER(H300)),ROUND(F300/(H300*G300),2),ROUND(F300/(VALUE(LEFT(H300,SUM(LEN(H300)-LEN(SUBSTITUTE(H300,{"0","1","2","3","4","5","6","7","8","9","."},"")))))*G300),2)))</f>
        <v/>
      </c>
      <c r="CM300" s="616" t="str">
        <f t="shared" si="395"/>
        <v/>
      </c>
      <c r="CN300" s="616" t="str">
        <f>IF(ISNUMBER(P300),MAX('Adjustment factors'!$S$16,(0.2+0.8*P300)),IF(ISTEXT(N300),VLOOKUP(N300,Afactors,2,FALSE),""))</f>
        <v/>
      </c>
      <c r="CO300" s="616" t="str">
        <f>IF(ISNUMBER(S300),MAX('Adjustment factors'!$S$16,0.2+0.8*S300),IF(ISTEXT(Q300),VLOOKUP(Q300,Afactors,2,FALSE),""))</f>
        <v/>
      </c>
      <c r="CP300" s="611" t="str">
        <f t="shared" si="385"/>
        <v/>
      </c>
      <c r="CQ300" s="612" t="str">
        <f t="shared" si="386"/>
        <v/>
      </c>
      <c r="CR300" s="340"/>
      <c r="CS300" s="340"/>
      <c r="CT300" s="340"/>
      <c r="CU300" s="340"/>
      <c r="CV300" s="333"/>
      <c r="CW300" s="333"/>
      <c r="CX300" s="333"/>
      <c r="CY300" s="333"/>
      <c r="DA300" s="313" t="str">
        <f t="shared" si="368"/>
        <v>OK</v>
      </c>
      <c r="DB300" s="313" t="str">
        <f t="shared" si="369"/>
        <v>OK</v>
      </c>
      <c r="DC300" s="313" t="str">
        <f t="shared" si="370"/>
        <v>OK</v>
      </c>
      <c r="DD300" s="313" t="str">
        <f t="shared" si="371"/>
        <v>OK</v>
      </c>
      <c r="DE300" s="153" t="str">
        <f t="shared" si="372"/>
        <v>OK</v>
      </c>
      <c r="DF300" s="314" t="str">
        <f t="shared" si="373"/>
        <v>OK</v>
      </c>
      <c r="DG300" s="482" t="str">
        <f t="shared" si="387"/>
        <v>OK</v>
      </c>
      <c r="DH300" s="482" t="str">
        <f>IF(OR(AND(T300='Adjustment factors'!$R$28,'Class 3, 5-9'!U300='Adjustment factors'!$R$29),AND('Class 3, 5-9'!T300='Adjustment factors'!$R$29,'Class 3, 5-9'!U300='Adjustment factors'!$R$28)),"Invalid combination of adjustment factors",IF(AND(T300=U300,NOT(ISBLANK(T300)),NOT(ISBLANK(U300))),"Same colour factor selected twice","OK"))</f>
        <v>OK</v>
      </c>
      <c r="DI300" s="313" t="str">
        <f t="shared" si="374"/>
        <v>OK</v>
      </c>
      <c r="DJ300" s="153" t="str">
        <f t="shared" si="396"/>
        <v>OK</v>
      </c>
      <c r="DK300" s="153" t="str">
        <f t="shared" si="375"/>
        <v>OK</v>
      </c>
      <c r="DL300" s="313" t="str">
        <f t="shared" si="376"/>
        <v>OK</v>
      </c>
      <c r="DM300" s="153" t="str">
        <f t="shared" si="377"/>
        <v>OK</v>
      </c>
      <c r="DN300" s="153" t="str">
        <f t="shared" si="397"/>
        <v>OK</v>
      </c>
      <c r="DO300" s="154" t="str">
        <f t="shared" si="398"/>
        <v>OK</v>
      </c>
      <c r="DP300" s="153" t="str">
        <f t="shared" si="378"/>
        <v>OK</v>
      </c>
      <c r="DQ300" s="313" t="str">
        <f t="shared" si="379"/>
        <v>OK</v>
      </c>
      <c r="DR300" s="153" t="str">
        <f t="shared" si="399"/>
        <v>OK</v>
      </c>
      <c r="DS300" s="153" t="str">
        <f t="shared" si="380"/>
        <v>OK</v>
      </c>
      <c r="DT300" s="313" t="str">
        <f t="shared" si="338"/>
        <v>OK</v>
      </c>
      <c r="DU300" s="153" t="str">
        <f t="shared" si="381"/>
        <v>OK</v>
      </c>
      <c r="DV300" s="153" t="str">
        <f t="shared" si="400"/>
        <v>OK</v>
      </c>
      <c r="DW300" s="154" t="str">
        <f t="shared" si="401"/>
        <v>OK</v>
      </c>
      <c r="DX300" s="157">
        <f t="shared" si="402"/>
        <v>0</v>
      </c>
      <c r="DY300" s="156" t="str">
        <f t="shared" si="403"/>
        <v>OK</v>
      </c>
    </row>
    <row r="301" spans="1:129" ht="13" hidden="1" x14ac:dyDescent="0.3">
      <c r="A301" s="333"/>
      <c r="B301" s="333"/>
      <c r="C301" s="332" t="str">
        <f t="shared" si="410"/>
        <v>-</v>
      </c>
      <c r="D301" s="584">
        <f t="shared" si="336"/>
        <v>278</v>
      </c>
      <c r="E301" s="585"/>
      <c r="F301" s="586"/>
      <c r="G301" s="600"/>
      <c r="H301" s="587"/>
      <c r="I301" s="601"/>
      <c r="J301" s="585"/>
      <c r="K301" s="617"/>
      <c r="L301" s="602"/>
      <c r="M301" s="603"/>
      <c r="N301" s="588"/>
      <c r="O301" s="604"/>
      <c r="P301" s="605"/>
      <c r="Q301" s="588"/>
      <c r="R301" s="604"/>
      <c r="S301" s="605"/>
      <c r="T301" s="606"/>
      <c r="U301" s="606"/>
      <c r="V301" s="429" t="str">
        <f t="shared" si="408"/>
        <v/>
      </c>
      <c r="W301" s="430" t="str">
        <f t="shared" si="407"/>
        <v/>
      </c>
      <c r="X301" s="66" t="str">
        <f>IF(AND(ISNUMBER(P301),N301=FixedDim),MAX('Adjustment factors'!$S$16,0.2+0.8*P301),IF(ISTEXT(N301),VLOOKUP(N301,Afactors,2,TRUE),""))</f>
        <v/>
      </c>
      <c r="Y301" s="17" t="str">
        <f>IF(AND(ISNUMBER(S301),Q301=FixedDim),MAX('Adjustment factors'!$S$16,0.2+0.8*S301),IF(ISTEXT(Q301),VLOOKUP(Q301,Afactors,2,TRUE),""))</f>
        <v/>
      </c>
      <c r="Z301" s="297" t="str">
        <f>IF(ISBLANK(T301),"",VLOOKUP(T301,'Adjustment factors'!$R$27:$S$30,2,TRUE))</f>
        <v/>
      </c>
      <c r="AA301" s="297" t="str">
        <f>IF(ISBLANK(U301),"",VLOOKUP(U301,'Adjustment factors'!$R$27:$S$30,2,TRUE))</f>
        <v/>
      </c>
      <c r="AB301" s="480">
        <f t="shared" si="382"/>
        <v>1</v>
      </c>
      <c r="AC301" s="18" t="b">
        <f t="shared" si="339"/>
        <v>0</v>
      </c>
      <c r="AD301" s="18" t="b">
        <f t="shared" si="340"/>
        <v>0</v>
      </c>
      <c r="AE301" s="18" t="b">
        <f t="shared" si="404"/>
        <v>0</v>
      </c>
      <c r="AF301" s="17" t="str">
        <f t="shared" si="341"/>
        <v/>
      </c>
      <c r="AG301" s="18" t="str">
        <f t="shared" si="342"/>
        <v/>
      </c>
      <c r="AH301" s="17" t="str">
        <f t="shared" si="405"/>
        <v/>
      </c>
      <c r="AI301" s="297" t="e">
        <f t="shared" si="383"/>
        <v>#VALUE!</v>
      </c>
      <c r="AJ301" s="79" t="e">
        <f t="shared" si="343"/>
        <v>#VALUE!</v>
      </c>
      <c r="AK301" s="17" t="str">
        <f t="shared" si="406"/>
        <v/>
      </c>
      <c r="AL301" s="80" t="e">
        <f t="shared" si="344"/>
        <v>#VALUE!</v>
      </c>
      <c r="AM301" s="139" t="b">
        <f t="shared" si="345"/>
        <v>1</v>
      </c>
      <c r="AN301" s="139" t="b">
        <f>AND(COUNTA(E301)&gt;0,ISNUMBER(F301),OR(COUNT(G301:H301)=0,COUNT(G301:H301)=2,AND(ISNUMBER(G301),ISNUMBER(VALUE(LEFT(H301,SUM(LEN(H301)-LEN(SUBSTITUTE(H301,{"0","1","2","3","4","5","6","7","8","9","."},"")))))))),ISNUMBER(I301),ISTEXT(J301))</f>
        <v>0</v>
      </c>
      <c r="AO301" s="19" t="b">
        <f t="shared" si="346"/>
        <v>0</v>
      </c>
      <c r="AP301" s="19" t="b">
        <f t="shared" si="347"/>
        <v>1</v>
      </c>
      <c r="AQ301" s="19" t="b">
        <f>IF(AND(COUNTBLANK(E301:J301)=6,OR(AN302:AN$523)),NOT(AN301))</f>
        <v>0</v>
      </c>
      <c r="AR301" s="19" t="str">
        <f t="shared" si="348"/>
        <v/>
      </c>
      <c r="AS301" s="19" t="b">
        <f t="shared" si="349"/>
        <v>1</v>
      </c>
      <c r="AT301" s="19" t="str">
        <f t="shared" si="350"/>
        <v/>
      </c>
      <c r="AU301" s="19" t="b">
        <f t="shared" si="351"/>
        <v>1</v>
      </c>
      <c r="AV301" s="140" t="str">
        <f t="shared" si="388"/>
        <v/>
      </c>
      <c r="AW301" s="19" t="str">
        <f t="shared" si="352"/>
        <v/>
      </c>
      <c r="AX301" s="81">
        <f t="shared" si="353"/>
        <v>0</v>
      </c>
      <c r="AY301" s="81" t="str">
        <f t="shared" si="354"/>
        <v/>
      </c>
      <c r="AZ301" s="307" t="str">
        <f t="shared" si="384"/>
        <v/>
      </c>
      <c r="BA301" s="281" t="str">
        <f t="shared" si="389"/>
        <v/>
      </c>
      <c r="BB301" s="281" t="str">
        <f t="shared" si="390"/>
        <v/>
      </c>
      <c r="BC301" s="953"/>
      <c r="BD301" s="955"/>
      <c r="BE301" s="219" t="str">
        <f t="shared" si="355"/>
        <v>n/a</v>
      </c>
      <c r="BF301" s="215" t="b">
        <f t="shared" si="356"/>
        <v>0</v>
      </c>
      <c r="BG301" s="145" t="b">
        <f t="shared" si="357"/>
        <v>0</v>
      </c>
      <c r="BH301" s="145" t="b">
        <f t="shared" si="358"/>
        <v>0</v>
      </c>
      <c r="BI301" s="216" t="b">
        <f t="shared" si="359"/>
        <v>0</v>
      </c>
      <c r="BJ301" s="215" t="b">
        <f t="shared" si="360"/>
        <v>0</v>
      </c>
      <c r="BK301" s="145" t="b">
        <f t="shared" si="361"/>
        <v>0</v>
      </c>
      <c r="BL301" s="216" t="b">
        <f t="shared" si="362"/>
        <v>0</v>
      </c>
      <c r="BM301" s="217" t="str">
        <f t="shared" si="391"/>
        <v/>
      </c>
      <c r="BN301" s="146" t="str">
        <f t="shared" si="392"/>
        <v/>
      </c>
      <c r="BO301" s="147" t="str">
        <f t="shared" si="393"/>
        <v/>
      </c>
      <c r="BP301" s="148" t="str">
        <f t="shared" si="394"/>
        <v/>
      </c>
      <c r="BT301" s="50">
        <f t="shared" si="337"/>
        <v>278</v>
      </c>
      <c r="BU301" s="50" t="str">
        <f t="shared" si="409"/>
        <v>-</v>
      </c>
      <c r="BW301" s="340"/>
      <c r="BX301" s="333"/>
      <c r="BY301" s="333"/>
      <c r="BZ301" s="333"/>
      <c r="CA301" s="333"/>
      <c r="CB301" s="333"/>
      <c r="CC301" s="333"/>
      <c r="CD301" s="333"/>
      <c r="CE301" s="333"/>
      <c r="CF301" s="333"/>
      <c r="CG301" s="354">
        <f t="shared" si="363"/>
        <v>278</v>
      </c>
      <c r="CH301" s="613">
        <f t="shared" si="364"/>
        <v>0</v>
      </c>
      <c r="CI301" s="613">
        <f t="shared" si="365"/>
        <v>0</v>
      </c>
      <c r="CJ301" s="614" t="str">
        <f t="shared" si="366"/>
        <v/>
      </c>
      <c r="CK301" s="615" t="str">
        <f t="shared" si="367"/>
        <v/>
      </c>
      <c r="CL301" s="610" t="str">
        <f>IF(ISBLANK(H301),"",IF(AND(ISNUMBER(F301),ISNUMBER(G301),ISNUMBER(H301)),ROUND(F301/(H301*G301),2),ROUND(F301/(VALUE(LEFT(H301,SUM(LEN(H301)-LEN(SUBSTITUTE(H301,{"0","1","2","3","4","5","6","7","8","9","."},"")))))*G301),2)))</f>
        <v/>
      </c>
      <c r="CM301" s="616" t="str">
        <f t="shared" si="395"/>
        <v/>
      </c>
      <c r="CN301" s="616" t="str">
        <f>IF(ISNUMBER(P301),MAX('Adjustment factors'!$S$16,(0.2+0.8*P301)),IF(ISTEXT(N301),VLOOKUP(N301,Afactors,2,FALSE),""))</f>
        <v/>
      </c>
      <c r="CO301" s="616" t="str">
        <f>IF(ISNUMBER(S301),MAX('Adjustment factors'!$S$16,0.2+0.8*S301),IF(ISTEXT(Q301),VLOOKUP(Q301,Afactors,2,FALSE),""))</f>
        <v/>
      </c>
      <c r="CP301" s="611" t="str">
        <f t="shared" si="385"/>
        <v/>
      </c>
      <c r="CQ301" s="612" t="str">
        <f t="shared" si="386"/>
        <v/>
      </c>
      <c r="CR301" s="340"/>
      <c r="CS301" s="340"/>
      <c r="CT301" s="340"/>
      <c r="CU301" s="340"/>
      <c r="CV301" s="333"/>
      <c r="CW301" s="333"/>
      <c r="CX301" s="333"/>
      <c r="CY301" s="333"/>
      <c r="DA301" s="313" t="str">
        <f t="shared" si="368"/>
        <v>OK</v>
      </c>
      <c r="DB301" s="313" t="str">
        <f t="shared" si="369"/>
        <v>OK</v>
      </c>
      <c r="DC301" s="313" t="str">
        <f t="shared" si="370"/>
        <v>OK</v>
      </c>
      <c r="DD301" s="313" t="str">
        <f t="shared" si="371"/>
        <v>OK</v>
      </c>
      <c r="DE301" s="153" t="str">
        <f t="shared" si="372"/>
        <v>OK</v>
      </c>
      <c r="DF301" s="314" t="str">
        <f t="shared" si="373"/>
        <v>OK</v>
      </c>
      <c r="DG301" s="482" t="str">
        <f t="shared" si="387"/>
        <v>OK</v>
      </c>
      <c r="DH301" s="482" t="str">
        <f>IF(OR(AND(T301='Adjustment factors'!$R$28,'Class 3, 5-9'!U301='Adjustment factors'!$R$29),AND('Class 3, 5-9'!T301='Adjustment factors'!$R$29,'Class 3, 5-9'!U301='Adjustment factors'!$R$28)),"Invalid combination of adjustment factors",IF(AND(T301=U301,NOT(ISBLANK(T301)),NOT(ISBLANK(U301))),"Same colour factor selected twice","OK"))</f>
        <v>OK</v>
      </c>
      <c r="DI301" s="313" t="str">
        <f t="shared" si="374"/>
        <v>OK</v>
      </c>
      <c r="DJ301" s="153" t="str">
        <f t="shared" si="396"/>
        <v>OK</v>
      </c>
      <c r="DK301" s="153" t="str">
        <f t="shared" si="375"/>
        <v>OK</v>
      </c>
      <c r="DL301" s="313" t="str">
        <f t="shared" si="376"/>
        <v>OK</v>
      </c>
      <c r="DM301" s="153" t="str">
        <f t="shared" si="377"/>
        <v>OK</v>
      </c>
      <c r="DN301" s="153" t="str">
        <f t="shared" si="397"/>
        <v>OK</v>
      </c>
      <c r="DO301" s="154" t="str">
        <f t="shared" si="398"/>
        <v>OK</v>
      </c>
      <c r="DP301" s="153" t="str">
        <f t="shared" si="378"/>
        <v>OK</v>
      </c>
      <c r="DQ301" s="313" t="str">
        <f t="shared" si="379"/>
        <v>OK</v>
      </c>
      <c r="DR301" s="153" t="str">
        <f t="shared" si="399"/>
        <v>OK</v>
      </c>
      <c r="DS301" s="153" t="str">
        <f t="shared" si="380"/>
        <v>OK</v>
      </c>
      <c r="DT301" s="313" t="str">
        <f t="shared" si="338"/>
        <v>OK</v>
      </c>
      <c r="DU301" s="153" t="str">
        <f t="shared" si="381"/>
        <v>OK</v>
      </c>
      <c r="DV301" s="153" t="str">
        <f t="shared" si="400"/>
        <v>OK</v>
      </c>
      <c r="DW301" s="154" t="str">
        <f t="shared" si="401"/>
        <v>OK</v>
      </c>
      <c r="DX301" s="157">
        <f t="shared" si="402"/>
        <v>0</v>
      </c>
      <c r="DY301" s="156" t="str">
        <f t="shared" si="403"/>
        <v>OK</v>
      </c>
    </row>
    <row r="302" spans="1:129" ht="13" hidden="1" x14ac:dyDescent="0.3">
      <c r="A302" s="333"/>
      <c r="B302" s="333"/>
      <c r="C302" s="332" t="str">
        <f t="shared" si="410"/>
        <v>-</v>
      </c>
      <c r="D302" s="584">
        <f t="shared" si="336"/>
        <v>279</v>
      </c>
      <c r="E302" s="585"/>
      <c r="F302" s="586"/>
      <c r="G302" s="600"/>
      <c r="H302" s="587"/>
      <c r="I302" s="601"/>
      <c r="J302" s="585"/>
      <c r="K302" s="617"/>
      <c r="L302" s="602"/>
      <c r="M302" s="603"/>
      <c r="N302" s="588"/>
      <c r="O302" s="604"/>
      <c r="P302" s="605"/>
      <c r="Q302" s="588"/>
      <c r="R302" s="604"/>
      <c r="S302" s="605"/>
      <c r="T302" s="606"/>
      <c r="U302" s="606"/>
      <c r="V302" s="429" t="str">
        <f t="shared" si="408"/>
        <v/>
      </c>
      <c r="W302" s="430" t="str">
        <f t="shared" si="407"/>
        <v/>
      </c>
      <c r="X302" s="66" t="str">
        <f>IF(AND(ISNUMBER(P302),N302=FixedDim),MAX('Adjustment factors'!$S$16,0.2+0.8*P302),IF(ISTEXT(N302),VLOOKUP(N302,Afactors,2,TRUE),""))</f>
        <v/>
      </c>
      <c r="Y302" s="17" t="str">
        <f>IF(AND(ISNUMBER(S302),Q302=FixedDim),MAX('Adjustment factors'!$S$16,0.2+0.8*S302),IF(ISTEXT(Q302),VLOOKUP(Q302,Afactors,2,TRUE),""))</f>
        <v/>
      </c>
      <c r="Z302" s="297" t="str">
        <f>IF(ISBLANK(T302),"",VLOOKUP(T302,'Adjustment factors'!$R$27:$S$30,2,TRUE))</f>
        <v/>
      </c>
      <c r="AA302" s="297" t="str">
        <f>IF(ISBLANK(U302),"",VLOOKUP(U302,'Adjustment factors'!$R$27:$S$30,2,TRUE))</f>
        <v/>
      </c>
      <c r="AB302" s="480">
        <f t="shared" si="382"/>
        <v>1</v>
      </c>
      <c r="AC302" s="18" t="b">
        <f t="shared" si="339"/>
        <v>0</v>
      </c>
      <c r="AD302" s="18" t="b">
        <f t="shared" si="340"/>
        <v>0</v>
      </c>
      <c r="AE302" s="18" t="b">
        <f t="shared" si="404"/>
        <v>0</v>
      </c>
      <c r="AF302" s="17" t="str">
        <f t="shared" si="341"/>
        <v/>
      </c>
      <c r="AG302" s="18" t="str">
        <f t="shared" si="342"/>
        <v/>
      </c>
      <c r="AH302" s="17" t="str">
        <f t="shared" si="405"/>
        <v/>
      </c>
      <c r="AI302" s="297" t="e">
        <f t="shared" si="383"/>
        <v>#VALUE!</v>
      </c>
      <c r="AJ302" s="79" t="e">
        <f t="shared" si="343"/>
        <v>#VALUE!</v>
      </c>
      <c r="AK302" s="17" t="str">
        <f t="shared" si="406"/>
        <v/>
      </c>
      <c r="AL302" s="80" t="e">
        <f t="shared" si="344"/>
        <v>#VALUE!</v>
      </c>
      <c r="AM302" s="139" t="b">
        <f t="shared" si="345"/>
        <v>1</v>
      </c>
      <c r="AN302" s="139" t="b">
        <f>AND(COUNTA(E302)&gt;0,ISNUMBER(F302),OR(COUNT(G302:H302)=0,COUNT(G302:H302)=2,AND(ISNUMBER(G302),ISNUMBER(VALUE(LEFT(H302,SUM(LEN(H302)-LEN(SUBSTITUTE(H302,{"0","1","2","3","4","5","6","7","8","9","."},"")))))))),ISNUMBER(I302),ISTEXT(J302))</f>
        <v>0</v>
      </c>
      <c r="AO302" s="19" t="b">
        <f t="shared" si="346"/>
        <v>0</v>
      </c>
      <c r="AP302" s="19" t="b">
        <f t="shared" si="347"/>
        <v>1</v>
      </c>
      <c r="AQ302" s="19" t="b">
        <f>IF(AND(COUNTBLANK(E302:J302)=6,OR(AN303:AN$523)),NOT(AN302))</f>
        <v>0</v>
      </c>
      <c r="AR302" s="19" t="str">
        <f t="shared" si="348"/>
        <v/>
      </c>
      <c r="AS302" s="19" t="b">
        <f t="shared" si="349"/>
        <v>1</v>
      </c>
      <c r="AT302" s="19" t="str">
        <f t="shared" si="350"/>
        <v/>
      </c>
      <c r="AU302" s="19" t="b">
        <f t="shared" si="351"/>
        <v>1</v>
      </c>
      <c r="AV302" s="140" t="str">
        <f t="shared" si="388"/>
        <v/>
      </c>
      <c r="AW302" s="19" t="str">
        <f t="shared" si="352"/>
        <v/>
      </c>
      <c r="AX302" s="81">
        <f t="shared" si="353"/>
        <v>0</v>
      </c>
      <c r="AY302" s="81" t="str">
        <f t="shared" si="354"/>
        <v/>
      </c>
      <c r="AZ302" s="307" t="str">
        <f t="shared" si="384"/>
        <v/>
      </c>
      <c r="BA302" s="281" t="str">
        <f t="shared" si="389"/>
        <v/>
      </c>
      <c r="BB302" s="281" t="str">
        <f t="shared" si="390"/>
        <v/>
      </c>
      <c r="BC302" s="953"/>
      <c r="BD302" s="955"/>
      <c r="BE302" s="219" t="str">
        <f t="shared" si="355"/>
        <v>n/a</v>
      </c>
      <c r="BF302" s="215" t="b">
        <f t="shared" si="356"/>
        <v>0</v>
      </c>
      <c r="BG302" s="145" t="b">
        <f t="shared" si="357"/>
        <v>0</v>
      </c>
      <c r="BH302" s="145" t="b">
        <f t="shared" si="358"/>
        <v>0</v>
      </c>
      <c r="BI302" s="216" t="b">
        <f t="shared" si="359"/>
        <v>0</v>
      </c>
      <c r="BJ302" s="215" t="b">
        <f t="shared" si="360"/>
        <v>0</v>
      </c>
      <c r="BK302" s="145" t="b">
        <f t="shared" si="361"/>
        <v>0</v>
      </c>
      <c r="BL302" s="216" t="b">
        <f t="shared" si="362"/>
        <v>0</v>
      </c>
      <c r="BM302" s="217" t="str">
        <f t="shared" si="391"/>
        <v/>
      </c>
      <c r="BN302" s="146" t="str">
        <f t="shared" si="392"/>
        <v/>
      </c>
      <c r="BO302" s="147" t="str">
        <f t="shared" si="393"/>
        <v/>
      </c>
      <c r="BP302" s="148" t="str">
        <f t="shared" si="394"/>
        <v/>
      </c>
      <c r="BT302" s="50">
        <f t="shared" si="337"/>
        <v>279</v>
      </c>
      <c r="BU302" s="50" t="str">
        <f t="shared" si="409"/>
        <v>-</v>
      </c>
      <c r="BW302" s="340"/>
      <c r="BX302" s="333"/>
      <c r="BY302" s="333"/>
      <c r="BZ302" s="333"/>
      <c r="CA302" s="333"/>
      <c r="CB302" s="333"/>
      <c r="CC302" s="333"/>
      <c r="CD302" s="333"/>
      <c r="CE302" s="333"/>
      <c r="CF302" s="333"/>
      <c r="CG302" s="354">
        <f t="shared" si="363"/>
        <v>279</v>
      </c>
      <c r="CH302" s="613">
        <f t="shared" si="364"/>
        <v>0</v>
      </c>
      <c r="CI302" s="613">
        <f t="shared" si="365"/>
        <v>0</v>
      </c>
      <c r="CJ302" s="614" t="str">
        <f t="shared" si="366"/>
        <v/>
      </c>
      <c r="CK302" s="615" t="str">
        <f t="shared" si="367"/>
        <v/>
      </c>
      <c r="CL302" s="610" t="str">
        <f>IF(ISBLANK(H302),"",IF(AND(ISNUMBER(F302),ISNUMBER(G302),ISNUMBER(H302)),ROUND(F302/(H302*G302),2),ROUND(F302/(VALUE(LEFT(H302,SUM(LEN(H302)-LEN(SUBSTITUTE(H302,{"0","1","2","3","4","5","6","7","8","9","."},"")))))*G302),2)))</f>
        <v/>
      </c>
      <c r="CM302" s="616" t="str">
        <f t="shared" si="395"/>
        <v/>
      </c>
      <c r="CN302" s="616" t="str">
        <f>IF(ISNUMBER(P302),MAX('Adjustment factors'!$S$16,(0.2+0.8*P302)),IF(ISTEXT(N302),VLOOKUP(N302,Afactors,2,FALSE),""))</f>
        <v/>
      </c>
      <c r="CO302" s="616" t="str">
        <f>IF(ISNUMBER(S302),MAX('Adjustment factors'!$S$16,0.2+0.8*S302),IF(ISTEXT(Q302),VLOOKUP(Q302,Afactors,2,FALSE),""))</f>
        <v/>
      </c>
      <c r="CP302" s="611" t="str">
        <f t="shared" si="385"/>
        <v/>
      </c>
      <c r="CQ302" s="612" t="str">
        <f t="shared" si="386"/>
        <v/>
      </c>
      <c r="CR302" s="340"/>
      <c r="CS302" s="340"/>
      <c r="CT302" s="340"/>
      <c r="CU302" s="340"/>
      <c r="CV302" s="333"/>
      <c r="CW302" s="333"/>
      <c r="CX302" s="333"/>
      <c r="CY302" s="333"/>
      <c r="DA302" s="313" t="str">
        <f t="shared" si="368"/>
        <v>OK</v>
      </c>
      <c r="DB302" s="313" t="str">
        <f t="shared" si="369"/>
        <v>OK</v>
      </c>
      <c r="DC302" s="313" t="str">
        <f t="shared" si="370"/>
        <v>OK</v>
      </c>
      <c r="DD302" s="313" t="str">
        <f t="shared" si="371"/>
        <v>OK</v>
      </c>
      <c r="DE302" s="153" t="str">
        <f t="shared" si="372"/>
        <v>OK</v>
      </c>
      <c r="DF302" s="314" t="str">
        <f t="shared" si="373"/>
        <v>OK</v>
      </c>
      <c r="DG302" s="482" t="str">
        <f t="shared" si="387"/>
        <v>OK</v>
      </c>
      <c r="DH302" s="482" t="str">
        <f>IF(OR(AND(T302='Adjustment factors'!$R$28,'Class 3, 5-9'!U302='Adjustment factors'!$R$29),AND('Class 3, 5-9'!T302='Adjustment factors'!$R$29,'Class 3, 5-9'!U302='Adjustment factors'!$R$28)),"Invalid combination of adjustment factors",IF(AND(T302=U302,NOT(ISBLANK(T302)),NOT(ISBLANK(U302))),"Same colour factor selected twice","OK"))</f>
        <v>OK</v>
      </c>
      <c r="DI302" s="313" t="str">
        <f t="shared" si="374"/>
        <v>OK</v>
      </c>
      <c r="DJ302" s="153" t="str">
        <f t="shared" si="396"/>
        <v>OK</v>
      </c>
      <c r="DK302" s="153" t="str">
        <f t="shared" si="375"/>
        <v>OK</v>
      </c>
      <c r="DL302" s="313" t="str">
        <f t="shared" si="376"/>
        <v>OK</v>
      </c>
      <c r="DM302" s="153" t="str">
        <f t="shared" si="377"/>
        <v>OK</v>
      </c>
      <c r="DN302" s="153" t="str">
        <f t="shared" si="397"/>
        <v>OK</v>
      </c>
      <c r="DO302" s="154" t="str">
        <f t="shared" si="398"/>
        <v>OK</v>
      </c>
      <c r="DP302" s="153" t="str">
        <f t="shared" si="378"/>
        <v>OK</v>
      </c>
      <c r="DQ302" s="313" t="str">
        <f t="shared" si="379"/>
        <v>OK</v>
      </c>
      <c r="DR302" s="153" t="str">
        <f t="shared" si="399"/>
        <v>OK</v>
      </c>
      <c r="DS302" s="153" t="str">
        <f t="shared" si="380"/>
        <v>OK</v>
      </c>
      <c r="DT302" s="313" t="str">
        <f t="shared" si="338"/>
        <v>OK</v>
      </c>
      <c r="DU302" s="153" t="str">
        <f t="shared" si="381"/>
        <v>OK</v>
      </c>
      <c r="DV302" s="153" t="str">
        <f t="shared" si="400"/>
        <v>OK</v>
      </c>
      <c r="DW302" s="154" t="str">
        <f t="shared" si="401"/>
        <v>OK</v>
      </c>
      <c r="DX302" s="157">
        <f t="shared" si="402"/>
        <v>0</v>
      </c>
      <c r="DY302" s="156" t="str">
        <f t="shared" si="403"/>
        <v>OK</v>
      </c>
    </row>
    <row r="303" spans="1:129" ht="13" hidden="1" x14ac:dyDescent="0.3">
      <c r="A303" s="333"/>
      <c r="B303" s="333"/>
      <c r="C303" s="332" t="str">
        <f t="shared" si="410"/>
        <v>-</v>
      </c>
      <c r="D303" s="584">
        <f t="shared" si="336"/>
        <v>280</v>
      </c>
      <c r="E303" s="585"/>
      <c r="F303" s="586"/>
      <c r="G303" s="600"/>
      <c r="H303" s="587"/>
      <c r="I303" s="601"/>
      <c r="J303" s="585"/>
      <c r="K303" s="617"/>
      <c r="L303" s="602"/>
      <c r="M303" s="603"/>
      <c r="N303" s="588"/>
      <c r="O303" s="604"/>
      <c r="P303" s="605"/>
      <c r="Q303" s="588"/>
      <c r="R303" s="604"/>
      <c r="S303" s="605"/>
      <c r="T303" s="606"/>
      <c r="U303" s="606"/>
      <c r="V303" s="429" t="str">
        <f t="shared" si="408"/>
        <v/>
      </c>
      <c r="W303" s="430" t="str">
        <f t="shared" si="407"/>
        <v/>
      </c>
      <c r="X303" s="66" t="str">
        <f>IF(AND(ISNUMBER(P303),N303=FixedDim),MAX('Adjustment factors'!$S$16,0.2+0.8*P303),IF(ISTEXT(N303),VLOOKUP(N303,Afactors,2,TRUE),""))</f>
        <v/>
      </c>
      <c r="Y303" s="17" t="str">
        <f>IF(AND(ISNUMBER(S303),Q303=FixedDim),MAX('Adjustment factors'!$S$16,0.2+0.8*S303),IF(ISTEXT(Q303),VLOOKUP(Q303,Afactors,2,TRUE),""))</f>
        <v/>
      </c>
      <c r="Z303" s="297" t="str">
        <f>IF(ISBLANK(T303),"",VLOOKUP(T303,'Adjustment factors'!$R$27:$S$30,2,TRUE))</f>
        <v/>
      </c>
      <c r="AA303" s="297" t="str">
        <f>IF(ISBLANK(U303),"",VLOOKUP(U303,'Adjustment factors'!$R$27:$S$30,2,TRUE))</f>
        <v/>
      </c>
      <c r="AB303" s="480">
        <f t="shared" si="382"/>
        <v>1</v>
      </c>
      <c r="AC303" s="18" t="b">
        <f t="shared" si="339"/>
        <v>0</v>
      </c>
      <c r="AD303" s="18" t="b">
        <f t="shared" si="340"/>
        <v>0</v>
      </c>
      <c r="AE303" s="18" t="b">
        <f t="shared" si="404"/>
        <v>0</v>
      </c>
      <c r="AF303" s="17" t="str">
        <f t="shared" si="341"/>
        <v/>
      </c>
      <c r="AG303" s="18" t="str">
        <f t="shared" si="342"/>
        <v/>
      </c>
      <c r="AH303" s="17" t="str">
        <f t="shared" si="405"/>
        <v/>
      </c>
      <c r="AI303" s="297" t="e">
        <f t="shared" si="383"/>
        <v>#VALUE!</v>
      </c>
      <c r="AJ303" s="79" t="e">
        <f t="shared" si="343"/>
        <v>#VALUE!</v>
      </c>
      <c r="AK303" s="17" t="str">
        <f t="shared" si="406"/>
        <v/>
      </c>
      <c r="AL303" s="80" t="e">
        <f t="shared" si="344"/>
        <v>#VALUE!</v>
      </c>
      <c r="AM303" s="139" t="b">
        <f t="shared" si="345"/>
        <v>1</v>
      </c>
      <c r="AN303" s="139" t="b">
        <f>AND(COUNTA(E303)&gt;0,ISNUMBER(F303),OR(COUNT(G303:H303)=0,COUNT(G303:H303)=2,AND(ISNUMBER(G303),ISNUMBER(VALUE(LEFT(H303,SUM(LEN(H303)-LEN(SUBSTITUTE(H303,{"0","1","2","3","4","5","6","7","8","9","."},"")))))))),ISNUMBER(I303),ISTEXT(J303))</f>
        <v>0</v>
      </c>
      <c r="AO303" s="19" t="b">
        <f t="shared" si="346"/>
        <v>0</v>
      </c>
      <c r="AP303" s="19" t="b">
        <f t="shared" si="347"/>
        <v>1</v>
      </c>
      <c r="AQ303" s="19" t="b">
        <f>IF(AND(COUNTBLANK(E303:J303)=6,OR(AN304:AN$523)),NOT(AN303))</f>
        <v>0</v>
      </c>
      <c r="AR303" s="19" t="str">
        <f t="shared" si="348"/>
        <v/>
      </c>
      <c r="AS303" s="19" t="b">
        <f t="shared" si="349"/>
        <v>1</v>
      </c>
      <c r="AT303" s="19" t="str">
        <f t="shared" si="350"/>
        <v/>
      </c>
      <c r="AU303" s="19" t="b">
        <f t="shared" si="351"/>
        <v>1</v>
      </c>
      <c r="AV303" s="140" t="str">
        <f t="shared" si="388"/>
        <v/>
      </c>
      <c r="AW303" s="19" t="str">
        <f t="shared" si="352"/>
        <v/>
      </c>
      <c r="AX303" s="81">
        <f t="shared" si="353"/>
        <v>0</v>
      </c>
      <c r="AY303" s="81" t="str">
        <f t="shared" si="354"/>
        <v/>
      </c>
      <c r="AZ303" s="307" t="str">
        <f t="shared" si="384"/>
        <v/>
      </c>
      <c r="BA303" s="281" t="str">
        <f t="shared" si="389"/>
        <v/>
      </c>
      <c r="BB303" s="281" t="str">
        <f t="shared" si="390"/>
        <v/>
      </c>
      <c r="BC303" s="953"/>
      <c r="BD303" s="955"/>
      <c r="BE303" s="219" t="str">
        <f t="shared" si="355"/>
        <v>n/a</v>
      </c>
      <c r="BF303" s="215" t="b">
        <f t="shared" si="356"/>
        <v>0</v>
      </c>
      <c r="BG303" s="145" t="b">
        <f t="shared" si="357"/>
        <v>0</v>
      </c>
      <c r="BH303" s="145" t="b">
        <f t="shared" si="358"/>
        <v>0</v>
      </c>
      <c r="BI303" s="216" t="b">
        <f t="shared" si="359"/>
        <v>0</v>
      </c>
      <c r="BJ303" s="215" t="b">
        <f t="shared" si="360"/>
        <v>0</v>
      </c>
      <c r="BK303" s="145" t="b">
        <f t="shared" si="361"/>
        <v>0</v>
      </c>
      <c r="BL303" s="216" t="b">
        <f t="shared" si="362"/>
        <v>0</v>
      </c>
      <c r="BM303" s="217" t="str">
        <f t="shared" si="391"/>
        <v/>
      </c>
      <c r="BN303" s="146" t="str">
        <f t="shared" si="392"/>
        <v/>
      </c>
      <c r="BO303" s="147" t="str">
        <f t="shared" si="393"/>
        <v/>
      </c>
      <c r="BP303" s="148" t="str">
        <f t="shared" si="394"/>
        <v/>
      </c>
      <c r="BT303" s="50">
        <f t="shared" si="337"/>
        <v>280</v>
      </c>
      <c r="BU303" s="50" t="str">
        <f t="shared" si="409"/>
        <v>-</v>
      </c>
      <c r="BW303" s="340"/>
      <c r="BX303" s="333"/>
      <c r="BY303" s="333"/>
      <c r="BZ303" s="333"/>
      <c r="CA303" s="333"/>
      <c r="CB303" s="333"/>
      <c r="CC303" s="333"/>
      <c r="CD303" s="333"/>
      <c r="CE303" s="333"/>
      <c r="CF303" s="333"/>
      <c r="CG303" s="354">
        <f t="shared" si="363"/>
        <v>280</v>
      </c>
      <c r="CH303" s="613">
        <f t="shared" si="364"/>
        <v>0</v>
      </c>
      <c r="CI303" s="613">
        <f t="shared" si="365"/>
        <v>0</v>
      </c>
      <c r="CJ303" s="614" t="str">
        <f t="shared" si="366"/>
        <v/>
      </c>
      <c r="CK303" s="615" t="str">
        <f t="shared" si="367"/>
        <v/>
      </c>
      <c r="CL303" s="610" t="str">
        <f>IF(ISBLANK(H303),"",IF(AND(ISNUMBER(F303),ISNUMBER(G303),ISNUMBER(H303)),ROUND(F303/(H303*G303),2),ROUND(F303/(VALUE(LEFT(H303,SUM(LEN(H303)-LEN(SUBSTITUTE(H303,{"0","1","2","3","4","5","6","7","8","9","."},"")))))*G303),2)))</f>
        <v/>
      </c>
      <c r="CM303" s="616" t="str">
        <f t="shared" si="395"/>
        <v/>
      </c>
      <c r="CN303" s="616" t="str">
        <f>IF(ISNUMBER(P303),MAX('Adjustment factors'!$S$16,(0.2+0.8*P303)),IF(ISTEXT(N303),VLOOKUP(N303,Afactors,2,FALSE),""))</f>
        <v/>
      </c>
      <c r="CO303" s="616" t="str">
        <f>IF(ISNUMBER(S303),MAX('Adjustment factors'!$S$16,0.2+0.8*S303),IF(ISTEXT(Q303),VLOOKUP(Q303,Afactors,2,FALSE),""))</f>
        <v/>
      </c>
      <c r="CP303" s="611" t="str">
        <f t="shared" si="385"/>
        <v/>
      </c>
      <c r="CQ303" s="612" t="str">
        <f t="shared" si="386"/>
        <v/>
      </c>
      <c r="CR303" s="340"/>
      <c r="CS303" s="340"/>
      <c r="CT303" s="340"/>
      <c r="CU303" s="340"/>
      <c r="CV303" s="333"/>
      <c r="CW303" s="333"/>
      <c r="CX303" s="333"/>
      <c r="CY303" s="333"/>
      <c r="DA303" s="313" t="str">
        <f t="shared" si="368"/>
        <v>OK</v>
      </c>
      <c r="DB303" s="313" t="str">
        <f t="shared" si="369"/>
        <v>OK</v>
      </c>
      <c r="DC303" s="313" t="str">
        <f t="shared" si="370"/>
        <v>OK</v>
      </c>
      <c r="DD303" s="313" t="str">
        <f t="shared" si="371"/>
        <v>OK</v>
      </c>
      <c r="DE303" s="153" t="str">
        <f t="shared" si="372"/>
        <v>OK</v>
      </c>
      <c r="DF303" s="314" t="str">
        <f t="shared" si="373"/>
        <v>OK</v>
      </c>
      <c r="DG303" s="482" t="str">
        <f t="shared" si="387"/>
        <v>OK</v>
      </c>
      <c r="DH303" s="482" t="str">
        <f>IF(OR(AND(T303='Adjustment factors'!$R$28,'Class 3, 5-9'!U303='Adjustment factors'!$R$29),AND('Class 3, 5-9'!T303='Adjustment factors'!$R$29,'Class 3, 5-9'!U303='Adjustment factors'!$R$28)),"Invalid combination of adjustment factors",IF(AND(T303=U303,NOT(ISBLANK(T303)),NOT(ISBLANK(U303))),"Same colour factor selected twice","OK"))</f>
        <v>OK</v>
      </c>
      <c r="DI303" s="313" t="str">
        <f t="shared" si="374"/>
        <v>OK</v>
      </c>
      <c r="DJ303" s="153" t="str">
        <f t="shared" si="396"/>
        <v>OK</v>
      </c>
      <c r="DK303" s="153" t="str">
        <f t="shared" si="375"/>
        <v>OK</v>
      </c>
      <c r="DL303" s="313" t="str">
        <f t="shared" si="376"/>
        <v>OK</v>
      </c>
      <c r="DM303" s="153" t="str">
        <f t="shared" si="377"/>
        <v>OK</v>
      </c>
      <c r="DN303" s="153" t="str">
        <f t="shared" si="397"/>
        <v>OK</v>
      </c>
      <c r="DO303" s="154" t="str">
        <f t="shared" si="398"/>
        <v>OK</v>
      </c>
      <c r="DP303" s="153" t="str">
        <f t="shared" si="378"/>
        <v>OK</v>
      </c>
      <c r="DQ303" s="313" t="str">
        <f t="shared" si="379"/>
        <v>OK</v>
      </c>
      <c r="DR303" s="153" t="str">
        <f t="shared" si="399"/>
        <v>OK</v>
      </c>
      <c r="DS303" s="153" t="str">
        <f t="shared" si="380"/>
        <v>OK</v>
      </c>
      <c r="DT303" s="313" t="str">
        <f t="shared" ref="DT303:DT323" si="411">IF(AND(ISNUMBER(S303),Q303&lt;&gt;FixedDim),"Select fixed dimming with an illuminance factor","OK")</f>
        <v>OK</v>
      </c>
      <c r="DU303" s="153" t="str">
        <f t="shared" si="381"/>
        <v>OK</v>
      </c>
      <c r="DV303" s="153" t="str">
        <f t="shared" si="400"/>
        <v>OK</v>
      </c>
      <c r="DW303" s="154" t="str">
        <f t="shared" si="401"/>
        <v>OK</v>
      </c>
      <c r="DX303" s="157">
        <f t="shared" si="402"/>
        <v>0</v>
      </c>
      <c r="DY303" s="156" t="str">
        <f t="shared" si="403"/>
        <v>OK</v>
      </c>
    </row>
    <row r="304" spans="1:129" ht="13" hidden="1" x14ac:dyDescent="0.3">
      <c r="A304" s="333"/>
      <c r="B304" s="333"/>
      <c r="C304" s="332" t="str">
        <f t="shared" si="410"/>
        <v>-</v>
      </c>
      <c r="D304" s="584">
        <f t="shared" si="336"/>
        <v>281</v>
      </c>
      <c r="E304" s="585"/>
      <c r="F304" s="586"/>
      <c r="G304" s="600"/>
      <c r="H304" s="587"/>
      <c r="I304" s="601"/>
      <c r="J304" s="585"/>
      <c r="K304" s="617"/>
      <c r="L304" s="602"/>
      <c r="M304" s="603"/>
      <c r="N304" s="588"/>
      <c r="O304" s="604"/>
      <c r="P304" s="605"/>
      <c r="Q304" s="588"/>
      <c r="R304" s="604"/>
      <c r="S304" s="605"/>
      <c r="T304" s="606"/>
      <c r="U304" s="606"/>
      <c r="V304" s="429" t="str">
        <f t="shared" si="408"/>
        <v/>
      </c>
      <c r="W304" s="430" t="str">
        <f t="shared" si="407"/>
        <v/>
      </c>
      <c r="X304" s="66" t="str">
        <f>IF(AND(ISNUMBER(P304),N304=FixedDim),MAX('Adjustment factors'!$S$16,0.2+0.8*P304),IF(ISTEXT(N304),VLOOKUP(N304,Afactors,2,TRUE),""))</f>
        <v/>
      </c>
      <c r="Y304" s="17" t="str">
        <f>IF(AND(ISNUMBER(S304),Q304=FixedDim),MAX('Adjustment factors'!$S$16,0.2+0.8*S304),IF(ISTEXT(Q304),VLOOKUP(Q304,Afactors,2,TRUE),""))</f>
        <v/>
      </c>
      <c r="Z304" s="297" t="str">
        <f>IF(ISBLANK(T304),"",VLOOKUP(T304,'Adjustment factors'!$R$27:$S$30,2,TRUE))</f>
        <v/>
      </c>
      <c r="AA304" s="297" t="str">
        <f>IF(ISBLANK(U304),"",VLOOKUP(U304,'Adjustment factors'!$R$27:$S$30,2,TRUE))</f>
        <v/>
      </c>
      <c r="AB304" s="480">
        <f t="shared" si="382"/>
        <v>1</v>
      </c>
      <c r="AC304" s="18" t="b">
        <f t="shared" si="339"/>
        <v>0</v>
      </c>
      <c r="AD304" s="18" t="b">
        <f t="shared" si="340"/>
        <v>0</v>
      </c>
      <c r="AE304" s="18" t="b">
        <f t="shared" si="404"/>
        <v>0</v>
      </c>
      <c r="AF304" s="17" t="str">
        <f t="shared" si="341"/>
        <v/>
      </c>
      <c r="AG304" s="18" t="str">
        <f t="shared" si="342"/>
        <v/>
      </c>
      <c r="AH304" s="17" t="str">
        <f t="shared" si="405"/>
        <v/>
      </c>
      <c r="AI304" s="297" t="e">
        <f t="shared" si="383"/>
        <v>#VALUE!</v>
      </c>
      <c r="AJ304" s="79" t="e">
        <f t="shared" si="343"/>
        <v>#VALUE!</v>
      </c>
      <c r="AK304" s="17" t="str">
        <f t="shared" si="406"/>
        <v/>
      </c>
      <c r="AL304" s="80" t="e">
        <f t="shared" si="344"/>
        <v>#VALUE!</v>
      </c>
      <c r="AM304" s="139" t="b">
        <f t="shared" si="345"/>
        <v>1</v>
      </c>
      <c r="AN304" s="139" t="b">
        <f>AND(COUNTA(E304)&gt;0,ISNUMBER(F304),OR(COUNT(G304:H304)=0,COUNT(G304:H304)=2,AND(ISNUMBER(G304),ISNUMBER(VALUE(LEFT(H304,SUM(LEN(H304)-LEN(SUBSTITUTE(H304,{"0","1","2","3","4","5","6","7","8","9","."},"")))))))),ISNUMBER(I304),ISTEXT(J304))</f>
        <v>0</v>
      </c>
      <c r="AO304" s="19" t="b">
        <f t="shared" si="346"/>
        <v>0</v>
      </c>
      <c r="AP304" s="19" t="b">
        <f t="shared" si="347"/>
        <v>1</v>
      </c>
      <c r="AQ304" s="19" t="b">
        <f>IF(AND(COUNTBLANK(E304:J304)=6,OR(AN305:AN$523)),NOT(AN304))</f>
        <v>0</v>
      </c>
      <c r="AR304" s="19" t="str">
        <f t="shared" si="348"/>
        <v/>
      </c>
      <c r="AS304" s="19" t="b">
        <f t="shared" si="349"/>
        <v>1</v>
      </c>
      <c r="AT304" s="19" t="str">
        <f t="shared" si="350"/>
        <v/>
      </c>
      <c r="AU304" s="19" t="b">
        <f t="shared" si="351"/>
        <v>1</v>
      </c>
      <c r="AV304" s="140" t="str">
        <f t="shared" si="388"/>
        <v/>
      </c>
      <c r="AW304" s="19" t="str">
        <f t="shared" si="352"/>
        <v/>
      </c>
      <c r="AX304" s="81">
        <f t="shared" si="353"/>
        <v>0</v>
      </c>
      <c r="AY304" s="81" t="str">
        <f t="shared" si="354"/>
        <v/>
      </c>
      <c r="AZ304" s="307" t="str">
        <f t="shared" si="384"/>
        <v/>
      </c>
      <c r="BA304" s="281" t="str">
        <f t="shared" si="389"/>
        <v/>
      </c>
      <c r="BB304" s="281" t="str">
        <f t="shared" si="390"/>
        <v/>
      </c>
      <c r="BC304" s="953"/>
      <c r="BD304" s="955"/>
      <c r="BE304" s="219" t="str">
        <f t="shared" si="355"/>
        <v>n/a</v>
      </c>
      <c r="BF304" s="215" t="b">
        <f t="shared" si="356"/>
        <v>0</v>
      </c>
      <c r="BG304" s="145" t="b">
        <f t="shared" si="357"/>
        <v>0</v>
      </c>
      <c r="BH304" s="145" t="b">
        <f t="shared" si="358"/>
        <v>0</v>
      </c>
      <c r="BI304" s="216" t="b">
        <f t="shared" si="359"/>
        <v>0</v>
      </c>
      <c r="BJ304" s="215" t="b">
        <f t="shared" si="360"/>
        <v>0</v>
      </c>
      <c r="BK304" s="145" t="b">
        <f t="shared" si="361"/>
        <v>0</v>
      </c>
      <c r="BL304" s="216" t="b">
        <f t="shared" si="362"/>
        <v>0</v>
      </c>
      <c r="BM304" s="217" t="str">
        <f t="shared" si="391"/>
        <v/>
      </c>
      <c r="BN304" s="146" t="str">
        <f t="shared" si="392"/>
        <v/>
      </c>
      <c r="BO304" s="147" t="str">
        <f t="shared" si="393"/>
        <v/>
      </c>
      <c r="BP304" s="148" t="str">
        <f t="shared" si="394"/>
        <v/>
      </c>
      <c r="BT304" s="50">
        <f t="shared" si="337"/>
        <v>281</v>
      </c>
      <c r="BU304" s="50" t="str">
        <f t="shared" si="409"/>
        <v>-</v>
      </c>
      <c r="BW304" s="340"/>
      <c r="BX304" s="333"/>
      <c r="BY304" s="333"/>
      <c r="BZ304" s="333"/>
      <c r="CA304" s="333"/>
      <c r="CB304" s="333"/>
      <c r="CC304" s="333"/>
      <c r="CD304" s="333"/>
      <c r="CE304" s="333"/>
      <c r="CF304" s="333"/>
      <c r="CG304" s="354">
        <f t="shared" si="363"/>
        <v>281</v>
      </c>
      <c r="CH304" s="613">
        <f t="shared" si="364"/>
        <v>0</v>
      </c>
      <c r="CI304" s="613">
        <f t="shared" si="365"/>
        <v>0</v>
      </c>
      <c r="CJ304" s="614" t="str">
        <f t="shared" si="366"/>
        <v/>
      </c>
      <c r="CK304" s="615" t="str">
        <f t="shared" si="367"/>
        <v/>
      </c>
      <c r="CL304" s="610" t="str">
        <f>IF(ISBLANK(H304),"",IF(AND(ISNUMBER(F304),ISNUMBER(G304),ISNUMBER(H304)),ROUND(F304/(H304*G304),2),ROUND(F304/(VALUE(LEFT(H304,SUM(LEN(H304)-LEN(SUBSTITUTE(H304,{"0","1","2","3","4","5","6","7","8","9","."},"")))))*G304),2)))</f>
        <v/>
      </c>
      <c r="CM304" s="616" t="str">
        <f t="shared" si="395"/>
        <v/>
      </c>
      <c r="CN304" s="616" t="str">
        <f>IF(ISNUMBER(P304),MAX('Adjustment factors'!$S$16,(0.2+0.8*P304)),IF(ISTEXT(N304),VLOOKUP(N304,Afactors,2,FALSE),""))</f>
        <v/>
      </c>
      <c r="CO304" s="616" t="str">
        <f>IF(ISNUMBER(S304),MAX('Adjustment factors'!$S$16,0.2+0.8*S304),IF(ISTEXT(Q304),VLOOKUP(Q304,Afactors,2,FALSE),""))</f>
        <v/>
      </c>
      <c r="CP304" s="611" t="str">
        <f t="shared" si="385"/>
        <v/>
      </c>
      <c r="CQ304" s="612" t="str">
        <f t="shared" si="386"/>
        <v/>
      </c>
      <c r="CR304" s="340"/>
      <c r="CS304" s="340"/>
      <c r="CT304" s="340"/>
      <c r="CU304" s="340"/>
      <c r="CV304" s="333"/>
      <c r="CW304" s="333"/>
      <c r="CX304" s="333"/>
      <c r="CY304" s="333"/>
      <c r="DA304" s="313" t="str">
        <f t="shared" si="368"/>
        <v>OK</v>
      </c>
      <c r="DB304" s="313" t="str">
        <f t="shared" si="369"/>
        <v>OK</v>
      </c>
      <c r="DC304" s="313" t="str">
        <f t="shared" si="370"/>
        <v>OK</v>
      </c>
      <c r="DD304" s="313" t="str">
        <f t="shared" si="371"/>
        <v>OK</v>
      </c>
      <c r="DE304" s="153" t="str">
        <f t="shared" si="372"/>
        <v>OK</v>
      </c>
      <c r="DF304" s="314" t="str">
        <f t="shared" si="373"/>
        <v>OK</v>
      </c>
      <c r="DG304" s="482" t="str">
        <f t="shared" si="387"/>
        <v>OK</v>
      </c>
      <c r="DH304" s="482" t="str">
        <f>IF(OR(AND(T304='Adjustment factors'!$R$28,'Class 3, 5-9'!U304='Adjustment factors'!$R$29),AND('Class 3, 5-9'!T304='Adjustment factors'!$R$29,'Class 3, 5-9'!U304='Adjustment factors'!$R$28)),"Invalid combination of adjustment factors",IF(AND(T304=U304,NOT(ISBLANK(T304)),NOT(ISBLANK(U304))),"Same colour factor selected twice","OK"))</f>
        <v>OK</v>
      </c>
      <c r="DI304" s="313" t="str">
        <f t="shared" si="374"/>
        <v>OK</v>
      </c>
      <c r="DJ304" s="153" t="str">
        <f t="shared" si="396"/>
        <v>OK</v>
      </c>
      <c r="DK304" s="153" t="str">
        <f t="shared" si="375"/>
        <v>OK</v>
      </c>
      <c r="DL304" s="313" t="str">
        <f t="shared" si="376"/>
        <v>OK</v>
      </c>
      <c r="DM304" s="153" t="str">
        <f t="shared" si="377"/>
        <v>OK</v>
      </c>
      <c r="DN304" s="153" t="str">
        <f t="shared" si="397"/>
        <v>OK</v>
      </c>
      <c r="DO304" s="154" t="str">
        <f t="shared" si="398"/>
        <v>OK</v>
      </c>
      <c r="DP304" s="153" t="str">
        <f t="shared" si="378"/>
        <v>OK</v>
      </c>
      <c r="DQ304" s="313" t="str">
        <f t="shared" si="379"/>
        <v>OK</v>
      </c>
      <c r="DR304" s="153" t="str">
        <f t="shared" si="399"/>
        <v>OK</v>
      </c>
      <c r="DS304" s="153" t="str">
        <f t="shared" si="380"/>
        <v>OK</v>
      </c>
      <c r="DT304" s="313" t="str">
        <f t="shared" si="411"/>
        <v>OK</v>
      </c>
      <c r="DU304" s="153" t="str">
        <f t="shared" si="381"/>
        <v>OK</v>
      </c>
      <c r="DV304" s="153" t="str">
        <f t="shared" si="400"/>
        <v>OK</v>
      </c>
      <c r="DW304" s="154" t="str">
        <f t="shared" si="401"/>
        <v>OK</v>
      </c>
      <c r="DX304" s="157">
        <f t="shared" si="402"/>
        <v>0</v>
      </c>
      <c r="DY304" s="156" t="str">
        <f t="shared" si="403"/>
        <v>OK</v>
      </c>
    </row>
    <row r="305" spans="1:129" ht="13" hidden="1" x14ac:dyDescent="0.3">
      <c r="A305" s="333"/>
      <c r="B305" s="333"/>
      <c r="C305" s="332" t="str">
        <f t="shared" si="410"/>
        <v>-</v>
      </c>
      <c r="D305" s="584">
        <f t="shared" si="336"/>
        <v>282</v>
      </c>
      <c r="E305" s="585"/>
      <c r="F305" s="586"/>
      <c r="G305" s="600"/>
      <c r="H305" s="587"/>
      <c r="I305" s="601"/>
      <c r="J305" s="585"/>
      <c r="K305" s="617"/>
      <c r="L305" s="602"/>
      <c r="M305" s="603"/>
      <c r="N305" s="588"/>
      <c r="O305" s="604"/>
      <c r="P305" s="605"/>
      <c r="Q305" s="588"/>
      <c r="R305" s="604"/>
      <c r="S305" s="605"/>
      <c r="T305" s="606"/>
      <c r="U305" s="606"/>
      <c r="V305" s="429" t="str">
        <f t="shared" si="408"/>
        <v/>
      </c>
      <c r="W305" s="430" t="str">
        <f t="shared" si="407"/>
        <v/>
      </c>
      <c r="X305" s="66" t="str">
        <f>IF(AND(ISNUMBER(P305),N305=FixedDim),MAX('Adjustment factors'!$S$16,0.2+0.8*P305),IF(ISTEXT(N305),VLOOKUP(N305,Afactors,2,TRUE),""))</f>
        <v/>
      </c>
      <c r="Y305" s="17" t="str">
        <f>IF(AND(ISNUMBER(S305),Q305=FixedDim),MAX('Adjustment factors'!$S$16,0.2+0.8*S305),IF(ISTEXT(Q305),VLOOKUP(Q305,Afactors,2,TRUE),""))</f>
        <v/>
      </c>
      <c r="Z305" s="297" t="str">
        <f>IF(ISBLANK(T305),"",VLOOKUP(T305,'Adjustment factors'!$R$27:$S$30,2,TRUE))</f>
        <v/>
      </c>
      <c r="AA305" s="297" t="str">
        <f>IF(ISBLANK(U305),"",VLOOKUP(U305,'Adjustment factors'!$R$27:$S$30,2,TRUE))</f>
        <v/>
      </c>
      <c r="AB305" s="480">
        <f t="shared" si="382"/>
        <v>1</v>
      </c>
      <c r="AC305" s="18" t="b">
        <f t="shared" si="339"/>
        <v>0</v>
      </c>
      <c r="AD305" s="18" t="b">
        <f t="shared" si="340"/>
        <v>0</v>
      </c>
      <c r="AE305" s="18" t="b">
        <f t="shared" si="404"/>
        <v>0</v>
      </c>
      <c r="AF305" s="17" t="str">
        <f t="shared" si="341"/>
        <v/>
      </c>
      <c r="AG305" s="18" t="str">
        <f t="shared" si="342"/>
        <v/>
      </c>
      <c r="AH305" s="17" t="str">
        <f t="shared" si="405"/>
        <v/>
      </c>
      <c r="AI305" s="297" t="e">
        <f t="shared" si="383"/>
        <v>#VALUE!</v>
      </c>
      <c r="AJ305" s="79" t="e">
        <f t="shared" si="343"/>
        <v>#VALUE!</v>
      </c>
      <c r="AK305" s="17" t="str">
        <f t="shared" si="406"/>
        <v/>
      </c>
      <c r="AL305" s="80" t="e">
        <f t="shared" si="344"/>
        <v>#VALUE!</v>
      </c>
      <c r="AM305" s="139" t="b">
        <f t="shared" si="345"/>
        <v>1</v>
      </c>
      <c r="AN305" s="139" t="b">
        <f>AND(COUNTA(E305)&gt;0,ISNUMBER(F305),OR(COUNT(G305:H305)=0,COUNT(G305:H305)=2,AND(ISNUMBER(G305),ISNUMBER(VALUE(LEFT(H305,SUM(LEN(H305)-LEN(SUBSTITUTE(H305,{"0","1","2","3","4","5","6","7","8","9","."},"")))))))),ISNUMBER(I305),ISTEXT(J305))</f>
        <v>0</v>
      </c>
      <c r="AO305" s="19" t="b">
        <f t="shared" si="346"/>
        <v>0</v>
      </c>
      <c r="AP305" s="19" t="b">
        <f t="shared" si="347"/>
        <v>1</v>
      </c>
      <c r="AQ305" s="19" t="b">
        <f>IF(AND(COUNTBLANK(E305:J305)=6,OR(AN306:AN$523)),NOT(AN305))</f>
        <v>0</v>
      </c>
      <c r="AR305" s="19" t="str">
        <f t="shared" si="348"/>
        <v/>
      </c>
      <c r="AS305" s="19" t="b">
        <f t="shared" si="349"/>
        <v>1</v>
      </c>
      <c r="AT305" s="19" t="str">
        <f t="shared" si="350"/>
        <v/>
      </c>
      <c r="AU305" s="19" t="b">
        <f t="shared" si="351"/>
        <v>1</v>
      </c>
      <c r="AV305" s="140" t="str">
        <f t="shared" si="388"/>
        <v/>
      </c>
      <c r="AW305" s="19" t="str">
        <f t="shared" si="352"/>
        <v/>
      </c>
      <c r="AX305" s="81">
        <f t="shared" si="353"/>
        <v>0</v>
      </c>
      <c r="AY305" s="81" t="str">
        <f t="shared" si="354"/>
        <v/>
      </c>
      <c r="AZ305" s="307" t="str">
        <f t="shared" si="384"/>
        <v/>
      </c>
      <c r="BA305" s="281" t="str">
        <f t="shared" si="389"/>
        <v/>
      </c>
      <c r="BB305" s="281" t="str">
        <f t="shared" si="390"/>
        <v/>
      </c>
      <c r="BC305" s="953"/>
      <c r="BD305" s="955"/>
      <c r="BE305" s="219" t="str">
        <f t="shared" si="355"/>
        <v>n/a</v>
      </c>
      <c r="BF305" s="215" t="b">
        <f t="shared" si="356"/>
        <v>0</v>
      </c>
      <c r="BG305" s="145" t="b">
        <f t="shared" si="357"/>
        <v>0</v>
      </c>
      <c r="BH305" s="145" t="b">
        <f t="shared" si="358"/>
        <v>0</v>
      </c>
      <c r="BI305" s="216" t="b">
        <f t="shared" si="359"/>
        <v>0</v>
      </c>
      <c r="BJ305" s="215" t="b">
        <f t="shared" si="360"/>
        <v>0</v>
      </c>
      <c r="BK305" s="145" t="b">
        <f t="shared" si="361"/>
        <v>0</v>
      </c>
      <c r="BL305" s="216" t="b">
        <f t="shared" si="362"/>
        <v>0</v>
      </c>
      <c r="BM305" s="217" t="str">
        <f t="shared" si="391"/>
        <v/>
      </c>
      <c r="BN305" s="146" t="str">
        <f t="shared" si="392"/>
        <v/>
      </c>
      <c r="BO305" s="147" t="str">
        <f t="shared" si="393"/>
        <v/>
      </c>
      <c r="BP305" s="148" t="str">
        <f t="shared" si="394"/>
        <v/>
      </c>
      <c r="BT305" s="50">
        <f t="shared" si="337"/>
        <v>282</v>
      </c>
      <c r="BU305" s="50" t="str">
        <f t="shared" si="409"/>
        <v>-</v>
      </c>
      <c r="BW305" s="340"/>
      <c r="BX305" s="333"/>
      <c r="BY305" s="333"/>
      <c r="BZ305" s="333"/>
      <c r="CA305" s="333"/>
      <c r="CB305" s="333"/>
      <c r="CC305" s="333"/>
      <c r="CD305" s="333"/>
      <c r="CE305" s="333"/>
      <c r="CF305" s="333"/>
      <c r="CG305" s="354">
        <f t="shared" si="363"/>
        <v>282</v>
      </c>
      <c r="CH305" s="613">
        <f t="shared" si="364"/>
        <v>0</v>
      </c>
      <c r="CI305" s="613">
        <f t="shared" si="365"/>
        <v>0</v>
      </c>
      <c r="CJ305" s="614" t="str">
        <f t="shared" si="366"/>
        <v/>
      </c>
      <c r="CK305" s="615" t="str">
        <f t="shared" si="367"/>
        <v/>
      </c>
      <c r="CL305" s="610" t="str">
        <f>IF(ISBLANK(H305),"",IF(AND(ISNUMBER(F305),ISNUMBER(G305),ISNUMBER(H305)),ROUND(F305/(H305*G305),2),ROUND(F305/(VALUE(LEFT(H305,SUM(LEN(H305)-LEN(SUBSTITUTE(H305,{"0","1","2","3","4","5","6","7","8","9","."},"")))))*G305),2)))</f>
        <v/>
      </c>
      <c r="CM305" s="616" t="str">
        <f t="shared" si="395"/>
        <v/>
      </c>
      <c r="CN305" s="616" t="str">
        <f>IF(ISNUMBER(P305),MAX('Adjustment factors'!$S$16,(0.2+0.8*P305)),IF(ISTEXT(N305),VLOOKUP(N305,Afactors,2,FALSE),""))</f>
        <v/>
      </c>
      <c r="CO305" s="616" t="str">
        <f>IF(ISNUMBER(S305),MAX('Adjustment factors'!$S$16,0.2+0.8*S305),IF(ISTEXT(Q305),VLOOKUP(Q305,Afactors,2,FALSE),""))</f>
        <v/>
      </c>
      <c r="CP305" s="611" t="str">
        <f t="shared" si="385"/>
        <v/>
      </c>
      <c r="CQ305" s="612" t="str">
        <f t="shared" si="386"/>
        <v/>
      </c>
      <c r="CR305" s="340"/>
      <c r="CS305" s="340"/>
      <c r="CT305" s="340"/>
      <c r="CU305" s="340"/>
      <c r="CV305" s="333"/>
      <c r="CW305" s="333"/>
      <c r="CX305" s="333"/>
      <c r="CY305" s="333"/>
      <c r="DA305" s="313" t="str">
        <f t="shared" si="368"/>
        <v>OK</v>
      </c>
      <c r="DB305" s="313" t="str">
        <f t="shared" si="369"/>
        <v>OK</v>
      </c>
      <c r="DC305" s="313" t="str">
        <f t="shared" si="370"/>
        <v>OK</v>
      </c>
      <c r="DD305" s="313" t="str">
        <f t="shared" si="371"/>
        <v>OK</v>
      </c>
      <c r="DE305" s="153" t="str">
        <f t="shared" si="372"/>
        <v>OK</v>
      </c>
      <c r="DF305" s="314" t="str">
        <f t="shared" si="373"/>
        <v>OK</v>
      </c>
      <c r="DG305" s="482" t="str">
        <f t="shared" si="387"/>
        <v>OK</v>
      </c>
      <c r="DH305" s="482" t="str">
        <f>IF(OR(AND(T305='Adjustment factors'!$R$28,'Class 3, 5-9'!U305='Adjustment factors'!$R$29),AND('Class 3, 5-9'!T305='Adjustment factors'!$R$29,'Class 3, 5-9'!U305='Adjustment factors'!$R$28)),"Invalid combination of adjustment factors",IF(AND(T305=U305,NOT(ISBLANK(T305)),NOT(ISBLANK(U305))),"Same colour factor selected twice","OK"))</f>
        <v>OK</v>
      </c>
      <c r="DI305" s="313" t="str">
        <f t="shared" si="374"/>
        <v>OK</v>
      </c>
      <c r="DJ305" s="153" t="str">
        <f t="shared" si="396"/>
        <v>OK</v>
      </c>
      <c r="DK305" s="153" t="str">
        <f t="shared" si="375"/>
        <v>OK</v>
      </c>
      <c r="DL305" s="313" t="str">
        <f t="shared" si="376"/>
        <v>OK</v>
      </c>
      <c r="DM305" s="153" t="str">
        <f t="shared" si="377"/>
        <v>OK</v>
      </c>
      <c r="DN305" s="153" t="str">
        <f t="shared" si="397"/>
        <v>OK</v>
      </c>
      <c r="DO305" s="154" t="str">
        <f t="shared" si="398"/>
        <v>OK</v>
      </c>
      <c r="DP305" s="153" t="str">
        <f t="shared" si="378"/>
        <v>OK</v>
      </c>
      <c r="DQ305" s="313" t="str">
        <f t="shared" si="379"/>
        <v>OK</v>
      </c>
      <c r="DR305" s="153" t="str">
        <f t="shared" si="399"/>
        <v>OK</v>
      </c>
      <c r="DS305" s="153" t="str">
        <f t="shared" si="380"/>
        <v>OK</v>
      </c>
      <c r="DT305" s="313" t="str">
        <f t="shared" si="411"/>
        <v>OK</v>
      </c>
      <c r="DU305" s="153" t="str">
        <f t="shared" si="381"/>
        <v>OK</v>
      </c>
      <c r="DV305" s="153" t="str">
        <f t="shared" si="400"/>
        <v>OK</v>
      </c>
      <c r="DW305" s="154" t="str">
        <f t="shared" si="401"/>
        <v>OK</v>
      </c>
      <c r="DX305" s="157">
        <f t="shared" si="402"/>
        <v>0</v>
      </c>
      <c r="DY305" s="156" t="str">
        <f t="shared" si="403"/>
        <v>OK</v>
      </c>
    </row>
    <row r="306" spans="1:129" ht="13" hidden="1" x14ac:dyDescent="0.3">
      <c r="A306" s="333"/>
      <c r="B306" s="333"/>
      <c r="C306" s="332" t="str">
        <f t="shared" si="410"/>
        <v>-</v>
      </c>
      <c r="D306" s="584">
        <f t="shared" si="336"/>
        <v>283</v>
      </c>
      <c r="E306" s="585"/>
      <c r="F306" s="586"/>
      <c r="G306" s="600"/>
      <c r="H306" s="587"/>
      <c r="I306" s="601"/>
      <c r="J306" s="585"/>
      <c r="K306" s="617"/>
      <c r="L306" s="602"/>
      <c r="M306" s="603"/>
      <c r="N306" s="588"/>
      <c r="O306" s="604"/>
      <c r="P306" s="605"/>
      <c r="Q306" s="588"/>
      <c r="R306" s="604"/>
      <c r="S306" s="605"/>
      <c r="T306" s="606"/>
      <c r="U306" s="606"/>
      <c r="V306" s="429" t="str">
        <f t="shared" si="408"/>
        <v/>
      </c>
      <c r="W306" s="430" t="str">
        <f t="shared" si="407"/>
        <v/>
      </c>
      <c r="X306" s="66" t="str">
        <f>IF(AND(ISNUMBER(P306),N306=FixedDim),MAX('Adjustment factors'!$S$16,0.2+0.8*P306),IF(ISTEXT(N306),VLOOKUP(N306,Afactors,2,TRUE),""))</f>
        <v/>
      </c>
      <c r="Y306" s="17" t="str">
        <f>IF(AND(ISNUMBER(S306),Q306=FixedDim),MAX('Adjustment factors'!$S$16,0.2+0.8*S306),IF(ISTEXT(Q306),VLOOKUP(Q306,Afactors,2,TRUE),""))</f>
        <v/>
      </c>
      <c r="Z306" s="297" t="str">
        <f>IF(ISBLANK(T306),"",VLOOKUP(T306,'Adjustment factors'!$R$27:$S$30,2,TRUE))</f>
        <v/>
      </c>
      <c r="AA306" s="297" t="str">
        <f>IF(ISBLANK(U306),"",VLOOKUP(U306,'Adjustment factors'!$R$27:$S$30,2,TRUE))</f>
        <v/>
      </c>
      <c r="AB306" s="480">
        <f t="shared" si="382"/>
        <v>1</v>
      </c>
      <c r="AC306" s="18" t="b">
        <f t="shared" si="339"/>
        <v>0</v>
      </c>
      <c r="AD306" s="18" t="b">
        <f t="shared" si="340"/>
        <v>0</v>
      </c>
      <c r="AE306" s="18" t="b">
        <f t="shared" si="404"/>
        <v>0</v>
      </c>
      <c r="AF306" s="17" t="str">
        <f t="shared" si="341"/>
        <v/>
      </c>
      <c r="AG306" s="18" t="str">
        <f t="shared" si="342"/>
        <v/>
      </c>
      <c r="AH306" s="17" t="str">
        <f t="shared" si="405"/>
        <v/>
      </c>
      <c r="AI306" s="297" t="e">
        <f t="shared" si="383"/>
        <v>#VALUE!</v>
      </c>
      <c r="AJ306" s="79" t="e">
        <f t="shared" si="343"/>
        <v>#VALUE!</v>
      </c>
      <c r="AK306" s="17" t="str">
        <f t="shared" si="406"/>
        <v/>
      </c>
      <c r="AL306" s="80" t="e">
        <f t="shared" si="344"/>
        <v>#VALUE!</v>
      </c>
      <c r="AM306" s="139" t="b">
        <f t="shared" si="345"/>
        <v>1</v>
      </c>
      <c r="AN306" s="139" t="b">
        <f>AND(COUNTA(E306)&gt;0,ISNUMBER(F306),OR(COUNT(G306:H306)=0,COUNT(G306:H306)=2,AND(ISNUMBER(G306),ISNUMBER(VALUE(LEFT(H306,SUM(LEN(H306)-LEN(SUBSTITUTE(H306,{"0","1","2","3","4","5","6","7","8","9","."},"")))))))),ISNUMBER(I306),ISTEXT(J306))</f>
        <v>0</v>
      </c>
      <c r="AO306" s="19" t="b">
        <f t="shared" si="346"/>
        <v>0</v>
      </c>
      <c r="AP306" s="19" t="b">
        <f t="shared" si="347"/>
        <v>1</v>
      </c>
      <c r="AQ306" s="19" t="b">
        <f>IF(AND(COUNTBLANK(E306:J306)=6,OR(AN307:AN$523)),NOT(AN306))</f>
        <v>0</v>
      </c>
      <c r="AR306" s="19" t="str">
        <f t="shared" si="348"/>
        <v/>
      </c>
      <c r="AS306" s="19" t="b">
        <f t="shared" si="349"/>
        <v>1</v>
      </c>
      <c r="AT306" s="19" t="str">
        <f t="shared" si="350"/>
        <v/>
      </c>
      <c r="AU306" s="19" t="b">
        <f t="shared" si="351"/>
        <v>1</v>
      </c>
      <c r="AV306" s="140" t="str">
        <f t="shared" si="388"/>
        <v/>
      </c>
      <c r="AW306" s="19" t="str">
        <f t="shared" si="352"/>
        <v/>
      </c>
      <c r="AX306" s="81">
        <f t="shared" si="353"/>
        <v>0</v>
      </c>
      <c r="AY306" s="81" t="str">
        <f t="shared" si="354"/>
        <v/>
      </c>
      <c r="AZ306" s="307" t="str">
        <f t="shared" si="384"/>
        <v/>
      </c>
      <c r="BA306" s="281" t="str">
        <f t="shared" si="389"/>
        <v/>
      </c>
      <c r="BB306" s="281" t="str">
        <f t="shared" si="390"/>
        <v/>
      </c>
      <c r="BC306" s="953"/>
      <c r="BD306" s="955"/>
      <c r="BE306" s="219" t="str">
        <f t="shared" si="355"/>
        <v>n/a</v>
      </c>
      <c r="BF306" s="215" t="b">
        <f t="shared" si="356"/>
        <v>0</v>
      </c>
      <c r="BG306" s="145" t="b">
        <f t="shared" si="357"/>
        <v>0</v>
      </c>
      <c r="BH306" s="145" t="b">
        <f t="shared" si="358"/>
        <v>0</v>
      </c>
      <c r="BI306" s="216" t="b">
        <f t="shared" si="359"/>
        <v>0</v>
      </c>
      <c r="BJ306" s="215" t="b">
        <f t="shared" si="360"/>
        <v>0</v>
      </c>
      <c r="BK306" s="145" t="b">
        <f t="shared" si="361"/>
        <v>0</v>
      </c>
      <c r="BL306" s="216" t="b">
        <f t="shared" si="362"/>
        <v>0</v>
      </c>
      <c r="BM306" s="217" t="str">
        <f t="shared" si="391"/>
        <v/>
      </c>
      <c r="BN306" s="146" t="str">
        <f t="shared" si="392"/>
        <v/>
      </c>
      <c r="BO306" s="147" t="str">
        <f t="shared" si="393"/>
        <v/>
      </c>
      <c r="BP306" s="148" t="str">
        <f t="shared" si="394"/>
        <v/>
      </c>
      <c r="BT306" s="50">
        <f t="shared" si="337"/>
        <v>283</v>
      </c>
      <c r="BU306" s="50" t="str">
        <f t="shared" si="409"/>
        <v>-</v>
      </c>
      <c r="BW306" s="340"/>
      <c r="BX306" s="333"/>
      <c r="BY306" s="333"/>
      <c r="BZ306" s="333"/>
      <c r="CA306" s="333"/>
      <c r="CB306" s="333"/>
      <c r="CC306" s="333"/>
      <c r="CD306" s="333"/>
      <c r="CE306" s="333"/>
      <c r="CF306" s="333"/>
      <c r="CG306" s="354">
        <f t="shared" si="363"/>
        <v>283</v>
      </c>
      <c r="CH306" s="613">
        <f t="shared" si="364"/>
        <v>0</v>
      </c>
      <c r="CI306" s="613">
        <f t="shared" si="365"/>
        <v>0</v>
      </c>
      <c r="CJ306" s="614" t="str">
        <f t="shared" si="366"/>
        <v/>
      </c>
      <c r="CK306" s="615" t="str">
        <f t="shared" si="367"/>
        <v/>
      </c>
      <c r="CL306" s="610" t="str">
        <f>IF(ISBLANK(H306),"",IF(AND(ISNUMBER(F306),ISNUMBER(G306),ISNUMBER(H306)),ROUND(F306/(H306*G306),2),ROUND(F306/(VALUE(LEFT(H306,SUM(LEN(H306)-LEN(SUBSTITUTE(H306,{"0","1","2","3","4","5","6","7","8","9","."},"")))))*G306),2)))</f>
        <v/>
      </c>
      <c r="CM306" s="616" t="str">
        <f t="shared" si="395"/>
        <v/>
      </c>
      <c r="CN306" s="616" t="str">
        <f>IF(ISNUMBER(P306),MAX('Adjustment factors'!$S$16,(0.2+0.8*P306)),IF(ISTEXT(N306),VLOOKUP(N306,Afactors,2,FALSE),""))</f>
        <v/>
      </c>
      <c r="CO306" s="616" t="str">
        <f>IF(ISNUMBER(S306),MAX('Adjustment factors'!$S$16,0.2+0.8*S306),IF(ISTEXT(Q306),VLOOKUP(Q306,Afactors,2,FALSE),""))</f>
        <v/>
      </c>
      <c r="CP306" s="611" t="str">
        <f t="shared" si="385"/>
        <v/>
      </c>
      <c r="CQ306" s="612" t="str">
        <f t="shared" si="386"/>
        <v/>
      </c>
      <c r="CR306" s="340"/>
      <c r="CS306" s="340"/>
      <c r="CT306" s="340"/>
      <c r="CU306" s="340"/>
      <c r="CV306" s="333"/>
      <c r="CW306" s="333"/>
      <c r="CX306" s="333"/>
      <c r="CY306" s="333"/>
      <c r="DA306" s="313" t="str">
        <f t="shared" si="368"/>
        <v>OK</v>
      </c>
      <c r="DB306" s="313" t="str">
        <f t="shared" si="369"/>
        <v>OK</v>
      </c>
      <c r="DC306" s="313" t="str">
        <f t="shared" si="370"/>
        <v>OK</v>
      </c>
      <c r="DD306" s="313" t="str">
        <f t="shared" si="371"/>
        <v>OK</v>
      </c>
      <c r="DE306" s="153" t="str">
        <f t="shared" si="372"/>
        <v>OK</v>
      </c>
      <c r="DF306" s="314" t="str">
        <f t="shared" si="373"/>
        <v>OK</v>
      </c>
      <c r="DG306" s="482" t="str">
        <f t="shared" si="387"/>
        <v>OK</v>
      </c>
      <c r="DH306" s="482" t="str">
        <f>IF(OR(AND(T306='Adjustment factors'!$R$28,'Class 3, 5-9'!U306='Adjustment factors'!$R$29),AND('Class 3, 5-9'!T306='Adjustment factors'!$R$29,'Class 3, 5-9'!U306='Adjustment factors'!$R$28)),"Invalid combination of adjustment factors",IF(AND(T306=U306,NOT(ISBLANK(T306)),NOT(ISBLANK(U306))),"Same colour factor selected twice","OK"))</f>
        <v>OK</v>
      </c>
      <c r="DI306" s="313" t="str">
        <f t="shared" si="374"/>
        <v>OK</v>
      </c>
      <c r="DJ306" s="153" t="str">
        <f t="shared" si="396"/>
        <v>OK</v>
      </c>
      <c r="DK306" s="153" t="str">
        <f t="shared" si="375"/>
        <v>OK</v>
      </c>
      <c r="DL306" s="313" t="str">
        <f t="shared" si="376"/>
        <v>OK</v>
      </c>
      <c r="DM306" s="153" t="str">
        <f t="shared" si="377"/>
        <v>OK</v>
      </c>
      <c r="DN306" s="153" t="str">
        <f t="shared" si="397"/>
        <v>OK</v>
      </c>
      <c r="DO306" s="154" t="str">
        <f t="shared" si="398"/>
        <v>OK</v>
      </c>
      <c r="DP306" s="153" t="str">
        <f t="shared" si="378"/>
        <v>OK</v>
      </c>
      <c r="DQ306" s="313" t="str">
        <f t="shared" si="379"/>
        <v>OK</v>
      </c>
      <c r="DR306" s="153" t="str">
        <f t="shared" si="399"/>
        <v>OK</v>
      </c>
      <c r="DS306" s="153" t="str">
        <f t="shared" si="380"/>
        <v>OK</v>
      </c>
      <c r="DT306" s="313" t="str">
        <f t="shared" si="411"/>
        <v>OK</v>
      </c>
      <c r="DU306" s="153" t="str">
        <f t="shared" si="381"/>
        <v>OK</v>
      </c>
      <c r="DV306" s="153" t="str">
        <f t="shared" si="400"/>
        <v>OK</v>
      </c>
      <c r="DW306" s="154" t="str">
        <f t="shared" si="401"/>
        <v>OK</v>
      </c>
      <c r="DX306" s="157">
        <f t="shared" si="402"/>
        <v>0</v>
      </c>
      <c r="DY306" s="156" t="str">
        <f t="shared" si="403"/>
        <v>OK</v>
      </c>
    </row>
    <row r="307" spans="1:129" ht="13" hidden="1" x14ac:dyDescent="0.3">
      <c r="A307" s="333"/>
      <c r="B307" s="333"/>
      <c r="C307" s="332" t="str">
        <f t="shared" si="410"/>
        <v>-</v>
      </c>
      <c r="D307" s="584">
        <f t="shared" si="336"/>
        <v>284</v>
      </c>
      <c r="E307" s="585"/>
      <c r="F307" s="586"/>
      <c r="G307" s="600"/>
      <c r="H307" s="587"/>
      <c r="I307" s="601"/>
      <c r="J307" s="585"/>
      <c r="K307" s="617"/>
      <c r="L307" s="602"/>
      <c r="M307" s="603"/>
      <c r="N307" s="588"/>
      <c r="O307" s="604"/>
      <c r="P307" s="605"/>
      <c r="Q307" s="588"/>
      <c r="R307" s="604"/>
      <c r="S307" s="605"/>
      <c r="T307" s="606"/>
      <c r="U307" s="606"/>
      <c r="V307" s="429" t="str">
        <f t="shared" si="408"/>
        <v/>
      </c>
      <c r="W307" s="430" t="str">
        <f t="shared" si="407"/>
        <v/>
      </c>
      <c r="X307" s="66" t="str">
        <f>IF(AND(ISNUMBER(P307),N307=FixedDim),MAX('Adjustment factors'!$S$16,0.2+0.8*P307),IF(ISTEXT(N307),VLOOKUP(N307,Afactors,2,TRUE),""))</f>
        <v/>
      </c>
      <c r="Y307" s="17" t="str">
        <f>IF(AND(ISNUMBER(S307),Q307=FixedDim),MAX('Adjustment factors'!$S$16,0.2+0.8*S307),IF(ISTEXT(Q307),VLOOKUP(Q307,Afactors,2,TRUE),""))</f>
        <v/>
      </c>
      <c r="Z307" s="297" t="str">
        <f>IF(ISBLANK(T307),"",VLOOKUP(T307,'Adjustment factors'!$R$27:$S$30,2,TRUE))</f>
        <v/>
      </c>
      <c r="AA307" s="297" t="str">
        <f>IF(ISBLANK(U307),"",VLOOKUP(U307,'Adjustment factors'!$R$27:$S$30,2,TRUE))</f>
        <v/>
      </c>
      <c r="AB307" s="480">
        <f t="shared" si="382"/>
        <v>1</v>
      </c>
      <c r="AC307" s="18" t="b">
        <f t="shared" si="339"/>
        <v>0</v>
      </c>
      <c r="AD307" s="18" t="b">
        <f t="shared" si="340"/>
        <v>0</v>
      </c>
      <c r="AE307" s="18" t="b">
        <f t="shared" si="404"/>
        <v>0</v>
      </c>
      <c r="AF307" s="17" t="str">
        <f t="shared" si="341"/>
        <v/>
      </c>
      <c r="AG307" s="18" t="str">
        <f t="shared" si="342"/>
        <v/>
      </c>
      <c r="AH307" s="17" t="str">
        <f t="shared" si="405"/>
        <v/>
      </c>
      <c r="AI307" s="297" t="e">
        <f t="shared" si="383"/>
        <v>#VALUE!</v>
      </c>
      <c r="AJ307" s="79" t="e">
        <f t="shared" si="343"/>
        <v>#VALUE!</v>
      </c>
      <c r="AK307" s="17" t="str">
        <f t="shared" si="406"/>
        <v/>
      </c>
      <c r="AL307" s="80" t="e">
        <f t="shared" si="344"/>
        <v>#VALUE!</v>
      </c>
      <c r="AM307" s="139" t="b">
        <f t="shared" si="345"/>
        <v>1</v>
      </c>
      <c r="AN307" s="139" t="b">
        <f>AND(COUNTA(E307)&gt;0,ISNUMBER(F307),OR(COUNT(G307:H307)=0,COUNT(G307:H307)=2,AND(ISNUMBER(G307),ISNUMBER(VALUE(LEFT(H307,SUM(LEN(H307)-LEN(SUBSTITUTE(H307,{"0","1","2","3","4","5","6","7","8","9","."},"")))))))),ISNUMBER(I307),ISTEXT(J307))</f>
        <v>0</v>
      </c>
      <c r="AO307" s="19" t="b">
        <f t="shared" si="346"/>
        <v>0</v>
      </c>
      <c r="AP307" s="19" t="b">
        <f t="shared" si="347"/>
        <v>1</v>
      </c>
      <c r="AQ307" s="19" t="b">
        <f>IF(AND(COUNTBLANK(E307:J307)=6,OR(AN308:AN$523)),NOT(AN307))</f>
        <v>0</v>
      </c>
      <c r="AR307" s="19" t="str">
        <f t="shared" si="348"/>
        <v/>
      </c>
      <c r="AS307" s="19" t="b">
        <f t="shared" si="349"/>
        <v>1</v>
      </c>
      <c r="AT307" s="19" t="str">
        <f t="shared" si="350"/>
        <v/>
      </c>
      <c r="AU307" s="19" t="b">
        <f t="shared" si="351"/>
        <v>1</v>
      </c>
      <c r="AV307" s="140" t="str">
        <f t="shared" si="388"/>
        <v/>
      </c>
      <c r="AW307" s="19" t="str">
        <f t="shared" si="352"/>
        <v/>
      </c>
      <c r="AX307" s="81">
        <f t="shared" si="353"/>
        <v>0</v>
      </c>
      <c r="AY307" s="81" t="str">
        <f t="shared" si="354"/>
        <v/>
      </c>
      <c r="AZ307" s="307" t="str">
        <f t="shared" si="384"/>
        <v/>
      </c>
      <c r="BA307" s="281" t="str">
        <f t="shared" si="389"/>
        <v/>
      </c>
      <c r="BB307" s="281" t="str">
        <f t="shared" si="390"/>
        <v/>
      </c>
      <c r="BC307" s="953"/>
      <c r="BD307" s="955"/>
      <c r="BE307" s="219" t="str">
        <f t="shared" si="355"/>
        <v>n/a</v>
      </c>
      <c r="BF307" s="215" t="b">
        <f t="shared" si="356"/>
        <v>0</v>
      </c>
      <c r="BG307" s="145" t="b">
        <f t="shared" si="357"/>
        <v>0</v>
      </c>
      <c r="BH307" s="145" t="b">
        <f t="shared" si="358"/>
        <v>0</v>
      </c>
      <c r="BI307" s="216" t="b">
        <f t="shared" si="359"/>
        <v>0</v>
      </c>
      <c r="BJ307" s="215" t="b">
        <f t="shared" si="360"/>
        <v>0</v>
      </c>
      <c r="BK307" s="145" t="b">
        <f t="shared" si="361"/>
        <v>0</v>
      </c>
      <c r="BL307" s="216" t="b">
        <f t="shared" si="362"/>
        <v>0</v>
      </c>
      <c r="BM307" s="217" t="str">
        <f t="shared" si="391"/>
        <v/>
      </c>
      <c r="BN307" s="146" t="str">
        <f t="shared" si="392"/>
        <v/>
      </c>
      <c r="BO307" s="147" t="str">
        <f t="shared" si="393"/>
        <v/>
      </c>
      <c r="BP307" s="148" t="str">
        <f t="shared" si="394"/>
        <v/>
      </c>
      <c r="BT307" s="50">
        <f t="shared" si="337"/>
        <v>284</v>
      </c>
      <c r="BU307" s="50" t="str">
        <f t="shared" si="409"/>
        <v>-</v>
      </c>
      <c r="BW307" s="340"/>
      <c r="BX307" s="333"/>
      <c r="BY307" s="333"/>
      <c r="BZ307" s="333"/>
      <c r="CA307" s="333"/>
      <c r="CB307" s="333"/>
      <c r="CC307" s="333"/>
      <c r="CD307" s="333"/>
      <c r="CE307" s="333"/>
      <c r="CF307" s="333"/>
      <c r="CG307" s="354">
        <f t="shared" si="363"/>
        <v>284</v>
      </c>
      <c r="CH307" s="613">
        <f t="shared" si="364"/>
        <v>0</v>
      </c>
      <c r="CI307" s="613">
        <f t="shared" si="365"/>
        <v>0</v>
      </c>
      <c r="CJ307" s="614" t="str">
        <f t="shared" si="366"/>
        <v/>
      </c>
      <c r="CK307" s="615" t="str">
        <f t="shared" si="367"/>
        <v/>
      </c>
      <c r="CL307" s="610" t="str">
        <f>IF(ISBLANK(H307),"",IF(AND(ISNUMBER(F307),ISNUMBER(G307),ISNUMBER(H307)),ROUND(F307/(H307*G307),2),ROUND(F307/(VALUE(LEFT(H307,SUM(LEN(H307)-LEN(SUBSTITUTE(H307,{"0","1","2","3","4","5","6","7","8","9","."},"")))))*G307),2)))</f>
        <v/>
      </c>
      <c r="CM307" s="616" t="str">
        <f t="shared" si="395"/>
        <v/>
      </c>
      <c r="CN307" s="616" t="str">
        <f>IF(ISNUMBER(P307),MAX('Adjustment factors'!$S$16,(0.2+0.8*P307)),IF(ISTEXT(N307),VLOOKUP(N307,Afactors,2,FALSE),""))</f>
        <v/>
      </c>
      <c r="CO307" s="616" t="str">
        <f>IF(ISNUMBER(S307),MAX('Adjustment factors'!$S$16,0.2+0.8*S307),IF(ISTEXT(Q307),VLOOKUP(Q307,Afactors,2,FALSE),""))</f>
        <v/>
      </c>
      <c r="CP307" s="611" t="str">
        <f t="shared" si="385"/>
        <v/>
      </c>
      <c r="CQ307" s="612" t="str">
        <f t="shared" si="386"/>
        <v/>
      </c>
      <c r="CR307" s="340"/>
      <c r="CS307" s="340"/>
      <c r="CT307" s="340"/>
      <c r="CU307" s="340"/>
      <c r="CV307" s="333"/>
      <c r="CW307" s="333"/>
      <c r="CX307" s="333"/>
      <c r="CY307" s="333"/>
      <c r="DA307" s="313" t="str">
        <f t="shared" si="368"/>
        <v>OK</v>
      </c>
      <c r="DB307" s="313" t="str">
        <f t="shared" si="369"/>
        <v>OK</v>
      </c>
      <c r="DC307" s="313" t="str">
        <f t="shared" si="370"/>
        <v>OK</v>
      </c>
      <c r="DD307" s="313" t="str">
        <f t="shared" si="371"/>
        <v>OK</v>
      </c>
      <c r="DE307" s="153" t="str">
        <f t="shared" si="372"/>
        <v>OK</v>
      </c>
      <c r="DF307" s="314" t="str">
        <f t="shared" si="373"/>
        <v>OK</v>
      </c>
      <c r="DG307" s="482" t="str">
        <f t="shared" si="387"/>
        <v>OK</v>
      </c>
      <c r="DH307" s="482" t="str">
        <f>IF(OR(AND(T307='Adjustment factors'!$R$28,'Class 3, 5-9'!U307='Adjustment factors'!$R$29),AND('Class 3, 5-9'!T307='Adjustment factors'!$R$29,'Class 3, 5-9'!U307='Adjustment factors'!$R$28)),"Invalid combination of adjustment factors",IF(AND(T307=U307,NOT(ISBLANK(T307)),NOT(ISBLANK(U307))),"Same colour factor selected twice","OK"))</f>
        <v>OK</v>
      </c>
      <c r="DI307" s="313" t="str">
        <f t="shared" si="374"/>
        <v>OK</v>
      </c>
      <c r="DJ307" s="153" t="str">
        <f t="shared" si="396"/>
        <v>OK</v>
      </c>
      <c r="DK307" s="153" t="str">
        <f t="shared" si="375"/>
        <v>OK</v>
      </c>
      <c r="DL307" s="313" t="str">
        <f t="shared" si="376"/>
        <v>OK</v>
      </c>
      <c r="DM307" s="153" t="str">
        <f t="shared" si="377"/>
        <v>OK</v>
      </c>
      <c r="DN307" s="153" t="str">
        <f t="shared" si="397"/>
        <v>OK</v>
      </c>
      <c r="DO307" s="154" t="str">
        <f t="shared" si="398"/>
        <v>OK</v>
      </c>
      <c r="DP307" s="153" t="str">
        <f t="shared" si="378"/>
        <v>OK</v>
      </c>
      <c r="DQ307" s="313" t="str">
        <f t="shared" si="379"/>
        <v>OK</v>
      </c>
      <c r="DR307" s="153" t="str">
        <f t="shared" si="399"/>
        <v>OK</v>
      </c>
      <c r="DS307" s="153" t="str">
        <f t="shared" si="380"/>
        <v>OK</v>
      </c>
      <c r="DT307" s="313" t="str">
        <f t="shared" si="411"/>
        <v>OK</v>
      </c>
      <c r="DU307" s="153" t="str">
        <f t="shared" si="381"/>
        <v>OK</v>
      </c>
      <c r="DV307" s="153" t="str">
        <f t="shared" si="400"/>
        <v>OK</v>
      </c>
      <c r="DW307" s="154" t="str">
        <f t="shared" si="401"/>
        <v>OK</v>
      </c>
      <c r="DX307" s="157">
        <f t="shared" si="402"/>
        <v>0</v>
      </c>
      <c r="DY307" s="156" t="str">
        <f t="shared" si="403"/>
        <v>OK</v>
      </c>
    </row>
    <row r="308" spans="1:129" ht="13" hidden="1" x14ac:dyDescent="0.3">
      <c r="A308" s="333"/>
      <c r="B308" s="333"/>
      <c r="C308" s="332" t="str">
        <f t="shared" si="410"/>
        <v>-</v>
      </c>
      <c r="D308" s="584">
        <f t="shared" si="336"/>
        <v>285</v>
      </c>
      <c r="E308" s="585"/>
      <c r="F308" s="586"/>
      <c r="G308" s="600"/>
      <c r="H308" s="587"/>
      <c r="I308" s="601"/>
      <c r="J308" s="585"/>
      <c r="K308" s="617"/>
      <c r="L308" s="602"/>
      <c r="M308" s="603"/>
      <c r="N308" s="588"/>
      <c r="O308" s="604"/>
      <c r="P308" s="605"/>
      <c r="Q308" s="588"/>
      <c r="R308" s="604"/>
      <c r="S308" s="605"/>
      <c r="T308" s="606"/>
      <c r="U308" s="606"/>
      <c r="V308" s="429" t="str">
        <f t="shared" si="408"/>
        <v/>
      </c>
      <c r="W308" s="430" t="str">
        <f t="shared" si="407"/>
        <v/>
      </c>
      <c r="X308" s="66" t="str">
        <f>IF(AND(ISNUMBER(P308),N308=FixedDim),MAX('Adjustment factors'!$S$16,0.2+0.8*P308),IF(ISTEXT(N308),VLOOKUP(N308,Afactors,2,TRUE),""))</f>
        <v/>
      </c>
      <c r="Y308" s="17" t="str">
        <f>IF(AND(ISNUMBER(S308),Q308=FixedDim),MAX('Adjustment factors'!$S$16,0.2+0.8*S308),IF(ISTEXT(Q308),VLOOKUP(Q308,Afactors,2,TRUE),""))</f>
        <v/>
      </c>
      <c r="Z308" s="297" t="str">
        <f>IF(ISBLANK(T308),"",VLOOKUP(T308,'Adjustment factors'!$R$27:$S$30,2,TRUE))</f>
        <v/>
      </c>
      <c r="AA308" s="297" t="str">
        <f>IF(ISBLANK(U308),"",VLOOKUP(U308,'Adjustment factors'!$R$27:$S$30,2,TRUE))</f>
        <v/>
      </c>
      <c r="AB308" s="480">
        <f t="shared" si="382"/>
        <v>1</v>
      </c>
      <c r="AC308" s="18" t="b">
        <f t="shared" si="339"/>
        <v>0</v>
      </c>
      <c r="AD308" s="18" t="b">
        <f t="shared" si="340"/>
        <v>0</v>
      </c>
      <c r="AE308" s="18" t="b">
        <f t="shared" si="404"/>
        <v>0</v>
      </c>
      <c r="AF308" s="17" t="str">
        <f t="shared" si="341"/>
        <v/>
      </c>
      <c r="AG308" s="18" t="str">
        <f t="shared" si="342"/>
        <v/>
      </c>
      <c r="AH308" s="17" t="str">
        <f t="shared" si="405"/>
        <v/>
      </c>
      <c r="AI308" s="297" t="e">
        <f t="shared" si="383"/>
        <v>#VALUE!</v>
      </c>
      <c r="AJ308" s="79" t="e">
        <f t="shared" si="343"/>
        <v>#VALUE!</v>
      </c>
      <c r="AK308" s="17" t="str">
        <f t="shared" si="406"/>
        <v/>
      </c>
      <c r="AL308" s="80" t="e">
        <f t="shared" si="344"/>
        <v>#VALUE!</v>
      </c>
      <c r="AM308" s="139" t="b">
        <f t="shared" si="345"/>
        <v>1</v>
      </c>
      <c r="AN308" s="139" t="b">
        <f>AND(COUNTA(E308)&gt;0,ISNUMBER(F308),OR(COUNT(G308:H308)=0,COUNT(G308:H308)=2,AND(ISNUMBER(G308),ISNUMBER(VALUE(LEFT(H308,SUM(LEN(H308)-LEN(SUBSTITUTE(H308,{"0","1","2","3","4","5","6","7","8","9","."},"")))))))),ISNUMBER(I308),ISTEXT(J308))</f>
        <v>0</v>
      </c>
      <c r="AO308" s="19" t="b">
        <f t="shared" si="346"/>
        <v>0</v>
      </c>
      <c r="AP308" s="19" t="b">
        <f t="shared" si="347"/>
        <v>1</v>
      </c>
      <c r="AQ308" s="19" t="b">
        <f>IF(AND(COUNTBLANK(E308:J308)=6,OR(AN309:AN$523)),NOT(AN308))</f>
        <v>0</v>
      </c>
      <c r="AR308" s="19" t="str">
        <f t="shared" si="348"/>
        <v/>
      </c>
      <c r="AS308" s="19" t="b">
        <f t="shared" si="349"/>
        <v>1</v>
      </c>
      <c r="AT308" s="19" t="str">
        <f t="shared" si="350"/>
        <v/>
      </c>
      <c r="AU308" s="19" t="b">
        <f t="shared" si="351"/>
        <v>1</v>
      </c>
      <c r="AV308" s="140" t="str">
        <f t="shared" si="388"/>
        <v/>
      </c>
      <c r="AW308" s="19" t="str">
        <f t="shared" si="352"/>
        <v/>
      </c>
      <c r="AX308" s="81">
        <f t="shared" si="353"/>
        <v>0</v>
      </c>
      <c r="AY308" s="81" t="str">
        <f t="shared" si="354"/>
        <v/>
      </c>
      <c r="AZ308" s="307" t="str">
        <f t="shared" si="384"/>
        <v/>
      </c>
      <c r="BA308" s="281" t="str">
        <f t="shared" si="389"/>
        <v/>
      </c>
      <c r="BB308" s="281" t="str">
        <f t="shared" si="390"/>
        <v/>
      </c>
      <c r="BC308" s="953"/>
      <c r="BD308" s="955"/>
      <c r="BE308" s="219" t="str">
        <f t="shared" si="355"/>
        <v>n/a</v>
      </c>
      <c r="BF308" s="215" t="b">
        <f t="shared" si="356"/>
        <v>0</v>
      </c>
      <c r="BG308" s="145" t="b">
        <f t="shared" si="357"/>
        <v>0</v>
      </c>
      <c r="BH308" s="145" t="b">
        <f t="shared" si="358"/>
        <v>0</v>
      </c>
      <c r="BI308" s="216" t="b">
        <f t="shared" si="359"/>
        <v>0</v>
      </c>
      <c r="BJ308" s="215" t="b">
        <f t="shared" si="360"/>
        <v>0</v>
      </c>
      <c r="BK308" s="145" t="b">
        <f t="shared" si="361"/>
        <v>0</v>
      </c>
      <c r="BL308" s="216" t="b">
        <f t="shared" si="362"/>
        <v>0</v>
      </c>
      <c r="BM308" s="217" t="str">
        <f t="shared" si="391"/>
        <v/>
      </c>
      <c r="BN308" s="146" t="str">
        <f t="shared" si="392"/>
        <v/>
      </c>
      <c r="BO308" s="147" t="str">
        <f t="shared" si="393"/>
        <v/>
      </c>
      <c r="BP308" s="148" t="str">
        <f t="shared" si="394"/>
        <v/>
      </c>
      <c r="BT308" s="50">
        <f t="shared" si="337"/>
        <v>285</v>
      </c>
      <c r="BU308" s="50" t="str">
        <f t="shared" si="409"/>
        <v>-</v>
      </c>
      <c r="BW308" s="340"/>
      <c r="BX308" s="333"/>
      <c r="BY308" s="333"/>
      <c r="BZ308" s="333"/>
      <c r="CA308" s="333"/>
      <c r="CB308" s="333"/>
      <c r="CC308" s="333"/>
      <c r="CD308" s="333"/>
      <c r="CE308" s="333"/>
      <c r="CF308" s="333"/>
      <c r="CG308" s="354">
        <f t="shared" si="363"/>
        <v>285</v>
      </c>
      <c r="CH308" s="613">
        <f t="shared" si="364"/>
        <v>0</v>
      </c>
      <c r="CI308" s="613">
        <f t="shared" si="365"/>
        <v>0</v>
      </c>
      <c r="CJ308" s="614" t="str">
        <f t="shared" si="366"/>
        <v/>
      </c>
      <c r="CK308" s="615" t="str">
        <f t="shared" si="367"/>
        <v/>
      </c>
      <c r="CL308" s="610" t="str">
        <f>IF(ISBLANK(H308),"",IF(AND(ISNUMBER(F308),ISNUMBER(G308),ISNUMBER(H308)),ROUND(F308/(H308*G308),2),ROUND(F308/(VALUE(LEFT(H308,SUM(LEN(H308)-LEN(SUBSTITUTE(H308,{"0","1","2","3","4","5","6","7","8","9","."},"")))))*G308),2)))</f>
        <v/>
      </c>
      <c r="CM308" s="616" t="str">
        <f t="shared" si="395"/>
        <v/>
      </c>
      <c r="CN308" s="616" t="str">
        <f>IF(ISNUMBER(P308),MAX('Adjustment factors'!$S$16,(0.2+0.8*P308)),IF(ISTEXT(N308),VLOOKUP(N308,Afactors,2,FALSE),""))</f>
        <v/>
      </c>
      <c r="CO308" s="616" t="str">
        <f>IF(ISNUMBER(S308),MAX('Adjustment factors'!$S$16,0.2+0.8*S308),IF(ISTEXT(Q308),VLOOKUP(Q308,Afactors,2,FALSE),""))</f>
        <v/>
      </c>
      <c r="CP308" s="611" t="str">
        <f t="shared" si="385"/>
        <v/>
      </c>
      <c r="CQ308" s="612" t="str">
        <f t="shared" si="386"/>
        <v/>
      </c>
      <c r="CR308" s="340"/>
      <c r="CS308" s="340"/>
      <c r="CT308" s="340"/>
      <c r="CU308" s="340"/>
      <c r="CV308" s="333"/>
      <c r="CW308" s="333"/>
      <c r="CX308" s="333"/>
      <c r="CY308" s="333"/>
      <c r="DA308" s="313" t="str">
        <f t="shared" si="368"/>
        <v>OK</v>
      </c>
      <c r="DB308" s="313" t="str">
        <f t="shared" si="369"/>
        <v>OK</v>
      </c>
      <c r="DC308" s="313" t="str">
        <f t="shared" si="370"/>
        <v>OK</v>
      </c>
      <c r="DD308" s="313" t="str">
        <f t="shared" si="371"/>
        <v>OK</v>
      </c>
      <c r="DE308" s="153" t="str">
        <f t="shared" si="372"/>
        <v>OK</v>
      </c>
      <c r="DF308" s="314" t="str">
        <f t="shared" si="373"/>
        <v>OK</v>
      </c>
      <c r="DG308" s="482" t="str">
        <f t="shared" si="387"/>
        <v>OK</v>
      </c>
      <c r="DH308" s="482" t="str">
        <f>IF(OR(AND(T308='Adjustment factors'!$R$28,'Class 3, 5-9'!U308='Adjustment factors'!$R$29),AND('Class 3, 5-9'!T308='Adjustment factors'!$R$29,'Class 3, 5-9'!U308='Adjustment factors'!$R$28)),"Invalid combination of adjustment factors",IF(AND(T308=U308,NOT(ISBLANK(T308)),NOT(ISBLANK(U308))),"Same colour factor selected twice","OK"))</f>
        <v>OK</v>
      </c>
      <c r="DI308" s="313" t="str">
        <f t="shared" si="374"/>
        <v>OK</v>
      </c>
      <c r="DJ308" s="153" t="str">
        <f t="shared" si="396"/>
        <v>OK</v>
      </c>
      <c r="DK308" s="153" t="str">
        <f t="shared" si="375"/>
        <v>OK</v>
      </c>
      <c r="DL308" s="313" t="str">
        <f t="shared" si="376"/>
        <v>OK</v>
      </c>
      <c r="DM308" s="153" t="str">
        <f t="shared" si="377"/>
        <v>OK</v>
      </c>
      <c r="DN308" s="153" t="str">
        <f t="shared" si="397"/>
        <v>OK</v>
      </c>
      <c r="DO308" s="154" t="str">
        <f t="shared" si="398"/>
        <v>OK</v>
      </c>
      <c r="DP308" s="153" t="str">
        <f t="shared" si="378"/>
        <v>OK</v>
      </c>
      <c r="DQ308" s="313" t="str">
        <f t="shared" si="379"/>
        <v>OK</v>
      </c>
      <c r="DR308" s="153" t="str">
        <f t="shared" si="399"/>
        <v>OK</v>
      </c>
      <c r="DS308" s="153" t="str">
        <f t="shared" si="380"/>
        <v>OK</v>
      </c>
      <c r="DT308" s="313" t="str">
        <f t="shared" si="411"/>
        <v>OK</v>
      </c>
      <c r="DU308" s="153" t="str">
        <f t="shared" si="381"/>
        <v>OK</v>
      </c>
      <c r="DV308" s="153" t="str">
        <f t="shared" si="400"/>
        <v>OK</v>
      </c>
      <c r="DW308" s="154" t="str">
        <f t="shared" si="401"/>
        <v>OK</v>
      </c>
      <c r="DX308" s="157">
        <f t="shared" si="402"/>
        <v>0</v>
      </c>
      <c r="DY308" s="156" t="str">
        <f t="shared" si="403"/>
        <v>OK</v>
      </c>
    </row>
    <row r="309" spans="1:129" ht="13" hidden="1" x14ac:dyDescent="0.3">
      <c r="A309" s="333"/>
      <c r="B309" s="333"/>
      <c r="C309" s="332" t="str">
        <f t="shared" si="410"/>
        <v>-</v>
      </c>
      <c r="D309" s="584">
        <f t="shared" si="336"/>
        <v>286</v>
      </c>
      <c r="E309" s="585"/>
      <c r="F309" s="586"/>
      <c r="G309" s="600"/>
      <c r="H309" s="587"/>
      <c r="I309" s="601"/>
      <c r="J309" s="585"/>
      <c r="K309" s="617"/>
      <c r="L309" s="602"/>
      <c r="M309" s="603"/>
      <c r="N309" s="588"/>
      <c r="O309" s="604"/>
      <c r="P309" s="605"/>
      <c r="Q309" s="588"/>
      <c r="R309" s="604"/>
      <c r="S309" s="605"/>
      <c r="T309" s="606"/>
      <c r="U309" s="606"/>
      <c r="V309" s="429" t="str">
        <f t="shared" si="408"/>
        <v/>
      </c>
      <c r="W309" s="430" t="str">
        <f t="shared" si="407"/>
        <v/>
      </c>
      <c r="X309" s="66" t="str">
        <f>IF(AND(ISNUMBER(P309),N309=FixedDim),MAX('Adjustment factors'!$S$16,0.2+0.8*P309),IF(ISTEXT(N309),VLOOKUP(N309,Afactors,2,TRUE),""))</f>
        <v/>
      </c>
      <c r="Y309" s="17" t="str">
        <f>IF(AND(ISNUMBER(S309),Q309=FixedDim),MAX('Adjustment factors'!$S$16,0.2+0.8*S309),IF(ISTEXT(Q309),VLOOKUP(Q309,Afactors,2,TRUE),""))</f>
        <v/>
      </c>
      <c r="Z309" s="297" t="str">
        <f>IF(ISBLANK(T309),"",VLOOKUP(T309,'Adjustment factors'!$R$27:$S$30,2,TRUE))</f>
        <v/>
      </c>
      <c r="AA309" s="297" t="str">
        <f>IF(ISBLANK(U309),"",VLOOKUP(U309,'Adjustment factors'!$R$27:$S$30,2,TRUE))</f>
        <v/>
      </c>
      <c r="AB309" s="480">
        <f t="shared" si="382"/>
        <v>1</v>
      </c>
      <c r="AC309" s="18" t="b">
        <f t="shared" si="339"/>
        <v>0</v>
      </c>
      <c r="AD309" s="18" t="b">
        <f t="shared" si="340"/>
        <v>0</v>
      </c>
      <c r="AE309" s="18" t="b">
        <f t="shared" si="404"/>
        <v>0</v>
      </c>
      <c r="AF309" s="17" t="str">
        <f t="shared" si="341"/>
        <v/>
      </c>
      <c r="AG309" s="18" t="str">
        <f t="shared" si="342"/>
        <v/>
      </c>
      <c r="AH309" s="17" t="str">
        <f t="shared" si="405"/>
        <v/>
      </c>
      <c r="AI309" s="297" t="e">
        <f t="shared" si="383"/>
        <v>#VALUE!</v>
      </c>
      <c r="AJ309" s="79" t="e">
        <f t="shared" si="343"/>
        <v>#VALUE!</v>
      </c>
      <c r="AK309" s="17" t="str">
        <f t="shared" si="406"/>
        <v/>
      </c>
      <c r="AL309" s="80" t="e">
        <f t="shared" si="344"/>
        <v>#VALUE!</v>
      </c>
      <c r="AM309" s="139" t="b">
        <f t="shared" si="345"/>
        <v>1</v>
      </c>
      <c r="AN309" s="139" t="b">
        <f>AND(COUNTA(E309)&gt;0,ISNUMBER(F309),OR(COUNT(G309:H309)=0,COUNT(G309:H309)=2,AND(ISNUMBER(G309),ISNUMBER(VALUE(LEFT(H309,SUM(LEN(H309)-LEN(SUBSTITUTE(H309,{"0","1","2","3","4","5","6","7","8","9","."},"")))))))),ISNUMBER(I309),ISTEXT(J309))</f>
        <v>0</v>
      </c>
      <c r="AO309" s="19" t="b">
        <f t="shared" si="346"/>
        <v>0</v>
      </c>
      <c r="AP309" s="19" t="b">
        <f t="shared" si="347"/>
        <v>1</v>
      </c>
      <c r="AQ309" s="19" t="b">
        <f>IF(AND(COUNTBLANK(E309:J309)=6,OR(AN310:AN$523)),NOT(AN309))</f>
        <v>0</v>
      </c>
      <c r="AR309" s="19" t="str">
        <f t="shared" si="348"/>
        <v/>
      </c>
      <c r="AS309" s="19" t="b">
        <f t="shared" si="349"/>
        <v>1</v>
      </c>
      <c r="AT309" s="19" t="str">
        <f t="shared" si="350"/>
        <v/>
      </c>
      <c r="AU309" s="19" t="b">
        <f t="shared" si="351"/>
        <v>1</v>
      </c>
      <c r="AV309" s="140" t="str">
        <f t="shared" si="388"/>
        <v/>
      </c>
      <c r="AW309" s="19" t="str">
        <f t="shared" si="352"/>
        <v/>
      </c>
      <c r="AX309" s="81">
        <f t="shared" si="353"/>
        <v>0</v>
      </c>
      <c r="AY309" s="81" t="str">
        <f t="shared" si="354"/>
        <v/>
      </c>
      <c r="AZ309" s="307" t="str">
        <f t="shared" si="384"/>
        <v/>
      </c>
      <c r="BA309" s="281" t="str">
        <f t="shared" si="389"/>
        <v/>
      </c>
      <c r="BB309" s="281" t="str">
        <f t="shared" si="390"/>
        <v/>
      </c>
      <c r="BC309" s="953"/>
      <c r="BD309" s="955"/>
      <c r="BE309" s="219" t="str">
        <f t="shared" si="355"/>
        <v>n/a</v>
      </c>
      <c r="BF309" s="215" t="b">
        <f t="shared" si="356"/>
        <v>0</v>
      </c>
      <c r="BG309" s="145" t="b">
        <f t="shared" si="357"/>
        <v>0</v>
      </c>
      <c r="BH309" s="145" t="b">
        <f t="shared" si="358"/>
        <v>0</v>
      </c>
      <c r="BI309" s="216" t="b">
        <f t="shared" si="359"/>
        <v>0</v>
      </c>
      <c r="BJ309" s="215" t="b">
        <f t="shared" si="360"/>
        <v>0</v>
      </c>
      <c r="BK309" s="145" t="b">
        <f t="shared" si="361"/>
        <v>0</v>
      </c>
      <c r="BL309" s="216" t="b">
        <f t="shared" si="362"/>
        <v>0</v>
      </c>
      <c r="BM309" s="217" t="str">
        <f t="shared" si="391"/>
        <v/>
      </c>
      <c r="BN309" s="146" t="str">
        <f t="shared" si="392"/>
        <v/>
      </c>
      <c r="BO309" s="147" t="str">
        <f t="shared" si="393"/>
        <v/>
      </c>
      <c r="BP309" s="148" t="str">
        <f t="shared" si="394"/>
        <v/>
      </c>
      <c r="BT309" s="50">
        <f t="shared" si="337"/>
        <v>286</v>
      </c>
      <c r="BU309" s="50" t="str">
        <f t="shared" si="409"/>
        <v>-</v>
      </c>
      <c r="BW309" s="340"/>
      <c r="BX309" s="333"/>
      <c r="BY309" s="333"/>
      <c r="BZ309" s="333"/>
      <c r="CA309" s="333"/>
      <c r="CB309" s="333"/>
      <c r="CC309" s="333"/>
      <c r="CD309" s="333"/>
      <c r="CE309" s="333"/>
      <c r="CF309" s="333"/>
      <c r="CG309" s="354">
        <f t="shared" si="363"/>
        <v>286</v>
      </c>
      <c r="CH309" s="613">
        <f t="shared" si="364"/>
        <v>0</v>
      </c>
      <c r="CI309" s="613">
        <f t="shared" si="365"/>
        <v>0</v>
      </c>
      <c r="CJ309" s="614" t="str">
        <f t="shared" si="366"/>
        <v/>
      </c>
      <c r="CK309" s="615" t="str">
        <f t="shared" si="367"/>
        <v/>
      </c>
      <c r="CL309" s="610" t="str">
        <f>IF(ISBLANK(H309),"",IF(AND(ISNUMBER(F309),ISNUMBER(G309),ISNUMBER(H309)),ROUND(F309/(H309*G309),2),ROUND(F309/(VALUE(LEFT(H309,SUM(LEN(H309)-LEN(SUBSTITUTE(H309,{"0","1","2","3","4","5","6","7","8","9","."},"")))))*G309),2)))</f>
        <v/>
      </c>
      <c r="CM309" s="616" t="str">
        <f t="shared" si="395"/>
        <v/>
      </c>
      <c r="CN309" s="616" t="str">
        <f>IF(ISNUMBER(P309),MAX('Adjustment factors'!$S$16,(0.2+0.8*P309)),IF(ISTEXT(N309),VLOOKUP(N309,Afactors,2,FALSE),""))</f>
        <v/>
      </c>
      <c r="CO309" s="616" t="str">
        <f>IF(ISNUMBER(S309),MAX('Adjustment factors'!$S$16,0.2+0.8*S309),IF(ISTEXT(Q309),VLOOKUP(Q309,Afactors,2,FALSE),""))</f>
        <v/>
      </c>
      <c r="CP309" s="611" t="str">
        <f t="shared" si="385"/>
        <v/>
      </c>
      <c r="CQ309" s="612" t="str">
        <f t="shared" si="386"/>
        <v/>
      </c>
      <c r="CR309" s="340"/>
      <c r="CS309" s="340"/>
      <c r="CT309" s="340"/>
      <c r="CU309" s="340"/>
      <c r="CV309" s="333"/>
      <c r="CW309" s="333"/>
      <c r="CX309" s="333"/>
      <c r="CY309" s="333"/>
      <c r="DA309" s="313" t="str">
        <f t="shared" si="368"/>
        <v>OK</v>
      </c>
      <c r="DB309" s="313" t="str">
        <f t="shared" si="369"/>
        <v>OK</v>
      </c>
      <c r="DC309" s="313" t="str">
        <f t="shared" si="370"/>
        <v>OK</v>
      </c>
      <c r="DD309" s="313" t="str">
        <f t="shared" si="371"/>
        <v>OK</v>
      </c>
      <c r="DE309" s="153" t="str">
        <f t="shared" si="372"/>
        <v>OK</v>
      </c>
      <c r="DF309" s="314" t="str">
        <f t="shared" si="373"/>
        <v>OK</v>
      </c>
      <c r="DG309" s="482" t="str">
        <f t="shared" si="387"/>
        <v>OK</v>
      </c>
      <c r="DH309" s="482" t="str">
        <f>IF(OR(AND(T309='Adjustment factors'!$R$28,'Class 3, 5-9'!U309='Adjustment factors'!$R$29),AND('Class 3, 5-9'!T309='Adjustment factors'!$R$29,'Class 3, 5-9'!U309='Adjustment factors'!$R$28)),"Invalid combination of adjustment factors",IF(AND(T309=U309,NOT(ISBLANK(T309)),NOT(ISBLANK(U309))),"Same colour factor selected twice","OK"))</f>
        <v>OK</v>
      </c>
      <c r="DI309" s="313" t="str">
        <f t="shared" si="374"/>
        <v>OK</v>
      </c>
      <c r="DJ309" s="153" t="str">
        <f t="shared" si="396"/>
        <v>OK</v>
      </c>
      <c r="DK309" s="153" t="str">
        <f t="shared" si="375"/>
        <v>OK</v>
      </c>
      <c r="DL309" s="313" t="str">
        <f t="shared" si="376"/>
        <v>OK</v>
      </c>
      <c r="DM309" s="153" t="str">
        <f t="shared" si="377"/>
        <v>OK</v>
      </c>
      <c r="DN309" s="153" t="str">
        <f t="shared" si="397"/>
        <v>OK</v>
      </c>
      <c r="DO309" s="154" t="str">
        <f t="shared" si="398"/>
        <v>OK</v>
      </c>
      <c r="DP309" s="153" t="str">
        <f t="shared" si="378"/>
        <v>OK</v>
      </c>
      <c r="DQ309" s="313" t="str">
        <f t="shared" si="379"/>
        <v>OK</v>
      </c>
      <c r="DR309" s="153" t="str">
        <f t="shared" si="399"/>
        <v>OK</v>
      </c>
      <c r="DS309" s="153" t="str">
        <f t="shared" si="380"/>
        <v>OK</v>
      </c>
      <c r="DT309" s="313" t="str">
        <f t="shared" si="411"/>
        <v>OK</v>
      </c>
      <c r="DU309" s="153" t="str">
        <f t="shared" si="381"/>
        <v>OK</v>
      </c>
      <c r="DV309" s="153" t="str">
        <f t="shared" si="400"/>
        <v>OK</v>
      </c>
      <c r="DW309" s="154" t="str">
        <f t="shared" si="401"/>
        <v>OK</v>
      </c>
      <c r="DX309" s="157">
        <f t="shared" si="402"/>
        <v>0</v>
      </c>
      <c r="DY309" s="156" t="str">
        <f t="shared" si="403"/>
        <v>OK</v>
      </c>
    </row>
    <row r="310" spans="1:129" ht="13" hidden="1" x14ac:dyDescent="0.3">
      <c r="A310" s="333"/>
      <c r="B310" s="333"/>
      <c r="C310" s="332" t="str">
        <f t="shared" si="410"/>
        <v>-</v>
      </c>
      <c r="D310" s="584">
        <f t="shared" si="336"/>
        <v>287</v>
      </c>
      <c r="E310" s="585"/>
      <c r="F310" s="586"/>
      <c r="G310" s="600"/>
      <c r="H310" s="587"/>
      <c r="I310" s="601"/>
      <c r="J310" s="585"/>
      <c r="K310" s="617"/>
      <c r="L310" s="602"/>
      <c r="M310" s="603"/>
      <c r="N310" s="588"/>
      <c r="O310" s="604"/>
      <c r="P310" s="605"/>
      <c r="Q310" s="588"/>
      <c r="R310" s="604"/>
      <c r="S310" s="605"/>
      <c r="T310" s="606"/>
      <c r="U310" s="606"/>
      <c r="V310" s="429" t="str">
        <f t="shared" si="408"/>
        <v/>
      </c>
      <c r="W310" s="430" t="str">
        <f t="shared" si="407"/>
        <v/>
      </c>
      <c r="X310" s="66" t="str">
        <f>IF(AND(ISNUMBER(P310),N310=FixedDim),MAX('Adjustment factors'!$S$16,0.2+0.8*P310),IF(ISTEXT(N310),VLOOKUP(N310,Afactors,2,TRUE),""))</f>
        <v/>
      </c>
      <c r="Y310" s="17" t="str">
        <f>IF(AND(ISNUMBER(S310),Q310=FixedDim),MAX('Adjustment factors'!$S$16,0.2+0.8*S310),IF(ISTEXT(Q310),VLOOKUP(Q310,Afactors,2,TRUE),""))</f>
        <v/>
      </c>
      <c r="Z310" s="297" t="str">
        <f>IF(ISBLANK(T310),"",VLOOKUP(T310,'Adjustment factors'!$R$27:$S$30,2,TRUE))</f>
        <v/>
      </c>
      <c r="AA310" s="297" t="str">
        <f>IF(ISBLANK(U310),"",VLOOKUP(U310,'Adjustment factors'!$R$27:$S$30,2,TRUE))</f>
        <v/>
      </c>
      <c r="AB310" s="480">
        <f t="shared" si="382"/>
        <v>1</v>
      </c>
      <c r="AC310" s="18" t="b">
        <f t="shared" si="339"/>
        <v>0</v>
      </c>
      <c r="AD310" s="18" t="b">
        <f t="shared" si="340"/>
        <v>0</v>
      </c>
      <c r="AE310" s="18" t="b">
        <f t="shared" si="404"/>
        <v>0</v>
      </c>
      <c r="AF310" s="17" t="str">
        <f t="shared" si="341"/>
        <v/>
      </c>
      <c r="AG310" s="18" t="str">
        <f t="shared" si="342"/>
        <v/>
      </c>
      <c r="AH310" s="17" t="str">
        <f t="shared" si="405"/>
        <v/>
      </c>
      <c r="AI310" s="297" t="e">
        <f t="shared" si="383"/>
        <v>#VALUE!</v>
      </c>
      <c r="AJ310" s="79" t="e">
        <f t="shared" si="343"/>
        <v>#VALUE!</v>
      </c>
      <c r="AK310" s="17" t="str">
        <f t="shared" si="406"/>
        <v/>
      </c>
      <c r="AL310" s="80" t="e">
        <f t="shared" si="344"/>
        <v>#VALUE!</v>
      </c>
      <c r="AM310" s="139" t="b">
        <f t="shared" si="345"/>
        <v>1</v>
      </c>
      <c r="AN310" s="139" t="b">
        <f>AND(COUNTA(E310)&gt;0,ISNUMBER(F310),OR(COUNT(G310:H310)=0,COUNT(G310:H310)=2,AND(ISNUMBER(G310),ISNUMBER(VALUE(LEFT(H310,SUM(LEN(H310)-LEN(SUBSTITUTE(H310,{"0","1","2","3","4","5","6","7","8","9","."},"")))))))),ISNUMBER(I310),ISTEXT(J310))</f>
        <v>0</v>
      </c>
      <c r="AO310" s="19" t="b">
        <f t="shared" si="346"/>
        <v>0</v>
      </c>
      <c r="AP310" s="19" t="b">
        <f t="shared" si="347"/>
        <v>1</v>
      </c>
      <c r="AQ310" s="19" t="b">
        <f>IF(AND(COUNTBLANK(E310:J310)=6,OR(AN311:AN$523)),NOT(AN310))</f>
        <v>0</v>
      </c>
      <c r="AR310" s="19" t="str">
        <f t="shared" si="348"/>
        <v/>
      </c>
      <c r="AS310" s="19" t="b">
        <f t="shared" si="349"/>
        <v>1</v>
      </c>
      <c r="AT310" s="19" t="str">
        <f t="shared" si="350"/>
        <v/>
      </c>
      <c r="AU310" s="19" t="b">
        <f t="shared" si="351"/>
        <v>1</v>
      </c>
      <c r="AV310" s="140" t="str">
        <f t="shared" si="388"/>
        <v/>
      </c>
      <c r="AW310" s="19" t="str">
        <f t="shared" si="352"/>
        <v/>
      </c>
      <c r="AX310" s="81">
        <f t="shared" si="353"/>
        <v>0</v>
      </c>
      <c r="AY310" s="81" t="str">
        <f t="shared" si="354"/>
        <v/>
      </c>
      <c r="AZ310" s="307" t="str">
        <f t="shared" si="384"/>
        <v/>
      </c>
      <c r="BA310" s="281" t="str">
        <f t="shared" si="389"/>
        <v/>
      </c>
      <c r="BB310" s="281" t="str">
        <f t="shared" si="390"/>
        <v/>
      </c>
      <c r="BC310" s="953"/>
      <c r="BD310" s="955"/>
      <c r="BE310" s="219" t="str">
        <f t="shared" si="355"/>
        <v>n/a</v>
      </c>
      <c r="BF310" s="215" t="b">
        <f t="shared" si="356"/>
        <v>0</v>
      </c>
      <c r="BG310" s="145" t="b">
        <f t="shared" si="357"/>
        <v>0</v>
      </c>
      <c r="BH310" s="145" t="b">
        <f t="shared" si="358"/>
        <v>0</v>
      </c>
      <c r="BI310" s="216" t="b">
        <f t="shared" si="359"/>
        <v>0</v>
      </c>
      <c r="BJ310" s="215" t="b">
        <f t="shared" si="360"/>
        <v>0</v>
      </c>
      <c r="BK310" s="145" t="b">
        <f t="shared" si="361"/>
        <v>0</v>
      </c>
      <c r="BL310" s="216" t="b">
        <f t="shared" si="362"/>
        <v>0</v>
      </c>
      <c r="BM310" s="217" t="str">
        <f t="shared" si="391"/>
        <v/>
      </c>
      <c r="BN310" s="146" t="str">
        <f t="shared" si="392"/>
        <v/>
      </c>
      <c r="BO310" s="147" t="str">
        <f t="shared" si="393"/>
        <v/>
      </c>
      <c r="BP310" s="148" t="str">
        <f t="shared" si="394"/>
        <v/>
      </c>
      <c r="BT310" s="50">
        <f t="shared" si="337"/>
        <v>287</v>
      </c>
      <c r="BU310" s="50" t="str">
        <f t="shared" si="409"/>
        <v>-</v>
      </c>
      <c r="BW310" s="340"/>
      <c r="BX310" s="333"/>
      <c r="BY310" s="333"/>
      <c r="BZ310" s="333"/>
      <c r="CA310" s="333"/>
      <c r="CB310" s="333"/>
      <c r="CC310" s="333"/>
      <c r="CD310" s="333"/>
      <c r="CE310" s="333"/>
      <c r="CF310" s="333"/>
      <c r="CG310" s="354">
        <f t="shared" si="363"/>
        <v>287</v>
      </c>
      <c r="CH310" s="613">
        <f t="shared" si="364"/>
        <v>0</v>
      </c>
      <c r="CI310" s="613">
        <f t="shared" si="365"/>
        <v>0</v>
      </c>
      <c r="CJ310" s="614" t="str">
        <f t="shared" si="366"/>
        <v/>
      </c>
      <c r="CK310" s="615" t="str">
        <f t="shared" si="367"/>
        <v/>
      </c>
      <c r="CL310" s="610" t="str">
        <f>IF(ISBLANK(H310),"",IF(AND(ISNUMBER(F310),ISNUMBER(G310),ISNUMBER(H310)),ROUND(F310/(H310*G310),2),ROUND(F310/(VALUE(LEFT(H310,SUM(LEN(H310)-LEN(SUBSTITUTE(H310,{"0","1","2","3","4","5","6","7","8","9","."},"")))))*G310),2)))</f>
        <v/>
      </c>
      <c r="CM310" s="616" t="str">
        <f t="shared" si="395"/>
        <v/>
      </c>
      <c r="CN310" s="616" t="str">
        <f>IF(ISNUMBER(P310),MAX('Adjustment factors'!$S$16,(0.2+0.8*P310)),IF(ISTEXT(N310),VLOOKUP(N310,Afactors,2,FALSE),""))</f>
        <v/>
      </c>
      <c r="CO310" s="616" t="str">
        <f>IF(ISNUMBER(S310),MAX('Adjustment factors'!$S$16,0.2+0.8*S310),IF(ISTEXT(Q310),VLOOKUP(Q310,Afactors,2,FALSE),""))</f>
        <v/>
      </c>
      <c r="CP310" s="611" t="str">
        <f t="shared" si="385"/>
        <v/>
      </c>
      <c r="CQ310" s="612" t="str">
        <f t="shared" si="386"/>
        <v/>
      </c>
      <c r="CR310" s="340"/>
      <c r="CS310" s="340"/>
      <c r="CT310" s="340"/>
      <c r="CU310" s="340"/>
      <c r="CV310" s="333"/>
      <c r="CW310" s="333"/>
      <c r="CX310" s="333"/>
      <c r="CY310" s="333"/>
      <c r="DA310" s="313" t="str">
        <f t="shared" si="368"/>
        <v>OK</v>
      </c>
      <c r="DB310" s="313" t="str">
        <f t="shared" si="369"/>
        <v>OK</v>
      </c>
      <c r="DC310" s="313" t="str">
        <f t="shared" si="370"/>
        <v>OK</v>
      </c>
      <c r="DD310" s="313" t="str">
        <f t="shared" si="371"/>
        <v>OK</v>
      </c>
      <c r="DE310" s="153" t="str">
        <f t="shared" si="372"/>
        <v>OK</v>
      </c>
      <c r="DF310" s="314" t="str">
        <f t="shared" si="373"/>
        <v>OK</v>
      </c>
      <c r="DG310" s="482" t="str">
        <f t="shared" si="387"/>
        <v>OK</v>
      </c>
      <c r="DH310" s="482" t="str">
        <f>IF(OR(AND(T310='Adjustment factors'!$R$28,'Class 3, 5-9'!U310='Adjustment factors'!$R$29),AND('Class 3, 5-9'!T310='Adjustment factors'!$R$29,'Class 3, 5-9'!U310='Adjustment factors'!$R$28)),"Invalid combination of adjustment factors",IF(AND(T310=U310,NOT(ISBLANK(T310)),NOT(ISBLANK(U310))),"Same colour factor selected twice","OK"))</f>
        <v>OK</v>
      </c>
      <c r="DI310" s="313" t="str">
        <f t="shared" si="374"/>
        <v>OK</v>
      </c>
      <c r="DJ310" s="153" t="str">
        <f t="shared" si="396"/>
        <v>OK</v>
      </c>
      <c r="DK310" s="153" t="str">
        <f t="shared" si="375"/>
        <v>OK</v>
      </c>
      <c r="DL310" s="313" t="str">
        <f t="shared" si="376"/>
        <v>OK</v>
      </c>
      <c r="DM310" s="153" t="str">
        <f t="shared" si="377"/>
        <v>OK</v>
      </c>
      <c r="DN310" s="153" t="str">
        <f t="shared" si="397"/>
        <v>OK</v>
      </c>
      <c r="DO310" s="154" t="str">
        <f t="shared" si="398"/>
        <v>OK</v>
      </c>
      <c r="DP310" s="153" t="str">
        <f t="shared" si="378"/>
        <v>OK</v>
      </c>
      <c r="DQ310" s="313" t="str">
        <f t="shared" si="379"/>
        <v>OK</v>
      </c>
      <c r="DR310" s="153" t="str">
        <f t="shared" si="399"/>
        <v>OK</v>
      </c>
      <c r="DS310" s="153" t="str">
        <f t="shared" si="380"/>
        <v>OK</v>
      </c>
      <c r="DT310" s="313" t="str">
        <f t="shared" si="411"/>
        <v>OK</v>
      </c>
      <c r="DU310" s="153" t="str">
        <f t="shared" si="381"/>
        <v>OK</v>
      </c>
      <c r="DV310" s="153" t="str">
        <f t="shared" si="400"/>
        <v>OK</v>
      </c>
      <c r="DW310" s="154" t="str">
        <f t="shared" si="401"/>
        <v>OK</v>
      </c>
      <c r="DX310" s="157">
        <f t="shared" si="402"/>
        <v>0</v>
      </c>
      <c r="DY310" s="156" t="str">
        <f t="shared" si="403"/>
        <v>OK</v>
      </c>
    </row>
    <row r="311" spans="1:129" ht="13" hidden="1" x14ac:dyDescent="0.3">
      <c r="A311" s="333"/>
      <c r="B311" s="333"/>
      <c r="C311" s="332" t="str">
        <f t="shared" si="410"/>
        <v>-</v>
      </c>
      <c r="D311" s="584">
        <f t="shared" si="336"/>
        <v>288</v>
      </c>
      <c r="E311" s="585"/>
      <c r="F311" s="586"/>
      <c r="G311" s="600"/>
      <c r="H311" s="587"/>
      <c r="I311" s="601"/>
      <c r="J311" s="585"/>
      <c r="K311" s="617"/>
      <c r="L311" s="602"/>
      <c r="M311" s="603"/>
      <c r="N311" s="588"/>
      <c r="O311" s="604"/>
      <c r="P311" s="605"/>
      <c r="Q311" s="588"/>
      <c r="R311" s="604"/>
      <c r="S311" s="605"/>
      <c r="T311" s="606"/>
      <c r="U311" s="606"/>
      <c r="V311" s="429" t="str">
        <f t="shared" si="408"/>
        <v/>
      </c>
      <c r="W311" s="430" t="str">
        <f t="shared" si="407"/>
        <v/>
      </c>
      <c r="X311" s="66" t="str">
        <f>IF(AND(ISNUMBER(P311),N311=FixedDim),MAX('Adjustment factors'!$S$16,0.2+0.8*P311),IF(ISTEXT(N311),VLOOKUP(N311,Afactors,2,TRUE),""))</f>
        <v/>
      </c>
      <c r="Y311" s="17" t="str">
        <f>IF(AND(ISNUMBER(S311),Q311=FixedDim),MAX('Adjustment factors'!$S$16,0.2+0.8*S311),IF(ISTEXT(Q311),VLOOKUP(Q311,Afactors,2,TRUE),""))</f>
        <v/>
      </c>
      <c r="Z311" s="297" t="str">
        <f>IF(ISBLANK(T311),"",VLOOKUP(T311,'Adjustment factors'!$R$27:$S$30,2,TRUE))</f>
        <v/>
      </c>
      <c r="AA311" s="297" t="str">
        <f>IF(ISBLANK(U311),"",VLOOKUP(U311,'Adjustment factors'!$R$27:$S$30,2,TRUE))</f>
        <v/>
      </c>
      <c r="AB311" s="480">
        <f t="shared" si="382"/>
        <v>1</v>
      </c>
      <c r="AC311" s="18" t="b">
        <f t="shared" si="339"/>
        <v>0</v>
      </c>
      <c r="AD311" s="18" t="b">
        <f t="shared" si="340"/>
        <v>0</v>
      </c>
      <c r="AE311" s="18" t="b">
        <f t="shared" si="404"/>
        <v>0</v>
      </c>
      <c r="AF311" s="17" t="str">
        <f t="shared" si="341"/>
        <v/>
      </c>
      <c r="AG311" s="18" t="str">
        <f t="shared" si="342"/>
        <v/>
      </c>
      <c r="AH311" s="17" t="str">
        <f t="shared" si="405"/>
        <v/>
      </c>
      <c r="AI311" s="297" t="e">
        <f t="shared" si="383"/>
        <v>#VALUE!</v>
      </c>
      <c r="AJ311" s="79" t="e">
        <f t="shared" si="343"/>
        <v>#VALUE!</v>
      </c>
      <c r="AK311" s="17" t="str">
        <f t="shared" si="406"/>
        <v/>
      </c>
      <c r="AL311" s="80" t="e">
        <f t="shared" si="344"/>
        <v>#VALUE!</v>
      </c>
      <c r="AM311" s="139" t="b">
        <f t="shared" si="345"/>
        <v>1</v>
      </c>
      <c r="AN311" s="139" t="b">
        <f>AND(COUNTA(E311)&gt;0,ISNUMBER(F311),OR(COUNT(G311:H311)=0,COUNT(G311:H311)=2,AND(ISNUMBER(G311),ISNUMBER(VALUE(LEFT(H311,SUM(LEN(H311)-LEN(SUBSTITUTE(H311,{"0","1","2","3","4","5","6","7","8","9","."},"")))))))),ISNUMBER(I311),ISTEXT(J311))</f>
        <v>0</v>
      </c>
      <c r="AO311" s="19" t="b">
        <f t="shared" si="346"/>
        <v>0</v>
      </c>
      <c r="AP311" s="19" t="b">
        <f t="shared" si="347"/>
        <v>1</v>
      </c>
      <c r="AQ311" s="19" t="b">
        <f>IF(AND(COUNTBLANK(E311:J311)=6,OR(AN312:AN$523)),NOT(AN311))</f>
        <v>0</v>
      </c>
      <c r="AR311" s="19" t="str">
        <f t="shared" si="348"/>
        <v/>
      </c>
      <c r="AS311" s="19" t="b">
        <f t="shared" si="349"/>
        <v>1</v>
      </c>
      <c r="AT311" s="19" t="str">
        <f t="shared" si="350"/>
        <v/>
      </c>
      <c r="AU311" s="19" t="b">
        <f t="shared" si="351"/>
        <v>1</v>
      </c>
      <c r="AV311" s="140" t="str">
        <f t="shared" si="388"/>
        <v/>
      </c>
      <c r="AW311" s="19" t="str">
        <f t="shared" si="352"/>
        <v/>
      </c>
      <c r="AX311" s="81">
        <f t="shared" si="353"/>
        <v>0</v>
      </c>
      <c r="AY311" s="81" t="str">
        <f t="shared" si="354"/>
        <v/>
      </c>
      <c r="AZ311" s="307" t="str">
        <f t="shared" si="384"/>
        <v/>
      </c>
      <c r="BA311" s="281" t="str">
        <f t="shared" si="389"/>
        <v/>
      </c>
      <c r="BB311" s="281" t="str">
        <f t="shared" si="390"/>
        <v/>
      </c>
      <c r="BC311" s="953"/>
      <c r="BD311" s="955"/>
      <c r="BE311" s="219" t="str">
        <f t="shared" si="355"/>
        <v>n/a</v>
      </c>
      <c r="BF311" s="215" t="b">
        <f t="shared" si="356"/>
        <v>0</v>
      </c>
      <c r="BG311" s="145" t="b">
        <f t="shared" si="357"/>
        <v>0</v>
      </c>
      <c r="BH311" s="145" t="b">
        <f t="shared" si="358"/>
        <v>0</v>
      </c>
      <c r="BI311" s="216" t="b">
        <f t="shared" si="359"/>
        <v>0</v>
      </c>
      <c r="BJ311" s="215" t="b">
        <f t="shared" si="360"/>
        <v>0</v>
      </c>
      <c r="BK311" s="145" t="b">
        <f t="shared" si="361"/>
        <v>0</v>
      </c>
      <c r="BL311" s="216" t="b">
        <f t="shared" si="362"/>
        <v>0</v>
      </c>
      <c r="BM311" s="217" t="str">
        <f t="shared" si="391"/>
        <v/>
      </c>
      <c r="BN311" s="146" t="str">
        <f t="shared" si="392"/>
        <v/>
      </c>
      <c r="BO311" s="147" t="str">
        <f t="shared" si="393"/>
        <v/>
      </c>
      <c r="BP311" s="148" t="str">
        <f t="shared" si="394"/>
        <v/>
      </c>
      <c r="BT311" s="50">
        <f t="shared" si="337"/>
        <v>288</v>
      </c>
      <c r="BU311" s="50" t="str">
        <f t="shared" si="409"/>
        <v>-</v>
      </c>
      <c r="BW311" s="340"/>
      <c r="BX311" s="333"/>
      <c r="BY311" s="333"/>
      <c r="BZ311" s="333"/>
      <c r="CA311" s="333"/>
      <c r="CB311" s="333"/>
      <c r="CC311" s="333"/>
      <c r="CD311" s="333"/>
      <c r="CE311" s="333"/>
      <c r="CF311" s="333"/>
      <c r="CG311" s="354">
        <f t="shared" si="363"/>
        <v>288</v>
      </c>
      <c r="CH311" s="613">
        <f t="shared" si="364"/>
        <v>0</v>
      </c>
      <c r="CI311" s="613">
        <f t="shared" si="365"/>
        <v>0</v>
      </c>
      <c r="CJ311" s="614" t="str">
        <f t="shared" si="366"/>
        <v/>
      </c>
      <c r="CK311" s="615" t="str">
        <f t="shared" si="367"/>
        <v/>
      </c>
      <c r="CL311" s="610" t="str">
        <f>IF(ISBLANK(H311),"",IF(AND(ISNUMBER(F311),ISNUMBER(G311),ISNUMBER(H311)),ROUND(F311/(H311*G311),2),ROUND(F311/(VALUE(LEFT(H311,SUM(LEN(H311)-LEN(SUBSTITUTE(H311,{"0","1","2","3","4","5","6","7","8","9","."},"")))))*G311),2)))</f>
        <v/>
      </c>
      <c r="CM311" s="616" t="str">
        <f t="shared" si="395"/>
        <v/>
      </c>
      <c r="CN311" s="616" t="str">
        <f>IF(ISNUMBER(P311),MAX('Adjustment factors'!$S$16,(0.2+0.8*P311)),IF(ISTEXT(N311),VLOOKUP(N311,Afactors,2,FALSE),""))</f>
        <v/>
      </c>
      <c r="CO311" s="616" t="str">
        <f>IF(ISNUMBER(S311),MAX('Adjustment factors'!$S$16,0.2+0.8*S311),IF(ISTEXT(Q311),VLOOKUP(Q311,Afactors,2,FALSE),""))</f>
        <v/>
      </c>
      <c r="CP311" s="611" t="str">
        <f t="shared" si="385"/>
        <v/>
      </c>
      <c r="CQ311" s="612" t="str">
        <f t="shared" si="386"/>
        <v/>
      </c>
      <c r="CR311" s="340"/>
      <c r="CS311" s="340"/>
      <c r="CT311" s="340"/>
      <c r="CU311" s="340"/>
      <c r="CV311" s="333"/>
      <c r="CW311" s="333"/>
      <c r="CX311" s="333"/>
      <c r="CY311" s="333"/>
      <c r="DA311" s="313" t="str">
        <f t="shared" si="368"/>
        <v>OK</v>
      </c>
      <c r="DB311" s="313" t="str">
        <f t="shared" si="369"/>
        <v>OK</v>
      </c>
      <c r="DC311" s="313" t="str">
        <f t="shared" si="370"/>
        <v>OK</v>
      </c>
      <c r="DD311" s="313" t="str">
        <f t="shared" si="371"/>
        <v>OK</v>
      </c>
      <c r="DE311" s="153" t="str">
        <f t="shared" si="372"/>
        <v>OK</v>
      </c>
      <c r="DF311" s="314" t="str">
        <f t="shared" si="373"/>
        <v>OK</v>
      </c>
      <c r="DG311" s="482" t="str">
        <f t="shared" si="387"/>
        <v>OK</v>
      </c>
      <c r="DH311" s="482" t="str">
        <f>IF(OR(AND(T311='Adjustment factors'!$R$28,'Class 3, 5-9'!U311='Adjustment factors'!$R$29),AND('Class 3, 5-9'!T311='Adjustment factors'!$R$29,'Class 3, 5-9'!U311='Adjustment factors'!$R$28)),"Invalid combination of adjustment factors",IF(AND(T311=U311,NOT(ISBLANK(T311)),NOT(ISBLANK(U311))),"Same colour factor selected twice","OK"))</f>
        <v>OK</v>
      </c>
      <c r="DI311" s="313" t="str">
        <f t="shared" si="374"/>
        <v>OK</v>
      </c>
      <c r="DJ311" s="153" t="str">
        <f t="shared" si="396"/>
        <v>OK</v>
      </c>
      <c r="DK311" s="153" t="str">
        <f t="shared" si="375"/>
        <v>OK</v>
      </c>
      <c r="DL311" s="313" t="str">
        <f t="shared" si="376"/>
        <v>OK</v>
      </c>
      <c r="DM311" s="153" t="str">
        <f t="shared" si="377"/>
        <v>OK</v>
      </c>
      <c r="DN311" s="153" t="str">
        <f t="shared" si="397"/>
        <v>OK</v>
      </c>
      <c r="DO311" s="154" t="str">
        <f t="shared" si="398"/>
        <v>OK</v>
      </c>
      <c r="DP311" s="153" t="str">
        <f t="shared" si="378"/>
        <v>OK</v>
      </c>
      <c r="DQ311" s="313" t="str">
        <f t="shared" si="379"/>
        <v>OK</v>
      </c>
      <c r="DR311" s="153" t="str">
        <f t="shared" si="399"/>
        <v>OK</v>
      </c>
      <c r="DS311" s="153" t="str">
        <f t="shared" si="380"/>
        <v>OK</v>
      </c>
      <c r="DT311" s="313" t="str">
        <f t="shared" si="411"/>
        <v>OK</v>
      </c>
      <c r="DU311" s="153" t="str">
        <f t="shared" si="381"/>
        <v>OK</v>
      </c>
      <c r="DV311" s="153" t="str">
        <f t="shared" si="400"/>
        <v>OK</v>
      </c>
      <c r="DW311" s="154" t="str">
        <f t="shared" si="401"/>
        <v>OK</v>
      </c>
      <c r="DX311" s="157">
        <f t="shared" si="402"/>
        <v>0</v>
      </c>
      <c r="DY311" s="156" t="str">
        <f t="shared" si="403"/>
        <v>OK</v>
      </c>
    </row>
    <row r="312" spans="1:129" ht="13" hidden="1" x14ac:dyDescent="0.3">
      <c r="A312" s="333"/>
      <c r="B312" s="333"/>
      <c r="C312" s="332" t="str">
        <f t="shared" si="410"/>
        <v>-</v>
      </c>
      <c r="D312" s="584">
        <f t="shared" si="336"/>
        <v>289</v>
      </c>
      <c r="E312" s="585"/>
      <c r="F312" s="586"/>
      <c r="G312" s="600"/>
      <c r="H312" s="587"/>
      <c r="I312" s="601"/>
      <c r="J312" s="585"/>
      <c r="K312" s="617"/>
      <c r="L312" s="602"/>
      <c r="M312" s="603"/>
      <c r="N312" s="588"/>
      <c r="O312" s="604"/>
      <c r="P312" s="605"/>
      <c r="Q312" s="588"/>
      <c r="R312" s="604"/>
      <c r="S312" s="605"/>
      <c r="T312" s="606"/>
      <c r="U312" s="606"/>
      <c r="V312" s="429" t="str">
        <f t="shared" si="408"/>
        <v/>
      </c>
      <c r="W312" s="430" t="str">
        <f t="shared" si="407"/>
        <v/>
      </c>
      <c r="X312" s="66" t="str">
        <f>IF(AND(ISNUMBER(P312),N312=FixedDim),MAX('Adjustment factors'!$S$16,0.2+0.8*P312),IF(ISTEXT(N312),VLOOKUP(N312,Afactors,2,TRUE),""))</f>
        <v/>
      </c>
      <c r="Y312" s="17" t="str">
        <f>IF(AND(ISNUMBER(S312),Q312=FixedDim),MAX('Adjustment factors'!$S$16,0.2+0.8*S312),IF(ISTEXT(Q312),VLOOKUP(Q312,Afactors,2,TRUE),""))</f>
        <v/>
      </c>
      <c r="Z312" s="297" t="str">
        <f>IF(ISBLANK(T312),"",VLOOKUP(T312,'Adjustment factors'!$R$27:$S$30,2,TRUE))</f>
        <v/>
      </c>
      <c r="AA312" s="297" t="str">
        <f>IF(ISBLANK(U312),"",VLOOKUP(U312,'Adjustment factors'!$R$27:$S$30,2,TRUE))</f>
        <v/>
      </c>
      <c r="AB312" s="480">
        <f t="shared" si="382"/>
        <v>1</v>
      </c>
      <c r="AC312" s="18" t="b">
        <f t="shared" si="339"/>
        <v>0</v>
      </c>
      <c r="AD312" s="18" t="b">
        <f t="shared" si="340"/>
        <v>0</v>
      </c>
      <c r="AE312" s="18" t="b">
        <f t="shared" si="404"/>
        <v>0</v>
      </c>
      <c r="AF312" s="17" t="str">
        <f t="shared" si="341"/>
        <v/>
      </c>
      <c r="AG312" s="18" t="str">
        <f t="shared" si="342"/>
        <v/>
      </c>
      <c r="AH312" s="17" t="str">
        <f t="shared" si="405"/>
        <v/>
      </c>
      <c r="AI312" s="297" t="e">
        <f t="shared" si="383"/>
        <v>#VALUE!</v>
      </c>
      <c r="AJ312" s="79" t="e">
        <f t="shared" si="343"/>
        <v>#VALUE!</v>
      </c>
      <c r="AK312" s="17" t="str">
        <f t="shared" si="406"/>
        <v/>
      </c>
      <c r="AL312" s="80" t="e">
        <f t="shared" si="344"/>
        <v>#VALUE!</v>
      </c>
      <c r="AM312" s="139" t="b">
        <f t="shared" si="345"/>
        <v>1</v>
      </c>
      <c r="AN312" s="139" t="b">
        <f>AND(COUNTA(E312)&gt;0,ISNUMBER(F312),OR(COUNT(G312:H312)=0,COUNT(G312:H312)=2,AND(ISNUMBER(G312),ISNUMBER(VALUE(LEFT(H312,SUM(LEN(H312)-LEN(SUBSTITUTE(H312,{"0","1","2","3","4","5","6","7","8","9","."},"")))))))),ISNUMBER(I312),ISTEXT(J312))</f>
        <v>0</v>
      </c>
      <c r="AO312" s="19" t="b">
        <f t="shared" si="346"/>
        <v>0</v>
      </c>
      <c r="AP312" s="19" t="b">
        <f t="shared" si="347"/>
        <v>1</v>
      </c>
      <c r="AQ312" s="19" t="b">
        <f>IF(AND(COUNTBLANK(E312:J312)=6,OR(AN313:AN$523)),NOT(AN312))</f>
        <v>0</v>
      </c>
      <c r="AR312" s="19" t="str">
        <f t="shared" si="348"/>
        <v/>
      </c>
      <c r="AS312" s="19" t="b">
        <f t="shared" si="349"/>
        <v>1</v>
      </c>
      <c r="AT312" s="19" t="str">
        <f t="shared" si="350"/>
        <v/>
      </c>
      <c r="AU312" s="19" t="b">
        <f t="shared" si="351"/>
        <v>1</v>
      </c>
      <c r="AV312" s="140" t="str">
        <f t="shared" si="388"/>
        <v/>
      </c>
      <c r="AW312" s="19" t="str">
        <f t="shared" si="352"/>
        <v/>
      </c>
      <c r="AX312" s="81">
        <f t="shared" si="353"/>
        <v>0</v>
      </c>
      <c r="AY312" s="81" t="str">
        <f t="shared" si="354"/>
        <v/>
      </c>
      <c r="AZ312" s="307" t="str">
        <f t="shared" si="384"/>
        <v/>
      </c>
      <c r="BA312" s="281" t="str">
        <f t="shared" si="389"/>
        <v/>
      </c>
      <c r="BB312" s="281" t="str">
        <f t="shared" si="390"/>
        <v/>
      </c>
      <c r="BC312" s="953"/>
      <c r="BD312" s="955"/>
      <c r="BE312" s="219" t="str">
        <f t="shared" si="355"/>
        <v>n/a</v>
      </c>
      <c r="BF312" s="215" t="b">
        <f t="shared" si="356"/>
        <v>0</v>
      </c>
      <c r="BG312" s="145" t="b">
        <f t="shared" si="357"/>
        <v>0</v>
      </c>
      <c r="BH312" s="145" t="b">
        <f t="shared" si="358"/>
        <v>0</v>
      </c>
      <c r="BI312" s="216" t="b">
        <f t="shared" si="359"/>
        <v>0</v>
      </c>
      <c r="BJ312" s="215" t="b">
        <f t="shared" si="360"/>
        <v>0</v>
      </c>
      <c r="BK312" s="145" t="b">
        <f t="shared" si="361"/>
        <v>0</v>
      </c>
      <c r="BL312" s="216" t="b">
        <f t="shared" si="362"/>
        <v>0</v>
      </c>
      <c r="BM312" s="217" t="str">
        <f t="shared" si="391"/>
        <v/>
      </c>
      <c r="BN312" s="146" t="str">
        <f t="shared" si="392"/>
        <v/>
      </c>
      <c r="BO312" s="147" t="str">
        <f t="shared" si="393"/>
        <v/>
      </c>
      <c r="BP312" s="148" t="str">
        <f t="shared" si="394"/>
        <v/>
      </c>
      <c r="BT312" s="50">
        <f t="shared" si="337"/>
        <v>289</v>
      </c>
      <c r="BU312" s="50" t="str">
        <f t="shared" si="409"/>
        <v>-</v>
      </c>
      <c r="BW312" s="340"/>
      <c r="BX312" s="333"/>
      <c r="BY312" s="333"/>
      <c r="BZ312" s="333"/>
      <c r="CA312" s="333"/>
      <c r="CB312" s="333"/>
      <c r="CC312" s="333"/>
      <c r="CD312" s="333"/>
      <c r="CE312" s="333"/>
      <c r="CF312" s="333"/>
      <c r="CG312" s="354">
        <f t="shared" si="363"/>
        <v>289</v>
      </c>
      <c r="CH312" s="613">
        <f t="shared" si="364"/>
        <v>0</v>
      </c>
      <c r="CI312" s="613">
        <f t="shared" si="365"/>
        <v>0</v>
      </c>
      <c r="CJ312" s="614" t="str">
        <f t="shared" si="366"/>
        <v/>
      </c>
      <c r="CK312" s="615" t="str">
        <f t="shared" si="367"/>
        <v/>
      </c>
      <c r="CL312" s="610" t="str">
        <f>IF(ISBLANK(H312),"",IF(AND(ISNUMBER(F312),ISNUMBER(G312),ISNUMBER(H312)),ROUND(F312/(H312*G312),2),ROUND(F312/(VALUE(LEFT(H312,SUM(LEN(H312)-LEN(SUBSTITUTE(H312,{"0","1","2","3","4","5","6","7","8","9","."},"")))))*G312),2)))</f>
        <v/>
      </c>
      <c r="CM312" s="616" t="str">
        <f t="shared" si="395"/>
        <v/>
      </c>
      <c r="CN312" s="616" t="str">
        <f>IF(ISNUMBER(P312),MAX('Adjustment factors'!$S$16,(0.2+0.8*P312)),IF(ISTEXT(N312),VLOOKUP(N312,Afactors,2,FALSE),""))</f>
        <v/>
      </c>
      <c r="CO312" s="616" t="str">
        <f>IF(ISNUMBER(S312),MAX('Adjustment factors'!$S$16,0.2+0.8*S312),IF(ISTEXT(Q312),VLOOKUP(Q312,Afactors,2,FALSE),""))</f>
        <v/>
      </c>
      <c r="CP312" s="611" t="str">
        <f t="shared" si="385"/>
        <v/>
      </c>
      <c r="CQ312" s="612" t="str">
        <f t="shared" si="386"/>
        <v/>
      </c>
      <c r="CR312" s="340"/>
      <c r="CS312" s="340"/>
      <c r="CT312" s="340"/>
      <c r="CU312" s="340"/>
      <c r="CV312" s="333"/>
      <c r="CW312" s="333"/>
      <c r="CX312" s="333"/>
      <c r="CY312" s="333"/>
      <c r="DA312" s="313" t="str">
        <f t="shared" si="368"/>
        <v>OK</v>
      </c>
      <c r="DB312" s="313" t="str">
        <f t="shared" si="369"/>
        <v>OK</v>
      </c>
      <c r="DC312" s="313" t="str">
        <f t="shared" si="370"/>
        <v>OK</v>
      </c>
      <c r="DD312" s="313" t="str">
        <f t="shared" si="371"/>
        <v>OK</v>
      </c>
      <c r="DE312" s="153" t="str">
        <f t="shared" si="372"/>
        <v>OK</v>
      </c>
      <c r="DF312" s="314" t="str">
        <f t="shared" si="373"/>
        <v>OK</v>
      </c>
      <c r="DG312" s="482" t="str">
        <f t="shared" si="387"/>
        <v>OK</v>
      </c>
      <c r="DH312" s="482" t="str">
        <f>IF(OR(AND(T312='Adjustment factors'!$R$28,'Class 3, 5-9'!U312='Adjustment factors'!$R$29),AND('Class 3, 5-9'!T312='Adjustment factors'!$R$29,'Class 3, 5-9'!U312='Adjustment factors'!$R$28)),"Invalid combination of adjustment factors",IF(AND(T312=U312,NOT(ISBLANK(T312)),NOT(ISBLANK(U312))),"Same colour factor selected twice","OK"))</f>
        <v>OK</v>
      </c>
      <c r="DI312" s="313" t="str">
        <f t="shared" si="374"/>
        <v>OK</v>
      </c>
      <c r="DJ312" s="153" t="str">
        <f t="shared" si="396"/>
        <v>OK</v>
      </c>
      <c r="DK312" s="153" t="str">
        <f t="shared" si="375"/>
        <v>OK</v>
      </c>
      <c r="DL312" s="313" t="str">
        <f t="shared" si="376"/>
        <v>OK</v>
      </c>
      <c r="DM312" s="153" t="str">
        <f t="shared" si="377"/>
        <v>OK</v>
      </c>
      <c r="DN312" s="153" t="str">
        <f t="shared" si="397"/>
        <v>OK</v>
      </c>
      <c r="DO312" s="154" t="str">
        <f t="shared" si="398"/>
        <v>OK</v>
      </c>
      <c r="DP312" s="153" t="str">
        <f t="shared" si="378"/>
        <v>OK</v>
      </c>
      <c r="DQ312" s="313" t="str">
        <f t="shared" si="379"/>
        <v>OK</v>
      </c>
      <c r="DR312" s="153" t="str">
        <f t="shared" si="399"/>
        <v>OK</v>
      </c>
      <c r="DS312" s="153" t="str">
        <f t="shared" si="380"/>
        <v>OK</v>
      </c>
      <c r="DT312" s="313" t="str">
        <f t="shared" si="411"/>
        <v>OK</v>
      </c>
      <c r="DU312" s="153" t="str">
        <f t="shared" si="381"/>
        <v>OK</v>
      </c>
      <c r="DV312" s="153" t="str">
        <f t="shared" si="400"/>
        <v>OK</v>
      </c>
      <c r="DW312" s="154" t="str">
        <f t="shared" si="401"/>
        <v>OK</v>
      </c>
      <c r="DX312" s="157">
        <f t="shared" si="402"/>
        <v>0</v>
      </c>
      <c r="DY312" s="156" t="str">
        <f t="shared" si="403"/>
        <v>OK</v>
      </c>
    </row>
    <row r="313" spans="1:129" ht="13" hidden="1" x14ac:dyDescent="0.3">
      <c r="A313" s="333"/>
      <c r="B313" s="333"/>
      <c r="C313" s="332" t="str">
        <f t="shared" si="410"/>
        <v>-</v>
      </c>
      <c r="D313" s="584">
        <f t="shared" si="336"/>
        <v>290</v>
      </c>
      <c r="E313" s="585"/>
      <c r="F313" s="586"/>
      <c r="G313" s="600"/>
      <c r="H313" s="587"/>
      <c r="I313" s="601"/>
      <c r="J313" s="585"/>
      <c r="K313" s="617"/>
      <c r="L313" s="602"/>
      <c r="M313" s="603"/>
      <c r="N313" s="588"/>
      <c r="O313" s="604"/>
      <c r="P313" s="605"/>
      <c r="Q313" s="588"/>
      <c r="R313" s="604"/>
      <c r="S313" s="605"/>
      <c r="T313" s="606"/>
      <c r="U313" s="606"/>
      <c r="V313" s="429" t="str">
        <f t="shared" si="408"/>
        <v/>
      </c>
      <c r="W313" s="430" t="str">
        <f t="shared" si="407"/>
        <v/>
      </c>
      <c r="X313" s="66" t="str">
        <f>IF(AND(ISNUMBER(P313),N313=FixedDim),MAX('Adjustment factors'!$S$16,0.2+0.8*P313),IF(ISTEXT(N313),VLOOKUP(N313,Afactors,2,TRUE),""))</f>
        <v/>
      </c>
      <c r="Y313" s="17" t="str">
        <f>IF(AND(ISNUMBER(S313),Q313=FixedDim),MAX('Adjustment factors'!$S$16,0.2+0.8*S313),IF(ISTEXT(Q313),VLOOKUP(Q313,Afactors,2,TRUE),""))</f>
        <v/>
      </c>
      <c r="Z313" s="297" t="str">
        <f>IF(ISBLANK(T313),"",VLOOKUP(T313,'Adjustment factors'!$R$27:$S$30,2,TRUE))</f>
        <v/>
      </c>
      <c r="AA313" s="297" t="str">
        <f>IF(ISBLANK(U313),"",VLOOKUP(U313,'Adjustment factors'!$R$27:$S$30,2,TRUE))</f>
        <v/>
      </c>
      <c r="AB313" s="480">
        <f t="shared" si="382"/>
        <v>1</v>
      </c>
      <c r="AC313" s="18" t="b">
        <f t="shared" si="339"/>
        <v>0</v>
      </c>
      <c r="AD313" s="18" t="b">
        <f t="shared" si="340"/>
        <v>0</v>
      </c>
      <c r="AE313" s="18" t="b">
        <f t="shared" si="404"/>
        <v>0</v>
      </c>
      <c r="AF313" s="17" t="str">
        <f t="shared" si="341"/>
        <v/>
      </c>
      <c r="AG313" s="18" t="str">
        <f t="shared" si="342"/>
        <v/>
      </c>
      <c r="AH313" s="17" t="str">
        <f t="shared" si="405"/>
        <v/>
      </c>
      <c r="AI313" s="297" t="e">
        <f t="shared" si="383"/>
        <v>#VALUE!</v>
      </c>
      <c r="AJ313" s="79" t="e">
        <f t="shared" si="343"/>
        <v>#VALUE!</v>
      </c>
      <c r="AK313" s="17" t="str">
        <f t="shared" si="406"/>
        <v/>
      </c>
      <c r="AL313" s="80" t="e">
        <f t="shared" si="344"/>
        <v>#VALUE!</v>
      </c>
      <c r="AM313" s="139" t="b">
        <f t="shared" si="345"/>
        <v>1</v>
      </c>
      <c r="AN313" s="139" t="b">
        <f>AND(COUNTA(E313)&gt;0,ISNUMBER(F313),OR(COUNT(G313:H313)=0,COUNT(G313:H313)=2,AND(ISNUMBER(G313),ISNUMBER(VALUE(LEFT(H313,SUM(LEN(H313)-LEN(SUBSTITUTE(H313,{"0","1","2","3","4","5","6","7","8","9","."},"")))))))),ISNUMBER(I313),ISTEXT(J313))</f>
        <v>0</v>
      </c>
      <c r="AO313" s="19" t="b">
        <f t="shared" si="346"/>
        <v>0</v>
      </c>
      <c r="AP313" s="19" t="b">
        <f t="shared" si="347"/>
        <v>1</v>
      </c>
      <c r="AQ313" s="19" t="b">
        <f>IF(AND(COUNTBLANK(E313:J313)=6,OR(AN314:AN$523)),NOT(AN313))</f>
        <v>0</v>
      </c>
      <c r="AR313" s="19" t="str">
        <f t="shared" si="348"/>
        <v/>
      </c>
      <c r="AS313" s="19" t="b">
        <f t="shared" si="349"/>
        <v>1</v>
      </c>
      <c r="AT313" s="19" t="str">
        <f t="shared" si="350"/>
        <v/>
      </c>
      <c r="AU313" s="19" t="b">
        <f t="shared" si="351"/>
        <v>1</v>
      </c>
      <c r="AV313" s="140" t="str">
        <f t="shared" si="388"/>
        <v/>
      </c>
      <c r="AW313" s="19" t="str">
        <f t="shared" si="352"/>
        <v/>
      </c>
      <c r="AX313" s="81">
        <f t="shared" si="353"/>
        <v>0</v>
      </c>
      <c r="AY313" s="81" t="str">
        <f t="shared" si="354"/>
        <v/>
      </c>
      <c r="AZ313" s="307" t="str">
        <f t="shared" si="384"/>
        <v/>
      </c>
      <c r="BA313" s="281" t="str">
        <f t="shared" si="389"/>
        <v/>
      </c>
      <c r="BB313" s="281" t="str">
        <f t="shared" si="390"/>
        <v/>
      </c>
      <c r="BC313" s="953"/>
      <c r="BD313" s="955"/>
      <c r="BE313" s="219" t="str">
        <f t="shared" si="355"/>
        <v>n/a</v>
      </c>
      <c r="BF313" s="215" t="b">
        <f t="shared" si="356"/>
        <v>0</v>
      </c>
      <c r="BG313" s="145" t="b">
        <f t="shared" si="357"/>
        <v>0</v>
      </c>
      <c r="BH313" s="145" t="b">
        <f t="shared" si="358"/>
        <v>0</v>
      </c>
      <c r="BI313" s="216" t="b">
        <f t="shared" si="359"/>
        <v>0</v>
      </c>
      <c r="BJ313" s="215" t="b">
        <f t="shared" si="360"/>
        <v>0</v>
      </c>
      <c r="BK313" s="145" t="b">
        <f t="shared" si="361"/>
        <v>0</v>
      </c>
      <c r="BL313" s="216" t="b">
        <f t="shared" si="362"/>
        <v>0</v>
      </c>
      <c r="BM313" s="217" t="str">
        <f t="shared" si="391"/>
        <v/>
      </c>
      <c r="BN313" s="146" t="str">
        <f t="shared" si="392"/>
        <v/>
      </c>
      <c r="BO313" s="147" t="str">
        <f t="shared" si="393"/>
        <v/>
      </c>
      <c r="BP313" s="148" t="str">
        <f t="shared" si="394"/>
        <v/>
      </c>
      <c r="BT313" s="50">
        <f t="shared" si="337"/>
        <v>290</v>
      </c>
      <c r="BU313" s="50" t="str">
        <f t="shared" si="409"/>
        <v>-</v>
      </c>
      <c r="BW313" s="340"/>
      <c r="BX313" s="333"/>
      <c r="BY313" s="333"/>
      <c r="BZ313" s="333"/>
      <c r="CA313" s="333"/>
      <c r="CB313" s="333"/>
      <c r="CC313" s="333"/>
      <c r="CD313" s="333"/>
      <c r="CE313" s="333"/>
      <c r="CF313" s="333"/>
      <c r="CG313" s="354">
        <f t="shared" si="363"/>
        <v>290</v>
      </c>
      <c r="CH313" s="613">
        <f t="shared" si="364"/>
        <v>0</v>
      </c>
      <c r="CI313" s="613">
        <f t="shared" si="365"/>
        <v>0</v>
      </c>
      <c r="CJ313" s="614" t="str">
        <f t="shared" si="366"/>
        <v/>
      </c>
      <c r="CK313" s="615" t="str">
        <f t="shared" si="367"/>
        <v/>
      </c>
      <c r="CL313" s="610" t="str">
        <f>IF(ISBLANK(H313),"",IF(AND(ISNUMBER(F313),ISNUMBER(G313),ISNUMBER(H313)),ROUND(F313/(H313*G313),2),ROUND(F313/(VALUE(LEFT(H313,SUM(LEN(H313)-LEN(SUBSTITUTE(H313,{"0","1","2","3","4","5","6","7","8","9","."},"")))))*G313),2)))</f>
        <v/>
      </c>
      <c r="CM313" s="616" t="str">
        <f t="shared" si="395"/>
        <v/>
      </c>
      <c r="CN313" s="616" t="str">
        <f>IF(ISNUMBER(P313),MAX('Adjustment factors'!$S$16,(0.2+0.8*P313)),IF(ISTEXT(N313),VLOOKUP(N313,Afactors,2,FALSE),""))</f>
        <v/>
      </c>
      <c r="CO313" s="616" t="str">
        <f>IF(ISNUMBER(S313),MAX('Adjustment factors'!$S$16,0.2+0.8*S313),IF(ISTEXT(Q313),VLOOKUP(Q313,Afactors,2,FALSE),""))</f>
        <v/>
      </c>
      <c r="CP313" s="611" t="str">
        <f t="shared" si="385"/>
        <v/>
      </c>
      <c r="CQ313" s="612" t="str">
        <f t="shared" si="386"/>
        <v/>
      </c>
      <c r="CR313" s="340"/>
      <c r="CS313" s="340"/>
      <c r="CT313" s="340"/>
      <c r="CU313" s="340"/>
      <c r="CV313" s="333"/>
      <c r="CW313" s="333"/>
      <c r="CX313" s="333"/>
      <c r="CY313" s="333"/>
      <c r="DA313" s="313" t="str">
        <f t="shared" si="368"/>
        <v>OK</v>
      </c>
      <c r="DB313" s="313" t="str">
        <f t="shared" si="369"/>
        <v>OK</v>
      </c>
      <c r="DC313" s="313" t="str">
        <f t="shared" si="370"/>
        <v>OK</v>
      </c>
      <c r="DD313" s="313" t="str">
        <f t="shared" si="371"/>
        <v>OK</v>
      </c>
      <c r="DE313" s="153" t="str">
        <f t="shared" si="372"/>
        <v>OK</v>
      </c>
      <c r="DF313" s="314" t="str">
        <f t="shared" si="373"/>
        <v>OK</v>
      </c>
      <c r="DG313" s="482" t="str">
        <f t="shared" si="387"/>
        <v>OK</v>
      </c>
      <c r="DH313" s="482" t="str">
        <f>IF(OR(AND(T313='Adjustment factors'!$R$28,'Class 3, 5-9'!U313='Adjustment factors'!$R$29),AND('Class 3, 5-9'!T313='Adjustment factors'!$R$29,'Class 3, 5-9'!U313='Adjustment factors'!$R$28)),"Invalid combination of adjustment factors",IF(AND(T313=U313,NOT(ISBLANK(T313)),NOT(ISBLANK(U313))),"Same colour factor selected twice","OK"))</f>
        <v>OK</v>
      </c>
      <c r="DI313" s="313" t="str">
        <f t="shared" si="374"/>
        <v>OK</v>
      </c>
      <c r="DJ313" s="153" t="str">
        <f t="shared" si="396"/>
        <v>OK</v>
      </c>
      <c r="DK313" s="153" t="str">
        <f t="shared" si="375"/>
        <v>OK</v>
      </c>
      <c r="DL313" s="313" t="str">
        <f t="shared" si="376"/>
        <v>OK</v>
      </c>
      <c r="DM313" s="153" t="str">
        <f t="shared" si="377"/>
        <v>OK</v>
      </c>
      <c r="DN313" s="153" t="str">
        <f t="shared" si="397"/>
        <v>OK</v>
      </c>
      <c r="DO313" s="154" t="str">
        <f t="shared" si="398"/>
        <v>OK</v>
      </c>
      <c r="DP313" s="153" t="str">
        <f t="shared" si="378"/>
        <v>OK</v>
      </c>
      <c r="DQ313" s="313" t="str">
        <f t="shared" si="379"/>
        <v>OK</v>
      </c>
      <c r="DR313" s="153" t="str">
        <f t="shared" si="399"/>
        <v>OK</v>
      </c>
      <c r="DS313" s="153" t="str">
        <f t="shared" si="380"/>
        <v>OK</v>
      </c>
      <c r="DT313" s="313" t="str">
        <f t="shared" si="411"/>
        <v>OK</v>
      </c>
      <c r="DU313" s="153" t="str">
        <f t="shared" si="381"/>
        <v>OK</v>
      </c>
      <c r="DV313" s="153" t="str">
        <f t="shared" si="400"/>
        <v>OK</v>
      </c>
      <c r="DW313" s="154" t="str">
        <f t="shared" si="401"/>
        <v>OK</v>
      </c>
      <c r="DX313" s="157">
        <f t="shared" si="402"/>
        <v>0</v>
      </c>
      <c r="DY313" s="156" t="str">
        <f t="shared" si="403"/>
        <v>OK</v>
      </c>
    </row>
    <row r="314" spans="1:129" ht="13" hidden="1" x14ac:dyDescent="0.3">
      <c r="A314" s="333"/>
      <c r="B314" s="333"/>
      <c r="C314" s="332" t="str">
        <f t="shared" si="410"/>
        <v>-</v>
      </c>
      <c r="D314" s="584">
        <f t="shared" si="336"/>
        <v>291</v>
      </c>
      <c r="E314" s="585"/>
      <c r="F314" s="586"/>
      <c r="G314" s="600"/>
      <c r="H314" s="587"/>
      <c r="I314" s="601"/>
      <c r="J314" s="585"/>
      <c r="K314" s="617"/>
      <c r="L314" s="602"/>
      <c r="M314" s="603"/>
      <c r="N314" s="588"/>
      <c r="O314" s="604"/>
      <c r="P314" s="605"/>
      <c r="Q314" s="588"/>
      <c r="R314" s="604"/>
      <c r="S314" s="605"/>
      <c r="T314" s="606"/>
      <c r="U314" s="606"/>
      <c r="V314" s="429" t="str">
        <f t="shared" si="408"/>
        <v/>
      </c>
      <c r="W314" s="430" t="str">
        <f t="shared" si="407"/>
        <v/>
      </c>
      <c r="X314" s="66" t="str">
        <f>IF(AND(ISNUMBER(P314),N314=FixedDim),MAX('Adjustment factors'!$S$16,0.2+0.8*P314),IF(ISTEXT(N314),VLOOKUP(N314,Afactors,2,TRUE),""))</f>
        <v/>
      </c>
      <c r="Y314" s="17" t="str">
        <f>IF(AND(ISNUMBER(S314),Q314=FixedDim),MAX('Adjustment factors'!$S$16,0.2+0.8*S314),IF(ISTEXT(Q314),VLOOKUP(Q314,Afactors,2,TRUE),""))</f>
        <v/>
      </c>
      <c r="Z314" s="297" t="str">
        <f>IF(ISBLANK(T314),"",VLOOKUP(T314,'Adjustment factors'!$R$27:$S$30,2,TRUE))</f>
        <v/>
      </c>
      <c r="AA314" s="297" t="str">
        <f>IF(ISBLANK(U314),"",VLOOKUP(U314,'Adjustment factors'!$R$27:$S$30,2,TRUE))</f>
        <v/>
      </c>
      <c r="AB314" s="480">
        <f t="shared" si="382"/>
        <v>1</v>
      </c>
      <c r="AC314" s="18" t="b">
        <f t="shared" si="339"/>
        <v>0</v>
      </c>
      <c r="AD314" s="18" t="b">
        <f t="shared" si="340"/>
        <v>0</v>
      </c>
      <c r="AE314" s="18" t="b">
        <f t="shared" si="404"/>
        <v>0</v>
      </c>
      <c r="AF314" s="17" t="str">
        <f t="shared" si="341"/>
        <v/>
      </c>
      <c r="AG314" s="18" t="str">
        <f t="shared" si="342"/>
        <v/>
      </c>
      <c r="AH314" s="17" t="str">
        <f t="shared" si="405"/>
        <v/>
      </c>
      <c r="AI314" s="297" t="e">
        <f t="shared" si="383"/>
        <v>#VALUE!</v>
      </c>
      <c r="AJ314" s="79" t="e">
        <f t="shared" si="343"/>
        <v>#VALUE!</v>
      </c>
      <c r="AK314" s="17" t="str">
        <f t="shared" si="406"/>
        <v/>
      </c>
      <c r="AL314" s="80" t="e">
        <f t="shared" si="344"/>
        <v>#VALUE!</v>
      </c>
      <c r="AM314" s="139" t="b">
        <f t="shared" si="345"/>
        <v>1</v>
      </c>
      <c r="AN314" s="139" t="b">
        <f>AND(COUNTA(E314)&gt;0,ISNUMBER(F314),OR(COUNT(G314:H314)=0,COUNT(G314:H314)=2,AND(ISNUMBER(G314),ISNUMBER(VALUE(LEFT(H314,SUM(LEN(H314)-LEN(SUBSTITUTE(H314,{"0","1","2","3","4","5","6","7","8","9","."},"")))))))),ISNUMBER(I314),ISTEXT(J314))</f>
        <v>0</v>
      </c>
      <c r="AO314" s="19" t="b">
        <f t="shared" si="346"/>
        <v>0</v>
      </c>
      <c r="AP314" s="19" t="b">
        <f t="shared" si="347"/>
        <v>1</v>
      </c>
      <c r="AQ314" s="19" t="b">
        <f>IF(AND(COUNTBLANK(E314:J314)=6,OR(AN315:AN$523)),NOT(AN314))</f>
        <v>0</v>
      </c>
      <c r="AR314" s="19" t="str">
        <f t="shared" si="348"/>
        <v/>
      </c>
      <c r="AS314" s="19" t="b">
        <f t="shared" si="349"/>
        <v>1</v>
      </c>
      <c r="AT314" s="19" t="str">
        <f t="shared" si="350"/>
        <v/>
      </c>
      <c r="AU314" s="19" t="b">
        <f t="shared" si="351"/>
        <v>1</v>
      </c>
      <c r="AV314" s="140" t="str">
        <f t="shared" si="388"/>
        <v/>
      </c>
      <c r="AW314" s="19" t="str">
        <f t="shared" si="352"/>
        <v/>
      </c>
      <c r="AX314" s="81">
        <f t="shared" si="353"/>
        <v>0</v>
      </c>
      <c r="AY314" s="81" t="str">
        <f t="shared" si="354"/>
        <v/>
      </c>
      <c r="AZ314" s="307" t="str">
        <f t="shared" si="384"/>
        <v/>
      </c>
      <c r="BA314" s="281" t="str">
        <f t="shared" si="389"/>
        <v/>
      </c>
      <c r="BB314" s="281" t="str">
        <f t="shared" si="390"/>
        <v/>
      </c>
      <c r="BC314" s="953"/>
      <c r="BD314" s="955"/>
      <c r="BE314" s="219" t="str">
        <f t="shared" si="355"/>
        <v>n/a</v>
      </c>
      <c r="BF314" s="215" t="b">
        <f t="shared" si="356"/>
        <v>0</v>
      </c>
      <c r="BG314" s="145" t="b">
        <f t="shared" si="357"/>
        <v>0</v>
      </c>
      <c r="BH314" s="145" t="b">
        <f t="shared" si="358"/>
        <v>0</v>
      </c>
      <c r="BI314" s="216" t="b">
        <f t="shared" si="359"/>
        <v>0</v>
      </c>
      <c r="BJ314" s="215" t="b">
        <f t="shared" si="360"/>
        <v>0</v>
      </c>
      <c r="BK314" s="145" t="b">
        <f t="shared" si="361"/>
        <v>0</v>
      </c>
      <c r="BL314" s="216" t="b">
        <f t="shared" si="362"/>
        <v>0</v>
      </c>
      <c r="BM314" s="217" t="str">
        <f t="shared" si="391"/>
        <v/>
      </c>
      <c r="BN314" s="146" t="str">
        <f t="shared" si="392"/>
        <v/>
      </c>
      <c r="BO314" s="147" t="str">
        <f t="shared" si="393"/>
        <v/>
      </c>
      <c r="BP314" s="148" t="str">
        <f t="shared" si="394"/>
        <v/>
      </c>
      <c r="BT314" s="50">
        <f t="shared" si="337"/>
        <v>291</v>
      </c>
      <c r="BU314" s="50" t="str">
        <f t="shared" si="409"/>
        <v>-</v>
      </c>
      <c r="BW314" s="340"/>
      <c r="BX314" s="333"/>
      <c r="BY314" s="333"/>
      <c r="BZ314" s="333"/>
      <c r="CA314" s="333"/>
      <c r="CB314" s="333"/>
      <c r="CC314" s="333"/>
      <c r="CD314" s="333"/>
      <c r="CE314" s="333"/>
      <c r="CF314" s="333"/>
      <c r="CG314" s="354">
        <f t="shared" si="363"/>
        <v>291</v>
      </c>
      <c r="CH314" s="613">
        <f t="shared" si="364"/>
        <v>0</v>
      </c>
      <c r="CI314" s="613">
        <f t="shared" si="365"/>
        <v>0</v>
      </c>
      <c r="CJ314" s="614" t="str">
        <f t="shared" si="366"/>
        <v/>
      </c>
      <c r="CK314" s="615" t="str">
        <f t="shared" si="367"/>
        <v/>
      </c>
      <c r="CL314" s="610" t="str">
        <f>IF(ISBLANK(H314),"",IF(AND(ISNUMBER(F314),ISNUMBER(G314),ISNUMBER(H314)),ROUND(F314/(H314*G314),2),ROUND(F314/(VALUE(LEFT(H314,SUM(LEN(H314)-LEN(SUBSTITUTE(H314,{"0","1","2","3","4","5","6","7","8","9","."},"")))))*G314),2)))</f>
        <v/>
      </c>
      <c r="CM314" s="616" t="str">
        <f t="shared" si="395"/>
        <v/>
      </c>
      <c r="CN314" s="616" t="str">
        <f>IF(ISNUMBER(P314),MAX('Adjustment factors'!$S$16,(0.2+0.8*P314)),IF(ISTEXT(N314),VLOOKUP(N314,Afactors,2,FALSE),""))</f>
        <v/>
      </c>
      <c r="CO314" s="616" t="str">
        <f>IF(ISNUMBER(S314),MAX('Adjustment factors'!$S$16,0.2+0.8*S314),IF(ISTEXT(Q314),VLOOKUP(Q314,Afactors,2,FALSE),""))</f>
        <v/>
      </c>
      <c r="CP314" s="611" t="str">
        <f t="shared" si="385"/>
        <v/>
      </c>
      <c r="CQ314" s="612" t="str">
        <f t="shared" si="386"/>
        <v/>
      </c>
      <c r="CR314" s="340"/>
      <c r="CS314" s="340"/>
      <c r="CT314" s="340"/>
      <c r="CU314" s="340"/>
      <c r="CV314" s="333"/>
      <c r="CW314" s="333"/>
      <c r="CX314" s="333"/>
      <c r="CY314" s="333"/>
      <c r="DA314" s="313" t="str">
        <f t="shared" si="368"/>
        <v>OK</v>
      </c>
      <c r="DB314" s="313" t="str">
        <f t="shared" si="369"/>
        <v>OK</v>
      </c>
      <c r="DC314" s="313" t="str">
        <f t="shared" si="370"/>
        <v>OK</v>
      </c>
      <c r="DD314" s="313" t="str">
        <f t="shared" si="371"/>
        <v>OK</v>
      </c>
      <c r="DE314" s="153" t="str">
        <f t="shared" si="372"/>
        <v>OK</v>
      </c>
      <c r="DF314" s="314" t="str">
        <f t="shared" si="373"/>
        <v>OK</v>
      </c>
      <c r="DG314" s="482" t="str">
        <f t="shared" si="387"/>
        <v>OK</v>
      </c>
      <c r="DH314" s="482" t="str">
        <f>IF(OR(AND(T314='Adjustment factors'!$R$28,'Class 3, 5-9'!U314='Adjustment factors'!$R$29),AND('Class 3, 5-9'!T314='Adjustment factors'!$R$29,'Class 3, 5-9'!U314='Adjustment factors'!$R$28)),"Invalid combination of adjustment factors",IF(AND(T314=U314,NOT(ISBLANK(T314)),NOT(ISBLANK(U314))),"Same colour factor selected twice","OK"))</f>
        <v>OK</v>
      </c>
      <c r="DI314" s="313" t="str">
        <f t="shared" si="374"/>
        <v>OK</v>
      </c>
      <c r="DJ314" s="153" t="str">
        <f t="shared" si="396"/>
        <v>OK</v>
      </c>
      <c r="DK314" s="153" t="str">
        <f t="shared" si="375"/>
        <v>OK</v>
      </c>
      <c r="DL314" s="313" t="str">
        <f t="shared" si="376"/>
        <v>OK</v>
      </c>
      <c r="DM314" s="153" t="str">
        <f t="shared" si="377"/>
        <v>OK</v>
      </c>
      <c r="DN314" s="153" t="str">
        <f t="shared" si="397"/>
        <v>OK</v>
      </c>
      <c r="DO314" s="154" t="str">
        <f t="shared" si="398"/>
        <v>OK</v>
      </c>
      <c r="DP314" s="153" t="str">
        <f t="shared" si="378"/>
        <v>OK</v>
      </c>
      <c r="DQ314" s="313" t="str">
        <f t="shared" si="379"/>
        <v>OK</v>
      </c>
      <c r="DR314" s="153" t="str">
        <f t="shared" si="399"/>
        <v>OK</v>
      </c>
      <c r="DS314" s="153" t="str">
        <f t="shared" si="380"/>
        <v>OK</v>
      </c>
      <c r="DT314" s="313" t="str">
        <f t="shared" si="411"/>
        <v>OK</v>
      </c>
      <c r="DU314" s="153" t="str">
        <f t="shared" si="381"/>
        <v>OK</v>
      </c>
      <c r="DV314" s="153" t="str">
        <f t="shared" si="400"/>
        <v>OK</v>
      </c>
      <c r="DW314" s="154" t="str">
        <f t="shared" si="401"/>
        <v>OK</v>
      </c>
      <c r="DX314" s="157">
        <f t="shared" si="402"/>
        <v>0</v>
      </c>
      <c r="DY314" s="156" t="str">
        <f t="shared" si="403"/>
        <v>OK</v>
      </c>
    </row>
    <row r="315" spans="1:129" ht="13" hidden="1" x14ac:dyDescent="0.3">
      <c r="A315" s="333"/>
      <c r="B315" s="333"/>
      <c r="C315" s="332" t="str">
        <f t="shared" si="410"/>
        <v>-</v>
      </c>
      <c r="D315" s="584">
        <f t="shared" si="336"/>
        <v>292</v>
      </c>
      <c r="E315" s="585"/>
      <c r="F315" s="586"/>
      <c r="G315" s="600"/>
      <c r="H315" s="587"/>
      <c r="I315" s="601"/>
      <c r="J315" s="585"/>
      <c r="K315" s="617"/>
      <c r="L315" s="602"/>
      <c r="M315" s="603"/>
      <c r="N315" s="588"/>
      <c r="O315" s="604"/>
      <c r="P315" s="605"/>
      <c r="Q315" s="588"/>
      <c r="R315" s="604"/>
      <c r="S315" s="605"/>
      <c r="T315" s="606"/>
      <c r="U315" s="606"/>
      <c r="V315" s="429" t="str">
        <f t="shared" si="408"/>
        <v/>
      </c>
      <c r="W315" s="430" t="str">
        <f t="shared" si="407"/>
        <v/>
      </c>
      <c r="X315" s="66" t="str">
        <f>IF(AND(ISNUMBER(P315),N315=FixedDim),MAX('Adjustment factors'!$S$16,0.2+0.8*P315),IF(ISTEXT(N315),VLOOKUP(N315,Afactors,2,TRUE),""))</f>
        <v/>
      </c>
      <c r="Y315" s="17" t="str">
        <f>IF(AND(ISNUMBER(S315),Q315=FixedDim),MAX('Adjustment factors'!$S$16,0.2+0.8*S315),IF(ISTEXT(Q315),VLOOKUP(Q315,Afactors,2,TRUE),""))</f>
        <v/>
      </c>
      <c r="Z315" s="297" t="str">
        <f>IF(ISBLANK(T315),"",VLOOKUP(T315,'Adjustment factors'!$R$27:$S$30,2,TRUE))</f>
        <v/>
      </c>
      <c r="AA315" s="297" t="str">
        <f>IF(ISBLANK(U315),"",VLOOKUP(U315,'Adjustment factors'!$R$27:$S$30,2,TRUE))</f>
        <v/>
      </c>
      <c r="AB315" s="480">
        <f t="shared" si="382"/>
        <v>1</v>
      </c>
      <c r="AC315" s="18" t="b">
        <f t="shared" si="339"/>
        <v>0</v>
      </c>
      <c r="AD315" s="18" t="b">
        <f t="shared" si="340"/>
        <v>0</v>
      </c>
      <c r="AE315" s="18" t="b">
        <f t="shared" si="404"/>
        <v>0</v>
      </c>
      <c r="AF315" s="17" t="str">
        <f t="shared" si="341"/>
        <v/>
      </c>
      <c r="AG315" s="18" t="str">
        <f t="shared" si="342"/>
        <v/>
      </c>
      <c r="AH315" s="17" t="str">
        <f t="shared" si="405"/>
        <v/>
      </c>
      <c r="AI315" s="297" t="e">
        <f t="shared" si="383"/>
        <v>#VALUE!</v>
      </c>
      <c r="AJ315" s="79" t="e">
        <f t="shared" si="343"/>
        <v>#VALUE!</v>
      </c>
      <c r="AK315" s="17" t="str">
        <f t="shared" si="406"/>
        <v/>
      </c>
      <c r="AL315" s="80" t="e">
        <f t="shared" si="344"/>
        <v>#VALUE!</v>
      </c>
      <c r="AM315" s="139" t="b">
        <f t="shared" si="345"/>
        <v>1</v>
      </c>
      <c r="AN315" s="139" t="b">
        <f>AND(COUNTA(E315)&gt;0,ISNUMBER(F315),OR(COUNT(G315:H315)=0,COUNT(G315:H315)=2,AND(ISNUMBER(G315),ISNUMBER(VALUE(LEFT(H315,SUM(LEN(H315)-LEN(SUBSTITUTE(H315,{"0","1","2","3","4","5","6","7","8","9","."},"")))))))),ISNUMBER(I315),ISTEXT(J315))</f>
        <v>0</v>
      </c>
      <c r="AO315" s="19" t="b">
        <f t="shared" si="346"/>
        <v>0</v>
      </c>
      <c r="AP315" s="19" t="b">
        <f t="shared" si="347"/>
        <v>1</v>
      </c>
      <c r="AQ315" s="19" t="b">
        <f>IF(AND(COUNTBLANK(E315:J315)=6,OR(AN316:AN$523)),NOT(AN315))</f>
        <v>0</v>
      </c>
      <c r="AR315" s="19" t="str">
        <f t="shared" si="348"/>
        <v/>
      </c>
      <c r="AS315" s="19" t="b">
        <f t="shared" si="349"/>
        <v>1</v>
      </c>
      <c r="AT315" s="19" t="str">
        <f t="shared" si="350"/>
        <v/>
      </c>
      <c r="AU315" s="19" t="b">
        <f t="shared" si="351"/>
        <v>1</v>
      </c>
      <c r="AV315" s="140" t="str">
        <f t="shared" si="388"/>
        <v/>
      </c>
      <c r="AW315" s="19" t="str">
        <f t="shared" si="352"/>
        <v/>
      </c>
      <c r="AX315" s="81">
        <f t="shared" si="353"/>
        <v>0</v>
      </c>
      <c r="AY315" s="81" t="str">
        <f t="shared" si="354"/>
        <v/>
      </c>
      <c r="AZ315" s="307" t="str">
        <f t="shared" si="384"/>
        <v/>
      </c>
      <c r="BA315" s="281" t="str">
        <f t="shared" si="389"/>
        <v/>
      </c>
      <c r="BB315" s="281" t="str">
        <f t="shared" si="390"/>
        <v/>
      </c>
      <c r="BC315" s="953"/>
      <c r="BD315" s="955"/>
      <c r="BE315" s="219" t="str">
        <f t="shared" si="355"/>
        <v>n/a</v>
      </c>
      <c r="BF315" s="215" t="b">
        <f t="shared" si="356"/>
        <v>0</v>
      </c>
      <c r="BG315" s="145" t="b">
        <f t="shared" si="357"/>
        <v>0</v>
      </c>
      <c r="BH315" s="145" t="b">
        <f t="shared" si="358"/>
        <v>0</v>
      </c>
      <c r="BI315" s="216" t="b">
        <f t="shared" si="359"/>
        <v>0</v>
      </c>
      <c r="BJ315" s="215" t="b">
        <f t="shared" si="360"/>
        <v>0</v>
      </c>
      <c r="BK315" s="145" t="b">
        <f t="shared" si="361"/>
        <v>0</v>
      </c>
      <c r="BL315" s="216" t="b">
        <f t="shared" si="362"/>
        <v>0</v>
      </c>
      <c r="BM315" s="217" t="str">
        <f t="shared" si="391"/>
        <v/>
      </c>
      <c r="BN315" s="146" t="str">
        <f t="shared" si="392"/>
        <v/>
      </c>
      <c r="BO315" s="147" t="str">
        <f t="shared" si="393"/>
        <v/>
      </c>
      <c r="BP315" s="148" t="str">
        <f t="shared" si="394"/>
        <v/>
      </c>
      <c r="BT315" s="50">
        <f t="shared" si="337"/>
        <v>292</v>
      </c>
      <c r="BU315" s="50" t="str">
        <f t="shared" si="409"/>
        <v>-</v>
      </c>
      <c r="BW315" s="340"/>
      <c r="BX315" s="333"/>
      <c r="BY315" s="333"/>
      <c r="BZ315" s="333"/>
      <c r="CA315" s="333"/>
      <c r="CB315" s="333"/>
      <c r="CC315" s="333"/>
      <c r="CD315" s="333"/>
      <c r="CE315" s="333"/>
      <c r="CF315" s="333"/>
      <c r="CG315" s="354">
        <f t="shared" si="363"/>
        <v>292</v>
      </c>
      <c r="CH315" s="613">
        <f t="shared" si="364"/>
        <v>0</v>
      </c>
      <c r="CI315" s="613">
        <f t="shared" si="365"/>
        <v>0</v>
      </c>
      <c r="CJ315" s="614" t="str">
        <f t="shared" si="366"/>
        <v/>
      </c>
      <c r="CK315" s="615" t="str">
        <f t="shared" si="367"/>
        <v/>
      </c>
      <c r="CL315" s="610" t="str">
        <f>IF(ISBLANK(H315),"",IF(AND(ISNUMBER(F315),ISNUMBER(G315),ISNUMBER(H315)),ROUND(F315/(H315*G315),2),ROUND(F315/(VALUE(LEFT(H315,SUM(LEN(H315)-LEN(SUBSTITUTE(H315,{"0","1","2","3","4","5","6","7","8","9","."},"")))))*G315),2)))</f>
        <v/>
      </c>
      <c r="CM315" s="616" t="str">
        <f t="shared" si="395"/>
        <v/>
      </c>
      <c r="CN315" s="616" t="str">
        <f>IF(ISNUMBER(P315),MAX('Adjustment factors'!$S$16,(0.2+0.8*P315)),IF(ISTEXT(N315),VLOOKUP(N315,Afactors,2,FALSE),""))</f>
        <v/>
      </c>
      <c r="CO315" s="616" t="str">
        <f>IF(ISNUMBER(S315),MAX('Adjustment factors'!$S$16,0.2+0.8*S315),IF(ISTEXT(Q315),VLOOKUP(Q315,Afactors,2,FALSE),""))</f>
        <v/>
      </c>
      <c r="CP315" s="611" t="str">
        <f t="shared" si="385"/>
        <v/>
      </c>
      <c r="CQ315" s="612" t="str">
        <f t="shared" si="386"/>
        <v/>
      </c>
      <c r="CR315" s="340"/>
      <c r="CS315" s="340"/>
      <c r="CT315" s="340"/>
      <c r="CU315" s="340"/>
      <c r="CV315" s="333"/>
      <c r="CW315" s="333"/>
      <c r="CX315" s="333"/>
      <c r="CY315" s="333"/>
      <c r="DA315" s="313" t="str">
        <f t="shared" si="368"/>
        <v>OK</v>
      </c>
      <c r="DB315" s="313" t="str">
        <f t="shared" si="369"/>
        <v>OK</v>
      </c>
      <c r="DC315" s="313" t="str">
        <f t="shared" si="370"/>
        <v>OK</v>
      </c>
      <c r="DD315" s="313" t="str">
        <f t="shared" si="371"/>
        <v>OK</v>
      </c>
      <c r="DE315" s="153" t="str">
        <f t="shared" si="372"/>
        <v>OK</v>
      </c>
      <c r="DF315" s="314" t="str">
        <f t="shared" si="373"/>
        <v>OK</v>
      </c>
      <c r="DG315" s="482" t="str">
        <f t="shared" si="387"/>
        <v>OK</v>
      </c>
      <c r="DH315" s="482" t="str">
        <f>IF(OR(AND(T315='Adjustment factors'!$R$28,'Class 3, 5-9'!U315='Adjustment factors'!$R$29),AND('Class 3, 5-9'!T315='Adjustment factors'!$R$29,'Class 3, 5-9'!U315='Adjustment factors'!$R$28)),"Invalid combination of adjustment factors",IF(AND(T315=U315,NOT(ISBLANK(T315)),NOT(ISBLANK(U315))),"Same colour factor selected twice","OK"))</f>
        <v>OK</v>
      </c>
      <c r="DI315" s="313" t="str">
        <f t="shared" si="374"/>
        <v>OK</v>
      </c>
      <c r="DJ315" s="153" t="str">
        <f t="shared" si="396"/>
        <v>OK</v>
      </c>
      <c r="DK315" s="153" t="str">
        <f t="shared" si="375"/>
        <v>OK</v>
      </c>
      <c r="DL315" s="313" t="str">
        <f t="shared" si="376"/>
        <v>OK</v>
      </c>
      <c r="DM315" s="153" t="str">
        <f t="shared" si="377"/>
        <v>OK</v>
      </c>
      <c r="DN315" s="153" t="str">
        <f t="shared" si="397"/>
        <v>OK</v>
      </c>
      <c r="DO315" s="154" t="str">
        <f t="shared" si="398"/>
        <v>OK</v>
      </c>
      <c r="DP315" s="153" t="str">
        <f t="shared" si="378"/>
        <v>OK</v>
      </c>
      <c r="DQ315" s="313" t="str">
        <f t="shared" si="379"/>
        <v>OK</v>
      </c>
      <c r="DR315" s="153" t="str">
        <f t="shared" si="399"/>
        <v>OK</v>
      </c>
      <c r="DS315" s="153" t="str">
        <f t="shared" si="380"/>
        <v>OK</v>
      </c>
      <c r="DT315" s="313" t="str">
        <f t="shared" si="411"/>
        <v>OK</v>
      </c>
      <c r="DU315" s="153" t="str">
        <f t="shared" si="381"/>
        <v>OK</v>
      </c>
      <c r="DV315" s="153" t="str">
        <f t="shared" si="400"/>
        <v>OK</v>
      </c>
      <c r="DW315" s="154" t="str">
        <f t="shared" si="401"/>
        <v>OK</v>
      </c>
      <c r="DX315" s="157">
        <f t="shared" si="402"/>
        <v>0</v>
      </c>
      <c r="DY315" s="156" t="str">
        <f t="shared" si="403"/>
        <v>OK</v>
      </c>
    </row>
    <row r="316" spans="1:129" ht="13" hidden="1" x14ac:dyDescent="0.3">
      <c r="A316" s="333"/>
      <c r="B316" s="333"/>
      <c r="C316" s="332" t="str">
        <f t="shared" si="410"/>
        <v>-</v>
      </c>
      <c r="D316" s="584">
        <f t="shared" si="336"/>
        <v>293</v>
      </c>
      <c r="E316" s="585"/>
      <c r="F316" s="586"/>
      <c r="G316" s="600"/>
      <c r="H316" s="587"/>
      <c r="I316" s="601"/>
      <c r="J316" s="585"/>
      <c r="K316" s="617"/>
      <c r="L316" s="602"/>
      <c r="M316" s="603"/>
      <c r="N316" s="588"/>
      <c r="O316" s="604"/>
      <c r="P316" s="605"/>
      <c r="Q316" s="588"/>
      <c r="R316" s="604"/>
      <c r="S316" s="605"/>
      <c r="T316" s="606"/>
      <c r="U316" s="606"/>
      <c r="V316" s="429" t="str">
        <f t="shared" si="408"/>
        <v/>
      </c>
      <c r="W316" s="430" t="str">
        <f t="shared" si="407"/>
        <v/>
      </c>
      <c r="X316" s="66" t="str">
        <f>IF(AND(ISNUMBER(P316),N316=FixedDim),MAX('Adjustment factors'!$S$16,0.2+0.8*P316),IF(ISTEXT(N316),VLOOKUP(N316,Afactors,2,TRUE),""))</f>
        <v/>
      </c>
      <c r="Y316" s="17" t="str">
        <f>IF(AND(ISNUMBER(S316),Q316=FixedDim),MAX('Adjustment factors'!$S$16,0.2+0.8*S316),IF(ISTEXT(Q316),VLOOKUP(Q316,Afactors,2,TRUE),""))</f>
        <v/>
      </c>
      <c r="Z316" s="297" t="str">
        <f>IF(ISBLANK(T316),"",VLOOKUP(T316,'Adjustment factors'!$R$27:$S$30,2,TRUE))</f>
        <v/>
      </c>
      <c r="AA316" s="297" t="str">
        <f>IF(ISBLANK(U316),"",VLOOKUP(U316,'Adjustment factors'!$R$27:$S$30,2,TRUE))</f>
        <v/>
      </c>
      <c r="AB316" s="480">
        <f t="shared" si="382"/>
        <v>1</v>
      </c>
      <c r="AC316" s="18" t="b">
        <f t="shared" si="339"/>
        <v>0</v>
      </c>
      <c r="AD316" s="18" t="b">
        <f t="shared" si="340"/>
        <v>0</v>
      </c>
      <c r="AE316" s="18" t="b">
        <f t="shared" si="404"/>
        <v>0</v>
      </c>
      <c r="AF316" s="17" t="str">
        <f t="shared" si="341"/>
        <v/>
      </c>
      <c r="AG316" s="18" t="str">
        <f t="shared" si="342"/>
        <v/>
      </c>
      <c r="AH316" s="17" t="str">
        <f t="shared" si="405"/>
        <v/>
      </c>
      <c r="AI316" s="297" t="e">
        <f t="shared" si="383"/>
        <v>#VALUE!</v>
      </c>
      <c r="AJ316" s="79" t="e">
        <f t="shared" si="343"/>
        <v>#VALUE!</v>
      </c>
      <c r="AK316" s="17" t="str">
        <f t="shared" si="406"/>
        <v/>
      </c>
      <c r="AL316" s="80" t="e">
        <f t="shared" si="344"/>
        <v>#VALUE!</v>
      </c>
      <c r="AM316" s="139" t="b">
        <f t="shared" si="345"/>
        <v>1</v>
      </c>
      <c r="AN316" s="139" t="b">
        <f>AND(COUNTA(E316)&gt;0,ISNUMBER(F316),OR(COUNT(G316:H316)=0,COUNT(G316:H316)=2,AND(ISNUMBER(G316),ISNUMBER(VALUE(LEFT(H316,SUM(LEN(H316)-LEN(SUBSTITUTE(H316,{"0","1","2","3","4","5","6","7","8","9","."},"")))))))),ISNUMBER(I316),ISTEXT(J316))</f>
        <v>0</v>
      </c>
      <c r="AO316" s="19" t="b">
        <f t="shared" si="346"/>
        <v>0</v>
      </c>
      <c r="AP316" s="19" t="b">
        <f t="shared" si="347"/>
        <v>1</v>
      </c>
      <c r="AQ316" s="19" t="b">
        <f>IF(AND(COUNTBLANK(E316:J316)=6,OR(AN317:AN$523)),NOT(AN316))</f>
        <v>0</v>
      </c>
      <c r="AR316" s="19" t="str">
        <f t="shared" si="348"/>
        <v/>
      </c>
      <c r="AS316" s="19" t="b">
        <f t="shared" si="349"/>
        <v>1</v>
      </c>
      <c r="AT316" s="19" t="str">
        <f t="shared" si="350"/>
        <v/>
      </c>
      <c r="AU316" s="19" t="b">
        <f t="shared" si="351"/>
        <v>1</v>
      </c>
      <c r="AV316" s="140" t="str">
        <f t="shared" si="388"/>
        <v/>
      </c>
      <c r="AW316" s="19" t="str">
        <f t="shared" si="352"/>
        <v/>
      </c>
      <c r="AX316" s="81">
        <f t="shared" si="353"/>
        <v>0</v>
      </c>
      <c r="AY316" s="81" t="str">
        <f t="shared" si="354"/>
        <v/>
      </c>
      <c r="AZ316" s="307" t="str">
        <f t="shared" si="384"/>
        <v/>
      </c>
      <c r="BA316" s="281" t="str">
        <f t="shared" si="389"/>
        <v/>
      </c>
      <c r="BB316" s="281" t="str">
        <f t="shared" si="390"/>
        <v/>
      </c>
      <c r="BC316" s="953"/>
      <c r="BD316" s="955"/>
      <c r="BE316" s="219" t="str">
        <f t="shared" si="355"/>
        <v>n/a</v>
      </c>
      <c r="BF316" s="215" t="b">
        <f t="shared" si="356"/>
        <v>0</v>
      </c>
      <c r="BG316" s="145" t="b">
        <f t="shared" si="357"/>
        <v>0</v>
      </c>
      <c r="BH316" s="145" t="b">
        <f t="shared" si="358"/>
        <v>0</v>
      </c>
      <c r="BI316" s="216" t="b">
        <f t="shared" si="359"/>
        <v>0</v>
      </c>
      <c r="BJ316" s="215" t="b">
        <f t="shared" si="360"/>
        <v>0</v>
      </c>
      <c r="BK316" s="145" t="b">
        <f t="shared" si="361"/>
        <v>0</v>
      </c>
      <c r="BL316" s="216" t="b">
        <f t="shared" si="362"/>
        <v>0</v>
      </c>
      <c r="BM316" s="217" t="str">
        <f t="shared" si="391"/>
        <v/>
      </c>
      <c r="BN316" s="146" t="str">
        <f t="shared" si="392"/>
        <v/>
      </c>
      <c r="BO316" s="147" t="str">
        <f t="shared" si="393"/>
        <v/>
      </c>
      <c r="BP316" s="148" t="str">
        <f t="shared" si="394"/>
        <v/>
      </c>
      <c r="BT316" s="50">
        <f t="shared" si="337"/>
        <v>293</v>
      </c>
      <c r="BU316" s="50" t="str">
        <f t="shared" si="409"/>
        <v>-</v>
      </c>
      <c r="BW316" s="340"/>
      <c r="BX316" s="333"/>
      <c r="BY316" s="333"/>
      <c r="BZ316" s="333"/>
      <c r="CA316" s="333"/>
      <c r="CB316" s="333"/>
      <c r="CC316" s="333"/>
      <c r="CD316" s="333"/>
      <c r="CE316" s="333"/>
      <c r="CF316" s="333"/>
      <c r="CG316" s="354">
        <f t="shared" si="363"/>
        <v>293</v>
      </c>
      <c r="CH316" s="613">
        <f t="shared" si="364"/>
        <v>0</v>
      </c>
      <c r="CI316" s="613">
        <f t="shared" si="365"/>
        <v>0</v>
      </c>
      <c r="CJ316" s="614" t="str">
        <f t="shared" si="366"/>
        <v/>
      </c>
      <c r="CK316" s="615" t="str">
        <f t="shared" si="367"/>
        <v/>
      </c>
      <c r="CL316" s="610" t="str">
        <f>IF(ISBLANK(H316),"",IF(AND(ISNUMBER(F316),ISNUMBER(G316),ISNUMBER(H316)),ROUND(F316/(H316*G316),2),ROUND(F316/(VALUE(LEFT(H316,SUM(LEN(H316)-LEN(SUBSTITUTE(H316,{"0","1","2","3","4","5","6","7","8","9","."},"")))))*G316),2)))</f>
        <v/>
      </c>
      <c r="CM316" s="616" t="str">
        <f t="shared" si="395"/>
        <v/>
      </c>
      <c r="CN316" s="616" t="str">
        <f>IF(ISNUMBER(P316),MAX('Adjustment factors'!$S$16,(0.2+0.8*P316)),IF(ISTEXT(N316),VLOOKUP(N316,Afactors,2,FALSE),""))</f>
        <v/>
      </c>
      <c r="CO316" s="616" t="str">
        <f>IF(ISNUMBER(S316),MAX('Adjustment factors'!$S$16,0.2+0.8*S316),IF(ISTEXT(Q316),VLOOKUP(Q316,Afactors,2,FALSE),""))</f>
        <v/>
      </c>
      <c r="CP316" s="611" t="str">
        <f t="shared" si="385"/>
        <v/>
      </c>
      <c r="CQ316" s="612" t="str">
        <f t="shared" si="386"/>
        <v/>
      </c>
      <c r="CR316" s="340"/>
      <c r="CS316" s="340"/>
      <c r="CT316" s="340"/>
      <c r="CU316" s="340"/>
      <c r="CV316" s="333"/>
      <c r="CW316" s="333"/>
      <c r="CX316" s="333"/>
      <c r="CY316" s="333"/>
      <c r="DA316" s="313" t="str">
        <f t="shared" si="368"/>
        <v>OK</v>
      </c>
      <c r="DB316" s="313" t="str">
        <f t="shared" si="369"/>
        <v>OK</v>
      </c>
      <c r="DC316" s="313" t="str">
        <f t="shared" si="370"/>
        <v>OK</v>
      </c>
      <c r="DD316" s="313" t="str">
        <f t="shared" si="371"/>
        <v>OK</v>
      </c>
      <c r="DE316" s="153" t="str">
        <f t="shared" si="372"/>
        <v>OK</v>
      </c>
      <c r="DF316" s="314" t="str">
        <f t="shared" si="373"/>
        <v>OK</v>
      </c>
      <c r="DG316" s="482" t="str">
        <f t="shared" si="387"/>
        <v>OK</v>
      </c>
      <c r="DH316" s="482" t="str">
        <f>IF(OR(AND(T316='Adjustment factors'!$R$28,'Class 3, 5-9'!U316='Adjustment factors'!$R$29),AND('Class 3, 5-9'!T316='Adjustment factors'!$R$29,'Class 3, 5-9'!U316='Adjustment factors'!$R$28)),"Invalid combination of adjustment factors",IF(AND(T316=U316,NOT(ISBLANK(T316)),NOT(ISBLANK(U316))),"Same colour factor selected twice","OK"))</f>
        <v>OK</v>
      </c>
      <c r="DI316" s="313" t="str">
        <f t="shared" si="374"/>
        <v>OK</v>
      </c>
      <c r="DJ316" s="153" t="str">
        <f t="shared" si="396"/>
        <v>OK</v>
      </c>
      <c r="DK316" s="153" t="str">
        <f t="shared" si="375"/>
        <v>OK</v>
      </c>
      <c r="DL316" s="313" t="str">
        <f t="shared" si="376"/>
        <v>OK</v>
      </c>
      <c r="DM316" s="153" t="str">
        <f t="shared" si="377"/>
        <v>OK</v>
      </c>
      <c r="DN316" s="153" t="str">
        <f t="shared" si="397"/>
        <v>OK</v>
      </c>
      <c r="DO316" s="154" t="str">
        <f t="shared" si="398"/>
        <v>OK</v>
      </c>
      <c r="DP316" s="153" t="str">
        <f t="shared" si="378"/>
        <v>OK</v>
      </c>
      <c r="DQ316" s="313" t="str">
        <f t="shared" si="379"/>
        <v>OK</v>
      </c>
      <c r="DR316" s="153" t="str">
        <f t="shared" si="399"/>
        <v>OK</v>
      </c>
      <c r="DS316" s="153" t="str">
        <f t="shared" si="380"/>
        <v>OK</v>
      </c>
      <c r="DT316" s="313" t="str">
        <f t="shared" si="411"/>
        <v>OK</v>
      </c>
      <c r="DU316" s="153" t="str">
        <f t="shared" si="381"/>
        <v>OK</v>
      </c>
      <c r="DV316" s="153" t="str">
        <f t="shared" si="400"/>
        <v>OK</v>
      </c>
      <c r="DW316" s="154" t="str">
        <f t="shared" si="401"/>
        <v>OK</v>
      </c>
      <c r="DX316" s="157">
        <f t="shared" si="402"/>
        <v>0</v>
      </c>
      <c r="DY316" s="156" t="str">
        <f t="shared" si="403"/>
        <v>OK</v>
      </c>
    </row>
    <row r="317" spans="1:129" ht="13" hidden="1" x14ac:dyDescent="0.3">
      <c r="A317" s="333"/>
      <c r="B317" s="333"/>
      <c r="C317" s="332" t="str">
        <f t="shared" si="410"/>
        <v>-</v>
      </c>
      <c r="D317" s="584">
        <f t="shared" si="336"/>
        <v>294</v>
      </c>
      <c r="E317" s="585"/>
      <c r="F317" s="586"/>
      <c r="G317" s="600"/>
      <c r="H317" s="587"/>
      <c r="I317" s="601"/>
      <c r="J317" s="585"/>
      <c r="K317" s="617"/>
      <c r="L317" s="602"/>
      <c r="M317" s="603"/>
      <c r="N317" s="588"/>
      <c r="O317" s="604"/>
      <c r="P317" s="605"/>
      <c r="Q317" s="588"/>
      <c r="R317" s="604"/>
      <c r="S317" s="605"/>
      <c r="T317" s="606"/>
      <c r="U317" s="606"/>
      <c r="V317" s="429" t="str">
        <f t="shared" si="408"/>
        <v/>
      </c>
      <c r="W317" s="430" t="str">
        <f t="shared" si="407"/>
        <v/>
      </c>
      <c r="X317" s="66" t="str">
        <f>IF(AND(ISNUMBER(P317),N317=FixedDim),MAX('Adjustment factors'!$S$16,0.2+0.8*P317),IF(ISTEXT(N317),VLOOKUP(N317,Afactors,2,TRUE),""))</f>
        <v/>
      </c>
      <c r="Y317" s="17" t="str">
        <f>IF(AND(ISNUMBER(S317),Q317=FixedDim),MAX('Adjustment factors'!$S$16,0.2+0.8*S317),IF(ISTEXT(Q317),VLOOKUP(Q317,Afactors,2,TRUE),""))</f>
        <v/>
      </c>
      <c r="Z317" s="297" t="str">
        <f>IF(ISBLANK(T317),"",VLOOKUP(T317,'Adjustment factors'!$R$27:$S$30,2,TRUE))</f>
        <v/>
      </c>
      <c r="AA317" s="297" t="str">
        <f>IF(ISBLANK(U317),"",VLOOKUP(U317,'Adjustment factors'!$R$27:$S$30,2,TRUE))</f>
        <v/>
      </c>
      <c r="AB317" s="480">
        <f t="shared" si="382"/>
        <v>1</v>
      </c>
      <c r="AC317" s="18" t="b">
        <f t="shared" si="339"/>
        <v>0</v>
      </c>
      <c r="AD317" s="18" t="b">
        <f t="shared" si="340"/>
        <v>0</v>
      </c>
      <c r="AE317" s="18" t="b">
        <f t="shared" si="404"/>
        <v>0</v>
      </c>
      <c r="AF317" s="17" t="str">
        <f t="shared" si="341"/>
        <v/>
      </c>
      <c r="AG317" s="18" t="str">
        <f t="shared" si="342"/>
        <v/>
      </c>
      <c r="AH317" s="17" t="str">
        <f t="shared" si="405"/>
        <v/>
      </c>
      <c r="AI317" s="297" t="e">
        <f t="shared" si="383"/>
        <v>#VALUE!</v>
      </c>
      <c r="AJ317" s="79" t="e">
        <f t="shared" si="343"/>
        <v>#VALUE!</v>
      </c>
      <c r="AK317" s="17" t="str">
        <f t="shared" si="406"/>
        <v/>
      </c>
      <c r="AL317" s="80" t="e">
        <f t="shared" si="344"/>
        <v>#VALUE!</v>
      </c>
      <c r="AM317" s="139" t="b">
        <f t="shared" si="345"/>
        <v>1</v>
      </c>
      <c r="AN317" s="139" t="b">
        <f>AND(COUNTA(E317)&gt;0,ISNUMBER(F317),OR(COUNT(G317:H317)=0,COUNT(G317:H317)=2,AND(ISNUMBER(G317),ISNUMBER(VALUE(LEFT(H317,SUM(LEN(H317)-LEN(SUBSTITUTE(H317,{"0","1","2","3","4","5","6","7","8","9","."},"")))))))),ISNUMBER(I317),ISTEXT(J317))</f>
        <v>0</v>
      </c>
      <c r="AO317" s="19" t="b">
        <f t="shared" si="346"/>
        <v>0</v>
      </c>
      <c r="AP317" s="19" t="b">
        <f t="shared" si="347"/>
        <v>1</v>
      </c>
      <c r="AQ317" s="19" t="b">
        <f>IF(AND(COUNTBLANK(E317:J317)=6,OR(AN318:AN$523)),NOT(AN317))</f>
        <v>0</v>
      </c>
      <c r="AR317" s="19" t="str">
        <f t="shared" si="348"/>
        <v/>
      </c>
      <c r="AS317" s="19" t="b">
        <f t="shared" si="349"/>
        <v>1</v>
      </c>
      <c r="AT317" s="19" t="str">
        <f t="shared" si="350"/>
        <v/>
      </c>
      <c r="AU317" s="19" t="b">
        <f t="shared" si="351"/>
        <v>1</v>
      </c>
      <c r="AV317" s="140" t="str">
        <f t="shared" si="388"/>
        <v/>
      </c>
      <c r="AW317" s="19" t="str">
        <f t="shared" si="352"/>
        <v/>
      </c>
      <c r="AX317" s="81">
        <f t="shared" si="353"/>
        <v>0</v>
      </c>
      <c r="AY317" s="81" t="str">
        <f t="shared" si="354"/>
        <v/>
      </c>
      <c r="AZ317" s="307" t="str">
        <f t="shared" si="384"/>
        <v/>
      </c>
      <c r="BA317" s="281" t="str">
        <f t="shared" si="389"/>
        <v/>
      </c>
      <c r="BB317" s="281" t="str">
        <f t="shared" si="390"/>
        <v/>
      </c>
      <c r="BC317" s="953"/>
      <c r="BD317" s="955"/>
      <c r="BE317" s="219" t="str">
        <f t="shared" si="355"/>
        <v>n/a</v>
      </c>
      <c r="BF317" s="215" t="b">
        <f t="shared" si="356"/>
        <v>0</v>
      </c>
      <c r="BG317" s="145" t="b">
        <f t="shared" si="357"/>
        <v>0</v>
      </c>
      <c r="BH317" s="145" t="b">
        <f t="shared" si="358"/>
        <v>0</v>
      </c>
      <c r="BI317" s="216" t="b">
        <f t="shared" si="359"/>
        <v>0</v>
      </c>
      <c r="BJ317" s="215" t="b">
        <f t="shared" si="360"/>
        <v>0</v>
      </c>
      <c r="BK317" s="145" t="b">
        <f t="shared" si="361"/>
        <v>0</v>
      </c>
      <c r="BL317" s="216" t="b">
        <f t="shared" si="362"/>
        <v>0</v>
      </c>
      <c r="BM317" s="217" t="str">
        <f t="shared" si="391"/>
        <v/>
      </c>
      <c r="BN317" s="146" t="str">
        <f t="shared" si="392"/>
        <v/>
      </c>
      <c r="BO317" s="147" t="str">
        <f t="shared" si="393"/>
        <v/>
      </c>
      <c r="BP317" s="148" t="str">
        <f t="shared" si="394"/>
        <v/>
      </c>
      <c r="BT317" s="50">
        <f t="shared" si="337"/>
        <v>294</v>
      </c>
      <c r="BU317" s="50" t="str">
        <f t="shared" si="409"/>
        <v>-</v>
      </c>
      <c r="BW317" s="340"/>
      <c r="BX317" s="333"/>
      <c r="BY317" s="333"/>
      <c r="BZ317" s="333"/>
      <c r="CA317" s="333"/>
      <c r="CB317" s="333"/>
      <c r="CC317" s="333"/>
      <c r="CD317" s="333"/>
      <c r="CE317" s="333"/>
      <c r="CF317" s="333"/>
      <c r="CG317" s="354">
        <f t="shared" si="363"/>
        <v>294</v>
      </c>
      <c r="CH317" s="613">
        <f t="shared" si="364"/>
        <v>0</v>
      </c>
      <c r="CI317" s="613">
        <f t="shared" si="365"/>
        <v>0</v>
      </c>
      <c r="CJ317" s="614" t="str">
        <f t="shared" si="366"/>
        <v/>
      </c>
      <c r="CK317" s="615" t="str">
        <f t="shared" si="367"/>
        <v/>
      </c>
      <c r="CL317" s="610" t="str">
        <f>IF(ISBLANK(H317),"",IF(AND(ISNUMBER(F317),ISNUMBER(G317),ISNUMBER(H317)),ROUND(F317/(H317*G317),2),ROUND(F317/(VALUE(LEFT(H317,SUM(LEN(H317)-LEN(SUBSTITUTE(H317,{"0","1","2","3","4","5","6","7","8","9","."},"")))))*G317),2)))</f>
        <v/>
      </c>
      <c r="CM317" s="616" t="str">
        <f t="shared" si="395"/>
        <v/>
      </c>
      <c r="CN317" s="616" t="str">
        <f>IF(ISNUMBER(P317),MAX('Adjustment factors'!$S$16,(0.2+0.8*P317)),IF(ISTEXT(N317),VLOOKUP(N317,Afactors,2,FALSE),""))</f>
        <v/>
      </c>
      <c r="CO317" s="616" t="str">
        <f>IF(ISNUMBER(S317),MAX('Adjustment factors'!$S$16,0.2+0.8*S317),IF(ISTEXT(Q317),VLOOKUP(Q317,Afactors,2,FALSE),""))</f>
        <v/>
      </c>
      <c r="CP317" s="611" t="str">
        <f t="shared" si="385"/>
        <v/>
      </c>
      <c r="CQ317" s="612" t="str">
        <f t="shared" si="386"/>
        <v/>
      </c>
      <c r="CR317" s="340"/>
      <c r="CS317" s="340"/>
      <c r="CT317" s="340"/>
      <c r="CU317" s="340"/>
      <c r="CV317" s="333"/>
      <c r="CW317" s="333"/>
      <c r="CX317" s="333"/>
      <c r="CY317" s="333"/>
      <c r="DA317" s="313" t="str">
        <f t="shared" si="368"/>
        <v>OK</v>
      </c>
      <c r="DB317" s="313" t="str">
        <f t="shared" si="369"/>
        <v>OK</v>
      </c>
      <c r="DC317" s="313" t="str">
        <f t="shared" si="370"/>
        <v>OK</v>
      </c>
      <c r="DD317" s="313" t="str">
        <f t="shared" si="371"/>
        <v>OK</v>
      </c>
      <c r="DE317" s="153" t="str">
        <f t="shared" si="372"/>
        <v>OK</v>
      </c>
      <c r="DF317" s="314" t="str">
        <f t="shared" si="373"/>
        <v>OK</v>
      </c>
      <c r="DG317" s="482" t="str">
        <f t="shared" si="387"/>
        <v>OK</v>
      </c>
      <c r="DH317" s="482" t="str">
        <f>IF(OR(AND(T317='Adjustment factors'!$R$28,'Class 3, 5-9'!U317='Adjustment factors'!$R$29),AND('Class 3, 5-9'!T317='Adjustment factors'!$R$29,'Class 3, 5-9'!U317='Adjustment factors'!$R$28)),"Invalid combination of adjustment factors",IF(AND(T317=U317,NOT(ISBLANK(T317)),NOT(ISBLANK(U317))),"Same colour factor selected twice","OK"))</f>
        <v>OK</v>
      </c>
      <c r="DI317" s="313" t="str">
        <f t="shared" si="374"/>
        <v>OK</v>
      </c>
      <c r="DJ317" s="153" t="str">
        <f t="shared" si="396"/>
        <v>OK</v>
      </c>
      <c r="DK317" s="153" t="str">
        <f t="shared" si="375"/>
        <v>OK</v>
      </c>
      <c r="DL317" s="313" t="str">
        <f t="shared" si="376"/>
        <v>OK</v>
      </c>
      <c r="DM317" s="153" t="str">
        <f t="shared" si="377"/>
        <v>OK</v>
      </c>
      <c r="DN317" s="153" t="str">
        <f t="shared" si="397"/>
        <v>OK</v>
      </c>
      <c r="DO317" s="154" t="str">
        <f t="shared" si="398"/>
        <v>OK</v>
      </c>
      <c r="DP317" s="153" t="str">
        <f t="shared" si="378"/>
        <v>OK</v>
      </c>
      <c r="DQ317" s="313" t="str">
        <f t="shared" si="379"/>
        <v>OK</v>
      </c>
      <c r="DR317" s="153" t="str">
        <f t="shared" si="399"/>
        <v>OK</v>
      </c>
      <c r="DS317" s="153" t="str">
        <f t="shared" si="380"/>
        <v>OK</v>
      </c>
      <c r="DT317" s="313" t="str">
        <f t="shared" si="411"/>
        <v>OK</v>
      </c>
      <c r="DU317" s="153" t="str">
        <f t="shared" si="381"/>
        <v>OK</v>
      </c>
      <c r="DV317" s="153" t="str">
        <f t="shared" si="400"/>
        <v>OK</v>
      </c>
      <c r="DW317" s="154" t="str">
        <f t="shared" si="401"/>
        <v>OK</v>
      </c>
      <c r="DX317" s="157">
        <f t="shared" si="402"/>
        <v>0</v>
      </c>
      <c r="DY317" s="156" t="str">
        <f t="shared" si="403"/>
        <v>OK</v>
      </c>
    </row>
    <row r="318" spans="1:129" ht="13" hidden="1" x14ac:dyDescent="0.3">
      <c r="A318" s="333"/>
      <c r="B318" s="333"/>
      <c r="C318" s="332" t="str">
        <f t="shared" si="410"/>
        <v>-</v>
      </c>
      <c r="D318" s="584">
        <f t="shared" si="336"/>
        <v>295</v>
      </c>
      <c r="E318" s="585"/>
      <c r="F318" s="586"/>
      <c r="G318" s="600"/>
      <c r="H318" s="587"/>
      <c r="I318" s="601"/>
      <c r="J318" s="585"/>
      <c r="K318" s="617"/>
      <c r="L318" s="602"/>
      <c r="M318" s="603"/>
      <c r="N318" s="588"/>
      <c r="O318" s="604"/>
      <c r="P318" s="605"/>
      <c r="Q318" s="588"/>
      <c r="R318" s="604"/>
      <c r="S318" s="605"/>
      <c r="T318" s="606"/>
      <c r="U318" s="606"/>
      <c r="V318" s="429" t="str">
        <f t="shared" si="408"/>
        <v/>
      </c>
      <c r="W318" s="430" t="str">
        <f t="shared" si="407"/>
        <v/>
      </c>
      <c r="X318" s="66" t="str">
        <f>IF(AND(ISNUMBER(P318),N318=FixedDim),MAX('Adjustment factors'!$S$16,0.2+0.8*P318),IF(ISTEXT(N318),VLOOKUP(N318,Afactors,2,TRUE),""))</f>
        <v/>
      </c>
      <c r="Y318" s="17" t="str">
        <f>IF(AND(ISNUMBER(S318),Q318=FixedDim),MAX('Adjustment factors'!$S$16,0.2+0.8*S318),IF(ISTEXT(Q318),VLOOKUP(Q318,Afactors,2,TRUE),""))</f>
        <v/>
      </c>
      <c r="Z318" s="297" t="str">
        <f>IF(ISBLANK(T318),"",VLOOKUP(T318,'Adjustment factors'!$R$27:$S$30,2,TRUE))</f>
        <v/>
      </c>
      <c r="AA318" s="297" t="str">
        <f>IF(ISBLANK(U318),"",VLOOKUP(U318,'Adjustment factors'!$R$27:$S$30,2,TRUE))</f>
        <v/>
      </c>
      <c r="AB318" s="480">
        <f t="shared" si="382"/>
        <v>1</v>
      </c>
      <c r="AC318" s="18" t="b">
        <f t="shared" si="339"/>
        <v>0</v>
      </c>
      <c r="AD318" s="18" t="b">
        <f t="shared" si="340"/>
        <v>0</v>
      </c>
      <c r="AE318" s="18" t="b">
        <f t="shared" si="404"/>
        <v>0</v>
      </c>
      <c r="AF318" s="17" t="str">
        <f t="shared" si="341"/>
        <v/>
      </c>
      <c r="AG318" s="18" t="str">
        <f t="shared" si="342"/>
        <v/>
      </c>
      <c r="AH318" s="17" t="str">
        <f t="shared" si="405"/>
        <v/>
      </c>
      <c r="AI318" s="297" t="e">
        <f t="shared" si="383"/>
        <v>#VALUE!</v>
      </c>
      <c r="AJ318" s="79" t="e">
        <f t="shared" si="343"/>
        <v>#VALUE!</v>
      </c>
      <c r="AK318" s="17" t="str">
        <f t="shared" si="406"/>
        <v/>
      </c>
      <c r="AL318" s="80" t="e">
        <f t="shared" si="344"/>
        <v>#VALUE!</v>
      </c>
      <c r="AM318" s="139" t="b">
        <f t="shared" si="345"/>
        <v>1</v>
      </c>
      <c r="AN318" s="139" t="b">
        <f>AND(COUNTA(E318)&gt;0,ISNUMBER(F318),OR(COUNT(G318:H318)=0,COUNT(G318:H318)=2,AND(ISNUMBER(G318),ISNUMBER(VALUE(LEFT(H318,SUM(LEN(H318)-LEN(SUBSTITUTE(H318,{"0","1","2","3","4","5","6","7","8","9","."},"")))))))),ISNUMBER(I318),ISTEXT(J318))</f>
        <v>0</v>
      </c>
      <c r="AO318" s="19" t="b">
        <f t="shared" si="346"/>
        <v>0</v>
      </c>
      <c r="AP318" s="19" t="b">
        <f t="shared" si="347"/>
        <v>1</v>
      </c>
      <c r="AQ318" s="19" t="b">
        <f>IF(AND(COUNTBLANK(E318:J318)=6,OR(AN319:AN$523)),NOT(AN318))</f>
        <v>0</v>
      </c>
      <c r="AR318" s="19" t="str">
        <f t="shared" si="348"/>
        <v/>
      </c>
      <c r="AS318" s="19" t="b">
        <f t="shared" si="349"/>
        <v>1</v>
      </c>
      <c r="AT318" s="19" t="str">
        <f t="shared" si="350"/>
        <v/>
      </c>
      <c r="AU318" s="19" t="b">
        <f t="shared" si="351"/>
        <v>1</v>
      </c>
      <c r="AV318" s="140" t="str">
        <f t="shared" si="388"/>
        <v/>
      </c>
      <c r="AW318" s="19" t="str">
        <f t="shared" si="352"/>
        <v/>
      </c>
      <c r="AX318" s="81">
        <f t="shared" si="353"/>
        <v>0</v>
      </c>
      <c r="AY318" s="81" t="str">
        <f t="shared" si="354"/>
        <v/>
      </c>
      <c r="AZ318" s="307" t="str">
        <f t="shared" si="384"/>
        <v/>
      </c>
      <c r="BA318" s="281" t="str">
        <f t="shared" si="389"/>
        <v/>
      </c>
      <c r="BB318" s="281" t="str">
        <f t="shared" si="390"/>
        <v/>
      </c>
      <c r="BC318" s="953"/>
      <c r="BD318" s="955"/>
      <c r="BE318" s="219" t="str">
        <f t="shared" si="355"/>
        <v>n/a</v>
      </c>
      <c r="BF318" s="215" t="b">
        <f t="shared" si="356"/>
        <v>0</v>
      </c>
      <c r="BG318" s="145" t="b">
        <f t="shared" si="357"/>
        <v>0</v>
      </c>
      <c r="BH318" s="145" t="b">
        <f t="shared" si="358"/>
        <v>0</v>
      </c>
      <c r="BI318" s="216" t="b">
        <f t="shared" si="359"/>
        <v>0</v>
      </c>
      <c r="BJ318" s="215" t="b">
        <f t="shared" si="360"/>
        <v>0</v>
      </c>
      <c r="BK318" s="145" t="b">
        <f t="shared" si="361"/>
        <v>0</v>
      </c>
      <c r="BL318" s="216" t="b">
        <f t="shared" si="362"/>
        <v>0</v>
      </c>
      <c r="BM318" s="217" t="str">
        <f t="shared" si="391"/>
        <v/>
      </c>
      <c r="BN318" s="146" t="str">
        <f t="shared" si="392"/>
        <v/>
      </c>
      <c r="BO318" s="147" t="str">
        <f t="shared" si="393"/>
        <v/>
      </c>
      <c r="BP318" s="148" t="str">
        <f t="shared" si="394"/>
        <v/>
      </c>
      <c r="BT318" s="50">
        <f t="shared" si="337"/>
        <v>295</v>
      </c>
      <c r="BU318" s="50" t="str">
        <f t="shared" si="409"/>
        <v>-</v>
      </c>
      <c r="BW318" s="340"/>
      <c r="BX318" s="333"/>
      <c r="BY318" s="333"/>
      <c r="BZ318" s="333"/>
      <c r="CA318" s="333"/>
      <c r="CB318" s="333"/>
      <c r="CC318" s="333"/>
      <c r="CD318" s="333"/>
      <c r="CE318" s="333"/>
      <c r="CF318" s="333"/>
      <c r="CG318" s="354">
        <f t="shared" si="363"/>
        <v>295</v>
      </c>
      <c r="CH318" s="613">
        <f t="shared" si="364"/>
        <v>0</v>
      </c>
      <c r="CI318" s="613">
        <f t="shared" si="365"/>
        <v>0</v>
      </c>
      <c r="CJ318" s="614" t="str">
        <f t="shared" si="366"/>
        <v/>
      </c>
      <c r="CK318" s="615" t="str">
        <f t="shared" si="367"/>
        <v/>
      </c>
      <c r="CL318" s="610" t="str">
        <f>IF(ISBLANK(H318),"",IF(AND(ISNUMBER(F318),ISNUMBER(G318),ISNUMBER(H318)),ROUND(F318/(H318*G318),2),ROUND(F318/(VALUE(LEFT(H318,SUM(LEN(H318)-LEN(SUBSTITUTE(H318,{"0","1","2","3","4","5","6","7","8","9","."},"")))))*G318),2)))</f>
        <v/>
      </c>
      <c r="CM318" s="616" t="str">
        <f t="shared" si="395"/>
        <v/>
      </c>
      <c r="CN318" s="616" t="str">
        <f>IF(ISNUMBER(P318),MAX('Adjustment factors'!$S$16,(0.2+0.8*P318)),IF(ISTEXT(N318),VLOOKUP(N318,Afactors,2,FALSE),""))</f>
        <v/>
      </c>
      <c r="CO318" s="616" t="str">
        <f>IF(ISNUMBER(S318),MAX('Adjustment factors'!$S$16,0.2+0.8*S318),IF(ISTEXT(Q318),VLOOKUP(Q318,Afactors,2,FALSE),""))</f>
        <v/>
      </c>
      <c r="CP318" s="611" t="str">
        <f t="shared" si="385"/>
        <v/>
      </c>
      <c r="CQ318" s="612" t="str">
        <f t="shared" si="386"/>
        <v/>
      </c>
      <c r="CR318" s="340"/>
      <c r="CS318" s="340"/>
      <c r="CT318" s="340"/>
      <c r="CU318" s="340"/>
      <c r="CV318" s="333"/>
      <c r="CW318" s="333"/>
      <c r="CX318" s="333"/>
      <c r="CY318" s="333"/>
      <c r="DA318" s="313" t="str">
        <f t="shared" si="368"/>
        <v>OK</v>
      </c>
      <c r="DB318" s="313" t="str">
        <f t="shared" si="369"/>
        <v>OK</v>
      </c>
      <c r="DC318" s="313" t="str">
        <f t="shared" si="370"/>
        <v>OK</v>
      </c>
      <c r="DD318" s="313" t="str">
        <f t="shared" si="371"/>
        <v>OK</v>
      </c>
      <c r="DE318" s="153" t="str">
        <f t="shared" si="372"/>
        <v>OK</v>
      </c>
      <c r="DF318" s="314" t="str">
        <f t="shared" si="373"/>
        <v>OK</v>
      </c>
      <c r="DG318" s="482" t="str">
        <f t="shared" si="387"/>
        <v>OK</v>
      </c>
      <c r="DH318" s="482" t="str">
        <f>IF(OR(AND(T318='Adjustment factors'!$R$28,'Class 3, 5-9'!U318='Adjustment factors'!$R$29),AND('Class 3, 5-9'!T318='Adjustment factors'!$R$29,'Class 3, 5-9'!U318='Adjustment factors'!$R$28)),"Invalid combination of adjustment factors",IF(AND(T318=U318,NOT(ISBLANK(T318)),NOT(ISBLANK(U318))),"Same colour factor selected twice","OK"))</f>
        <v>OK</v>
      </c>
      <c r="DI318" s="313" t="str">
        <f t="shared" si="374"/>
        <v>OK</v>
      </c>
      <c r="DJ318" s="153" t="str">
        <f t="shared" si="396"/>
        <v>OK</v>
      </c>
      <c r="DK318" s="153" t="str">
        <f t="shared" si="375"/>
        <v>OK</v>
      </c>
      <c r="DL318" s="313" t="str">
        <f t="shared" si="376"/>
        <v>OK</v>
      </c>
      <c r="DM318" s="153" t="str">
        <f t="shared" si="377"/>
        <v>OK</v>
      </c>
      <c r="DN318" s="153" t="str">
        <f t="shared" si="397"/>
        <v>OK</v>
      </c>
      <c r="DO318" s="154" t="str">
        <f t="shared" si="398"/>
        <v>OK</v>
      </c>
      <c r="DP318" s="153" t="str">
        <f t="shared" si="378"/>
        <v>OK</v>
      </c>
      <c r="DQ318" s="313" t="str">
        <f t="shared" si="379"/>
        <v>OK</v>
      </c>
      <c r="DR318" s="153" t="str">
        <f t="shared" si="399"/>
        <v>OK</v>
      </c>
      <c r="DS318" s="153" t="str">
        <f t="shared" si="380"/>
        <v>OK</v>
      </c>
      <c r="DT318" s="313" t="str">
        <f t="shared" si="411"/>
        <v>OK</v>
      </c>
      <c r="DU318" s="153" t="str">
        <f t="shared" si="381"/>
        <v>OK</v>
      </c>
      <c r="DV318" s="153" t="str">
        <f t="shared" si="400"/>
        <v>OK</v>
      </c>
      <c r="DW318" s="154" t="str">
        <f t="shared" si="401"/>
        <v>OK</v>
      </c>
      <c r="DX318" s="157">
        <f t="shared" si="402"/>
        <v>0</v>
      </c>
      <c r="DY318" s="156" t="str">
        <f t="shared" si="403"/>
        <v>OK</v>
      </c>
    </row>
    <row r="319" spans="1:129" ht="13" hidden="1" x14ac:dyDescent="0.3">
      <c r="A319" s="333"/>
      <c r="B319" s="340"/>
      <c r="C319" s="332" t="str">
        <f t="shared" si="410"/>
        <v>-</v>
      </c>
      <c r="D319" s="584">
        <f t="shared" si="336"/>
        <v>296</v>
      </c>
      <c r="E319" s="585"/>
      <c r="F319" s="586"/>
      <c r="G319" s="600"/>
      <c r="H319" s="587"/>
      <c r="I319" s="601"/>
      <c r="J319" s="585"/>
      <c r="K319" s="617"/>
      <c r="L319" s="602"/>
      <c r="M319" s="603"/>
      <c r="N319" s="588"/>
      <c r="O319" s="604"/>
      <c r="P319" s="605"/>
      <c r="Q319" s="588"/>
      <c r="R319" s="604"/>
      <c r="S319" s="605"/>
      <c r="T319" s="606"/>
      <c r="U319" s="606"/>
      <c r="V319" s="429" t="str">
        <f t="shared" si="408"/>
        <v/>
      </c>
      <c r="W319" s="430" t="str">
        <f t="shared" si="407"/>
        <v/>
      </c>
      <c r="X319" s="66" t="str">
        <f>IF(AND(ISNUMBER(P319),N319=FixedDim),MAX('Adjustment factors'!$S$16,0.2+0.8*P319),IF(ISTEXT(N319),VLOOKUP(N319,Afactors,2,TRUE),""))</f>
        <v/>
      </c>
      <c r="Y319" s="17" t="str">
        <f>IF(AND(ISNUMBER(S319),Q319=FixedDim),MAX('Adjustment factors'!$S$16,0.2+0.8*S319),IF(ISTEXT(Q319),VLOOKUP(Q319,Afactors,2,TRUE),""))</f>
        <v/>
      </c>
      <c r="Z319" s="297" t="str">
        <f>IF(ISBLANK(T319),"",VLOOKUP(T319,'Adjustment factors'!$R$27:$S$30,2,TRUE))</f>
        <v/>
      </c>
      <c r="AA319" s="297" t="str">
        <f>IF(ISBLANK(U319),"",VLOOKUP(U319,'Adjustment factors'!$R$27:$S$30,2,TRUE))</f>
        <v/>
      </c>
      <c r="AB319" s="480">
        <f t="shared" si="382"/>
        <v>1</v>
      </c>
      <c r="AC319" s="18" t="b">
        <f t="shared" si="339"/>
        <v>0</v>
      </c>
      <c r="AD319" s="18" t="b">
        <f t="shared" si="340"/>
        <v>0</v>
      </c>
      <c r="AE319" s="18" t="b">
        <f t="shared" si="404"/>
        <v>0</v>
      </c>
      <c r="AF319" s="17" t="str">
        <f t="shared" si="341"/>
        <v/>
      </c>
      <c r="AG319" s="18" t="str">
        <f t="shared" si="342"/>
        <v/>
      </c>
      <c r="AH319" s="17" t="str">
        <f t="shared" si="405"/>
        <v/>
      </c>
      <c r="AI319" s="297" t="e">
        <f t="shared" si="383"/>
        <v>#VALUE!</v>
      </c>
      <c r="AJ319" s="79" t="e">
        <f t="shared" si="343"/>
        <v>#VALUE!</v>
      </c>
      <c r="AK319" s="17" t="str">
        <f t="shared" si="406"/>
        <v/>
      </c>
      <c r="AL319" s="80" t="e">
        <f t="shared" si="344"/>
        <v>#VALUE!</v>
      </c>
      <c r="AM319" s="139" t="b">
        <f t="shared" si="345"/>
        <v>1</v>
      </c>
      <c r="AN319" s="139" t="b">
        <f>AND(COUNTA(E319)&gt;0,ISNUMBER(F319),OR(COUNT(G319:H319)=0,COUNT(G319:H319)=2,AND(ISNUMBER(G319),ISNUMBER(VALUE(LEFT(H319,SUM(LEN(H319)-LEN(SUBSTITUTE(H319,{"0","1","2","3","4","5","6","7","8","9","."},"")))))))),ISNUMBER(I319),ISTEXT(J319))</f>
        <v>0</v>
      </c>
      <c r="AO319" s="19" t="b">
        <f t="shared" si="346"/>
        <v>0</v>
      </c>
      <c r="AP319" s="19" t="b">
        <f t="shared" si="347"/>
        <v>1</v>
      </c>
      <c r="AQ319" s="19" t="b">
        <f>IF(AND(COUNTBLANK(E319:J319)=6,OR(AN320:AN$523)),NOT(AN319))</f>
        <v>0</v>
      </c>
      <c r="AR319" s="19" t="str">
        <f t="shared" si="348"/>
        <v/>
      </c>
      <c r="AS319" s="19" t="b">
        <f t="shared" si="349"/>
        <v>1</v>
      </c>
      <c r="AT319" s="19" t="str">
        <f t="shared" si="350"/>
        <v/>
      </c>
      <c r="AU319" s="19" t="b">
        <f t="shared" si="351"/>
        <v>1</v>
      </c>
      <c r="AV319" s="140" t="str">
        <f t="shared" si="388"/>
        <v/>
      </c>
      <c r="AW319" s="19" t="str">
        <f t="shared" si="352"/>
        <v/>
      </c>
      <c r="AX319" s="81">
        <f t="shared" si="353"/>
        <v>0</v>
      </c>
      <c r="AY319" s="81" t="str">
        <f t="shared" si="354"/>
        <v/>
      </c>
      <c r="AZ319" s="307" t="str">
        <f t="shared" si="384"/>
        <v/>
      </c>
      <c r="BA319" s="281" t="str">
        <f t="shared" si="389"/>
        <v/>
      </c>
      <c r="BB319" s="281" t="str">
        <f t="shared" si="390"/>
        <v/>
      </c>
      <c r="BC319" s="953"/>
      <c r="BD319" s="955"/>
      <c r="BE319" s="219" t="str">
        <f t="shared" si="355"/>
        <v>n/a</v>
      </c>
      <c r="BF319" s="215" t="b">
        <f t="shared" si="356"/>
        <v>0</v>
      </c>
      <c r="BG319" s="145" t="b">
        <f t="shared" si="357"/>
        <v>0</v>
      </c>
      <c r="BH319" s="145" t="b">
        <f t="shared" si="358"/>
        <v>0</v>
      </c>
      <c r="BI319" s="216" t="b">
        <f t="shared" si="359"/>
        <v>0</v>
      </c>
      <c r="BJ319" s="215" t="b">
        <f t="shared" si="360"/>
        <v>0</v>
      </c>
      <c r="BK319" s="145" t="b">
        <f t="shared" si="361"/>
        <v>0</v>
      </c>
      <c r="BL319" s="216" t="b">
        <f t="shared" si="362"/>
        <v>0</v>
      </c>
      <c r="BM319" s="217" t="str">
        <f t="shared" si="391"/>
        <v/>
      </c>
      <c r="BN319" s="146" t="str">
        <f t="shared" si="392"/>
        <v/>
      </c>
      <c r="BO319" s="147" t="str">
        <f t="shared" si="393"/>
        <v/>
      </c>
      <c r="BP319" s="148" t="str">
        <f t="shared" si="394"/>
        <v/>
      </c>
      <c r="BT319" s="50">
        <f t="shared" si="337"/>
        <v>296</v>
      </c>
      <c r="BU319" s="50" t="str">
        <f t="shared" si="409"/>
        <v>-</v>
      </c>
      <c r="BW319" s="340"/>
      <c r="BX319" s="333"/>
      <c r="BY319" s="333"/>
      <c r="BZ319" s="333"/>
      <c r="CA319" s="333"/>
      <c r="CB319" s="333"/>
      <c r="CC319" s="333"/>
      <c r="CD319" s="333"/>
      <c r="CE319" s="333"/>
      <c r="CF319" s="333"/>
      <c r="CG319" s="354">
        <f t="shared" si="363"/>
        <v>296</v>
      </c>
      <c r="CH319" s="613">
        <f t="shared" si="364"/>
        <v>0</v>
      </c>
      <c r="CI319" s="613">
        <f t="shared" si="365"/>
        <v>0</v>
      </c>
      <c r="CJ319" s="614" t="str">
        <f t="shared" si="366"/>
        <v/>
      </c>
      <c r="CK319" s="615" t="str">
        <f t="shared" si="367"/>
        <v/>
      </c>
      <c r="CL319" s="610" t="str">
        <f>IF(ISBLANK(H319),"",IF(AND(ISNUMBER(F319),ISNUMBER(G319),ISNUMBER(H319)),ROUND(F319/(H319*G319),2),ROUND(F319/(VALUE(LEFT(H319,SUM(LEN(H319)-LEN(SUBSTITUTE(H319,{"0","1","2","3","4","5","6","7","8","9","."},"")))))*G319),2)))</f>
        <v/>
      </c>
      <c r="CM319" s="616" t="str">
        <f t="shared" si="395"/>
        <v/>
      </c>
      <c r="CN319" s="616" t="str">
        <f>IF(ISNUMBER(P319),MAX('Adjustment factors'!$S$16,(0.2+0.8*P319)),IF(ISTEXT(N319),VLOOKUP(N319,Afactors,2,FALSE),""))</f>
        <v/>
      </c>
      <c r="CO319" s="616" t="str">
        <f>IF(ISNUMBER(S319),MAX('Adjustment factors'!$S$16,0.2+0.8*S319),IF(ISTEXT(Q319),VLOOKUP(Q319,Afactors,2,FALSE),""))</f>
        <v/>
      </c>
      <c r="CP319" s="611" t="str">
        <f t="shared" si="385"/>
        <v/>
      </c>
      <c r="CQ319" s="612" t="str">
        <f t="shared" si="386"/>
        <v/>
      </c>
      <c r="CR319" s="340"/>
      <c r="CS319" s="340"/>
      <c r="CT319" s="340"/>
      <c r="CU319" s="340"/>
      <c r="CV319" s="333"/>
      <c r="CW319" s="333"/>
      <c r="CX319" s="333"/>
      <c r="CY319" s="333"/>
      <c r="DA319" s="313" t="str">
        <f t="shared" si="368"/>
        <v>OK</v>
      </c>
      <c r="DB319" s="313" t="str">
        <f t="shared" si="369"/>
        <v>OK</v>
      </c>
      <c r="DC319" s="313" t="str">
        <f t="shared" si="370"/>
        <v>OK</v>
      </c>
      <c r="DD319" s="313" t="str">
        <f t="shared" si="371"/>
        <v>OK</v>
      </c>
      <c r="DE319" s="153" t="str">
        <f t="shared" si="372"/>
        <v>OK</v>
      </c>
      <c r="DF319" s="314" t="str">
        <f t="shared" si="373"/>
        <v>OK</v>
      </c>
      <c r="DG319" s="482" t="str">
        <f t="shared" si="387"/>
        <v>OK</v>
      </c>
      <c r="DH319" s="482" t="str">
        <f>IF(OR(AND(T319='Adjustment factors'!$R$28,'Class 3, 5-9'!U319='Adjustment factors'!$R$29),AND('Class 3, 5-9'!T319='Adjustment factors'!$R$29,'Class 3, 5-9'!U319='Adjustment factors'!$R$28)),"Invalid combination of adjustment factors",IF(AND(T319=U319,NOT(ISBLANK(T319)),NOT(ISBLANK(U319))),"Same colour factor selected twice","OK"))</f>
        <v>OK</v>
      </c>
      <c r="DI319" s="313" t="str">
        <f t="shared" si="374"/>
        <v>OK</v>
      </c>
      <c r="DJ319" s="153" t="str">
        <f t="shared" si="396"/>
        <v>OK</v>
      </c>
      <c r="DK319" s="153" t="str">
        <f t="shared" si="375"/>
        <v>OK</v>
      </c>
      <c r="DL319" s="313" t="str">
        <f t="shared" si="376"/>
        <v>OK</v>
      </c>
      <c r="DM319" s="153" t="str">
        <f t="shared" si="377"/>
        <v>OK</v>
      </c>
      <c r="DN319" s="153" t="str">
        <f t="shared" si="397"/>
        <v>OK</v>
      </c>
      <c r="DO319" s="154" t="str">
        <f t="shared" si="398"/>
        <v>OK</v>
      </c>
      <c r="DP319" s="153" t="str">
        <f t="shared" si="378"/>
        <v>OK</v>
      </c>
      <c r="DQ319" s="313" t="str">
        <f t="shared" si="379"/>
        <v>OK</v>
      </c>
      <c r="DR319" s="153" t="str">
        <f t="shared" si="399"/>
        <v>OK</v>
      </c>
      <c r="DS319" s="153" t="str">
        <f t="shared" si="380"/>
        <v>OK</v>
      </c>
      <c r="DT319" s="313" t="str">
        <f t="shared" si="411"/>
        <v>OK</v>
      </c>
      <c r="DU319" s="153" t="str">
        <f t="shared" si="381"/>
        <v>OK</v>
      </c>
      <c r="DV319" s="153" t="str">
        <f t="shared" si="400"/>
        <v>OK</v>
      </c>
      <c r="DW319" s="154" t="str">
        <f t="shared" si="401"/>
        <v>OK</v>
      </c>
      <c r="DX319" s="157">
        <f t="shared" si="402"/>
        <v>0</v>
      </c>
      <c r="DY319" s="156" t="str">
        <f t="shared" si="403"/>
        <v>OK</v>
      </c>
    </row>
    <row r="320" spans="1:129" ht="13" hidden="1" x14ac:dyDescent="0.3">
      <c r="A320" s="333"/>
      <c r="B320" s="340"/>
      <c r="C320" s="332" t="str">
        <f t="shared" si="410"/>
        <v>-</v>
      </c>
      <c r="D320" s="584">
        <f t="shared" si="336"/>
        <v>297</v>
      </c>
      <c r="E320" s="585"/>
      <c r="F320" s="586"/>
      <c r="G320" s="600"/>
      <c r="H320" s="587"/>
      <c r="I320" s="601"/>
      <c r="J320" s="585"/>
      <c r="K320" s="617"/>
      <c r="L320" s="602"/>
      <c r="M320" s="603"/>
      <c r="N320" s="588"/>
      <c r="O320" s="604"/>
      <c r="P320" s="605"/>
      <c r="Q320" s="588"/>
      <c r="R320" s="604"/>
      <c r="S320" s="605"/>
      <c r="T320" s="606"/>
      <c r="U320" s="606"/>
      <c r="V320" s="429" t="str">
        <f t="shared" si="408"/>
        <v/>
      </c>
      <c r="W320" s="430" t="str">
        <f t="shared" si="407"/>
        <v/>
      </c>
      <c r="X320" s="66" t="str">
        <f>IF(AND(ISNUMBER(P320),N320=FixedDim),MAX('Adjustment factors'!$S$16,0.2+0.8*P320),IF(ISTEXT(N320),VLOOKUP(N320,Afactors,2,TRUE),""))</f>
        <v/>
      </c>
      <c r="Y320" s="17" t="str">
        <f>IF(AND(ISNUMBER(S320),Q320=FixedDim),MAX('Adjustment factors'!$S$16,0.2+0.8*S320),IF(ISTEXT(Q320),VLOOKUP(Q320,Afactors,2,TRUE),""))</f>
        <v/>
      </c>
      <c r="Z320" s="297" t="str">
        <f>IF(ISBLANK(T320),"",VLOOKUP(T320,'Adjustment factors'!$R$27:$S$30,2,TRUE))</f>
        <v/>
      </c>
      <c r="AA320" s="297" t="str">
        <f>IF(ISBLANK(U320),"",VLOOKUP(U320,'Adjustment factors'!$R$27:$S$30,2,TRUE))</f>
        <v/>
      </c>
      <c r="AB320" s="480">
        <f t="shared" si="382"/>
        <v>1</v>
      </c>
      <c r="AC320" s="18" t="b">
        <f t="shared" si="339"/>
        <v>0</v>
      </c>
      <c r="AD320" s="18" t="b">
        <f t="shared" si="340"/>
        <v>0</v>
      </c>
      <c r="AE320" s="18" t="b">
        <f t="shared" si="404"/>
        <v>0</v>
      </c>
      <c r="AF320" s="17" t="str">
        <f t="shared" si="341"/>
        <v/>
      </c>
      <c r="AG320" s="18" t="str">
        <f t="shared" si="342"/>
        <v/>
      </c>
      <c r="AH320" s="17" t="str">
        <f t="shared" si="405"/>
        <v/>
      </c>
      <c r="AI320" s="297" t="e">
        <f t="shared" si="383"/>
        <v>#VALUE!</v>
      </c>
      <c r="AJ320" s="79" t="e">
        <f t="shared" si="343"/>
        <v>#VALUE!</v>
      </c>
      <c r="AK320" s="17" t="str">
        <f t="shared" si="406"/>
        <v/>
      </c>
      <c r="AL320" s="80" t="e">
        <f t="shared" si="344"/>
        <v>#VALUE!</v>
      </c>
      <c r="AM320" s="139" t="b">
        <f t="shared" si="345"/>
        <v>1</v>
      </c>
      <c r="AN320" s="139" t="b">
        <f>AND(COUNTA(E320)&gt;0,ISNUMBER(F320),OR(COUNT(G320:H320)=0,COUNT(G320:H320)=2,AND(ISNUMBER(G320),ISNUMBER(VALUE(LEFT(H320,SUM(LEN(H320)-LEN(SUBSTITUTE(H320,{"0","1","2","3","4","5","6","7","8","9","."},"")))))))),ISNUMBER(I320),ISTEXT(J320))</f>
        <v>0</v>
      </c>
      <c r="AO320" s="19" t="b">
        <f t="shared" si="346"/>
        <v>0</v>
      </c>
      <c r="AP320" s="19" t="b">
        <f t="shared" si="347"/>
        <v>1</v>
      </c>
      <c r="AQ320" s="19" t="b">
        <f>IF(AND(COUNTBLANK(E320:J320)=6,OR(AN321:AN$523)),NOT(AN320))</f>
        <v>0</v>
      </c>
      <c r="AR320" s="19" t="str">
        <f t="shared" si="348"/>
        <v/>
      </c>
      <c r="AS320" s="19" t="b">
        <f t="shared" si="349"/>
        <v>1</v>
      </c>
      <c r="AT320" s="19" t="str">
        <f t="shared" si="350"/>
        <v/>
      </c>
      <c r="AU320" s="19" t="b">
        <f t="shared" si="351"/>
        <v>1</v>
      </c>
      <c r="AV320" s="140" t="str">
        <f t="shared" si="388"/>
        <v/>
      </c>
      <c r="AW320" s="19" t="str">
        <f t="shared" si="352"/>
        <v/>
      </c>
      <c r="AX320" s="81">
        <f t="shared" si="353"/>
        <v>0</v>
      </c>
      <c r="AY320" s="81" t="str">
        <f t="shared" si="354"/>
        <v/>
      </c>
      <c r="AZ320" s="307" t="str">
        <f t="shared" si="384"/>
        <v/>
      </c>
      <c r="BA320" s="281" t="str">
        <f t="shared" si="389"/>
        <v/>
      </c>
      <c r="BB320" s="281" t="str">
        <f t="shared" si="390"/>
        <v/>
      </c>
      <c r="BC320" s="953"/>
      <c r="BD320" s="955"/>
      <c r="BE320" s="219" t="str">
        <f t="shared" si="355"/>
        <v>n/a</v>
      </c>
      <c r="BF320" s="215" t="b">
        <f t="shared" si="356"/>
        <v>0</v>
      </c>
      <c r="BG320" s="145" t="b">
        <f t="shared" si="357"/>
        <v>0</v>
      </c>
      <c r="BH320" s="145" t="b">
        <f t="shared" si="358"/>
        <v>0</v>
      </c>
      <c r="BI320" s="216" t="b">
        <f t="shared" si="359"/>
        <v>0</v>
      </c>
      <c r="BJ320" s="215" t="b">
        <f t="shared" si="360"/>
        <v>0</v>
      </c>
      <c r="BK320" s="145" t="b">
        <f t="shared" si="361"/>
        <v>0</v>
      </c>
      <c r="BL320" s="216" t="b">
        <f t="shared" si="362"/>
        <v>0</v>
      </c>
      <c r="BM320" s="217" t="str">
        <f t="shared" si="391"/>
        <v/>
      </c>
      <c r="BN320" s="146" t="str">
        <f t="shared" si="392"/>
        <v/>
      </c>
      <c r="BO320" s="147" t="str">
        <f t="shared" si="393"/>
        <v/>
      </c>
      <c r="BP320" s="148" t="str">
        <f t="shared" si="394"/>
        <v/>
      </c>
      <c r="BT320" s="50">
        <f t="shared" si="337"/>
        <v>297</v>
      </c>
      <c r="BU320" s="50" t="str">
        <f t="shared" si="409"/>
        <v>-</v>
      </c>
      <c r="BW320" s="340"/>
      <c r="BX320" s="333"/>
      <c r="BY320" s="333"/>
      <c r="BZ320" s="333"/>
      <c r="CA320" s="333"/>
      <c r="CB320" s="333"/>
      <c r="CC320" s="333"/>
      <c r="CD320" s="333"/>
      <c r="CE320" s="333"/>
      <c r="CF320" s="333"/>
      <c r="CG320" s="354">
        <f t="shared" si="363"/>
        <v>297</v>
      </c>
      <c r="CH320" s="613">
        <f t="shared" si="364"/>
        <v>0</v>
      </c>
      <c r="CI320" s="613">
        <f t="shared" si="365"/>
        <v>0</v>
      </c>
      <c r="CJ320" s="614" t="str">
        <f t="shared" si="366"/>
        <v/>
      </c>
      <c r="CK320" s="615" t="str">
        <f t="shared" si="367"/>
        <v/>
      </c>
      <c r="CL320" s="610" t="str">
        <f>IF(ISBLANK(H320),"",IF(AND(ISNUMBER(F320),ISNUMBER(G320),ISNUMBER(H320)),ROUND(F320/(H320*G320),2),ROUND(F320/(VALUE(LEFT(H320,SUM(LEN(H320)-LEN(SUBSTITUTE(H320,{"0","1","2","3","4","5","6","7","8","9","."},"")))))*G320),2)))</f>
        <v/>
      </c>
      <c r="CM320" s="616" t="str">
        <f t="shared" si="395"/>
        <v/>
      </c>
      <c r="CN320" s="616" t="str">
        <f>IF(ISNUMBER(P320),MAX('Adjustment factors'!$S$16,(0.2+0.8*P320)),IF(ISTEXT(N320),VLOOKUP(N320,Afactors,2,FALSE),""))</f>
        <v/>
      </c>
      <c r="CO320" s="616" t="str">
        <f>IF(ISNUMBER(S320),MAX('Adjustment factors'!$S$16,0.2+0.8*S320),IF(ISTEXT(Q320),VLOOKUP(Q320,Afactors,2,FALSE),""))</f>
        <v/>
      </c>
      <c r="CP320" s="611" t="str">
        <f t="shared" si="385"/>
        <v/>
      </c>
      <c r="CQ320" s="612" t="str">
        <f t="shared" si="386"/>
        <v/>
      </c>
      <c r="CR320" s="340"/>
      <c r="CS320" s="340"/>
      <c r="CT320" s="340"/>
      <c r="CU320" s="340"/>
      <c r="CV320" s="333"/>
      <c r="CW320" s="333"/>
      <c r="CX320" s="333"/>
      <c r="CY320" s="333"/>
      <c r="DA320" s="313" t="str">
        <f t="shared" si="368"/>
        <v>OK</v>
      </c>
      <c r="DB320" s="313" t="str">
        <f t="shared" si="369"/>
        <v>OK</v>
      </c>
      <c r="DC320" s="313" t="str">
        <f t="shared" si="370"/>
        <v>OK</v>
      </c>
      <c r="DD320" s="313" t="str">
        <f t="shared" si="371"/>
        <v>OK</v>
      </c>
      <c r="DE320" s="153" t="str">
        <f t="shared" si="372"/>
        <v>OK</v>
      </c>
      <c r="DF320" s="314" t="str">
        <f t="shared" si="373"/>
        <v>OK</v>
      </c>
      <c r="DG320" s="482" t="str">
        <f t="shared" si="387"/>
        <v>OK</v>
      </c>
      <c r="DH320" s="482" t="str">
        <f>IF(OR(AND(T320='Adjustment factors'!$R$28,'Class 3, 5-9'!U320='Adjustment factors'!$R$29),AND('Class 3, 5-9'!T320='Adjustment factors'!$R$29,'Class 3, 5-9'!U320='Adjustment factors'!$R$28)),"Invalid combination of adjustment factors",IF(AND(T320=U320,NOT(ISBLANK(T320)),NOT(ISBLANK(U320))),"Same colour factor selected twice","OK"))</f>
        <v>OK</v>
      </c>
      <c r="DI320" s="313" t="str">
        <f t="shared" si="374"/>
        <v>OK</v>
      </c>
      <c r="DJ320" s="153" t="str">
        <f t="shared" si="396"/>
        <v>OK</v>
      </c>
      <c r="DK320" s="153" t="str">
        <f t="shared" si="375"/>
        <v>OK</v>
      </c>
      <c r="DL320" s="313" t="str">
        <f t="shared" si="376"/>
        <v>OK</v>
      </c>
      <c r="DM320" s="153" t="str">
        <f t="shared" si="377"/>
        <v>OK</v>
      </c>
      <c r="DN320" s="153" t="str">
        <f t="shared" si="397"/>
        <v>OK</v>
      </c>
      <c r="DO320" s="154" t="str">
        <f t="shared" si="398"/>
        <v>OK</v>
      </c>
      <c r="DP320" s="153" t="str">
        <f t="shared" si="378"/>
        <v>OK</v>
      </c>
      <c r="DQ320" s="313" t="str">
        <f t="shared" si="379"/>
        <v>OK</v>
      </c>
      <c r="DR320" s="153" t="str">
        <f t="shared" si="399"/>
        <v>OK</v>
      </c>
      <c r="DS320" s="153" t="str">
        <f t="shared" si="380"/>
        <v>OK</v>
      </c>
      <c r="DT320" s="313" t="str">
        <f t="shared" si="411"/>
        <v>OK</v>
      </c>
      <c r="DU320" s="153" t="str">
        <f t="shared" si="381"/>
        <v>OK</v>
      </c>
      <c r="DV320" s="153" t="str">
        <f t="shared" si="400"/>
        <v>OK</v>
      </c>
      <c r="DW320" s="154" t="str">
        <f t="shared" si="401"/>
        <v>OK</v>
      </c>
      <c r="DX320" s="157">
        <f t="shared" si="402"/>
        <v>0</v>
      </c>
      <c r="DY320" s="156" t="str">
        <f t="shared" si="403"/>
        <v>OK</v>
      </c>
    </row>
    <row r="321" spans="1:129" ht="13" hidden="1" x14ac:dyDescent="0.3">
      <c r="A321" s="340"/>
      <c r="B321" s="340"/>
      <c r="C321" s="332" t="str">
        <f t="shared" si="410"/>
        <v>-</v>
      </c>
      <c r="D321" s="584">
        <f t="shared" ref="D321:D384" si="412">D320+1</f>
        <v>298</v>
      </c>
      <c r="E321" s="585"/>
      <c r="F321" s="586"/>
      <c r="G321" s="600"/>
      <c r="H321" s="587"/>
      <c r="I321" s="601"/>
      <c r="J321" s="585"/>
      <c r="K321" s="617"/>
      <c r="L321" s="602"/>
      <c r="M321" s="603"/>
      <c r="N321" s="588"/>
      <c r="O321" s="604"/>
      <c r="P321" s="605"/>
      <c r="Q321" s="588"/>
      <c r="R321" s="604"/>
      <c r="S321" s="605"/>
      <c r="T321" s="606"/>
      <c r="U321" s="606"/>
      <c r="V321" s="429" t="str">
        <f t="shared" si="408"/>
        <v/>
      </c>
      <c r="W321" s="430" t="str">
        <f t="shared" si="407"/>
        <v/>
      </c>
      <c r="X321" s="66" t="str">
        <f>IF(AND(ISNUMBER(P321),N321=FixedDim),MAX('Adjustment factors'!$S$16,0.2+0.8*P321),IF(ISTEXT(N321),VLOOKUP(N321,Afactors,2,TRUE),""))</f>
        <v/>
      </c>
      <c r="Y321" s="17" t="str">
        <f>IF(AND(ISNUMBER(S321),Q321=FixedDim),MAX('Adjustment factors'!$S$16,0.2+0.8*S321),IF(ISTEXT(Q321),VLOOKUP(Q321,Afactors,2,TRUE),""))</f>
        <v/>
      </c>
      <c r="Z321" s="297" t="str">
        <f>IF(ISBLANK(T321),"",VLOOKUP(T321,'Adjustment factors'!$R$27:$S$30,2,TRUE))</f>
        <v/>
      </c>
      <c r="AA321" s="297" t="str">
        <f>IF(ISBLANK(U321),"",VLOOKUP(U321,'Adjustment factors'!$R$27:$S$30,2,TRUE))</f>
        <v/>
      </c>
      <c r="AB321" s="480">
        <f t="shared" si="382"/>
        <v>1</v>
      </c>
      <c r="AC321" s="18" t="b">
        <f t="shared" si="339"/>
        <v>0</v>
      </c>
      <c r="AD321" s="18" t="b">
        <f t="shared" si="340"/>
        <v>0</v>
      </c>
      <c r="AE321" s="18" t="b">
        <f t="shared" si="404"/>
        <v>0</v>
      </c>
      <c r="AF321" s="17" t="str">
        <f t="shared" si="341"/>
        <v/>
      </c>
      <c r="AG321" s="18" t="str">
        <f t="shared" si="342"/>
        <v/>
      </c>
      <c r="AH321" s="17" t="str">
        <f t="shared" si="405"/>
        <v/>
      </c>
      <c r="AI321" s="297" t="e">
        <f t="shared" si="383"/>
        <v>#VALUE!</v>
      </c>
      <c r="AJ321" s="79" t="e">
        <f t="shared" si="343"/>
        <v>#VALUE!</v>
      </c>
      <c r="AK321" s="17" t="str">
        <f t="shared" si="406"/>
        <v/>
      </c>
      <c r="AL321" s="80" t="e">
        <f t="shared" si="344"/>
        <v>#VALUE!</v>
      </c>
      <c r="AM321" s="139" t="b">
        <f t="shared" si="345"/>
        <v>1</v>
      </c>
      <c r="AN321" s="139" t="b">
        <f>AND(COUNTA(E321)&gt;0,ISNUMBER(F321),OR(COUNT(G321:H321)=0,COUNT(G321:H321)=2,AND(ISNUMBER(G321),ISNUMBER(VALUE(LEFT(H321,SUM(LEN(H321)-LEN(SUBSTITUTE(H321,{"0","1","2","3","4","5","6","7","8","9","."},"")))))))),ISNUMBER(I321),ISTEXT(J321))</f>
        <v>0</v>
      </c>
      <c r="AO321" s="19" t="b">
        <f t="shared" si="346"/>
        <v>0</v>
      </c>
      <c r="AP321" s="19" t="b">
        <f t="shared" si="347"/>
        <v>1</v>
      </c>
      <c r="AQ321" s="19" t="b">
        <f>IF(AND(COUNTBLANK(E321:J321)=6,OR(AN322:AN$523)),NOT(AN321))</f>
        <v>0</v>
      </c>
      <c r="AR321" s="19" t="str">
        <f t="shared" si="348"/>
        <v/>
      </c>
      <c r="AS321" s="19" t="b">
        <f t="shared" si="349"/>
        <v>1</v>
      </c>
      <c r="AT321" s="19" t="str">
        <f t="shared" si="350"/>
        <v/>
      </c>
      <c r="AU321" s="19" t="b">
        <f t="shared" si="351"/>
        <v>1</v>
      </c>
      <c r="AV321" s="140" t="str">
        <f t="shared" si="388"/>
        <v/>
      </c>
      <c r="AW321" s="19" t="str">
        <f t="shared" si="352"/>
        <v/>
      </c>
      <c r="AX321" s="81">
        <f t="shared" si="353"/>
        <v>0</v>
      </c>
      <c r="AY321" s="81" t="str">
        <f t="shared" si="354"/>
        <v/>
      </c>
      <c r="AZ321" s="307" t="str">
        <f t="shared" si="384"/>
        <v/>
      </c>
      <c r="BA321" s="281" t="str">
        <f t="shared" si="389"/>
        <v/>
      </c>
      <c r="BB321" s="281" t="str">
        <f t="shared" si="390"/>
        <v/>
      </c>
      <c r="BC321" s="953"/>
      <c r="BD321" s="955"/>
      <c r="BE321" s="219" t="str">
        <f t="shared" si="355"/>
        <v>n/a</v>
      </c>
      <c r="BF321" s="215" t="b">
        <f t="shared" si="356"/>
        <v>0</v>
      </c>
      <c r="BG321" s="145" t="b">
        <f t="shared" si="357"/>
        <v>0</v>
      </c>
      <c r="BH321" s="145" t="b">
        <f t="shared" si="358"/>
        <v>0</v>
      </c>
      <c r="BI321" s="216" t="b">
        <f t="shared" si="359"/>
        <v>0</v>
      </c>
      <c r="BJ321" s="215" t="b">
        <f t="shared" si="360"/>
        <v>0</v>
      </c>
      <c r="BK321" s="145" t="b">
        <f t="shared" si="361"/>
        <v>0</v>
      </c>
      <c r="BL321" s="216" t="b">
        <f t="shared" si="362"/>
        <v>0</v>
      </c>
      <c r="BM321" s="217" t="str">
        <f t="shared" si="391"/>
        <v/>
      </c>
      <c r="BN321" s="146" t="str">
        <f t="shared" si="392"/>
        <v/>
      </c>
      <c r="BO321" s="147" t="str">
        <f t="shared" si="393"/>
        <v/>
      </c>
      <c r="BP321" s="148" t="str">
        <f t="shared" si="394"/>
        <v/>
      </c>
      <c r="BT321" s="50">
        <f t="shared" ref="BT321:BT384" si="413">BT320+1</f>
        <v>298</v>
      </c>
      <c r="BU321" s="50" t="str">
        <f t="shared" si="409"/>
        <v>-</v>
      </c>
      <c r="BW321" s="340"/>
      <c r="BX321" s="333"/>
      <c r="BY321" s="333"/>
      <c r="BZ321" s="333"/>
      <c r="CA321" s="333"/>
      <c r="CB321" s="333"/>
      <c r="CC321" s="333"/>
      <c r="CD321" s="333"/>
      <c r="CE321" s="333"/>
      <c r="CF321" s="333"/>
      <c r="CG321" s="354">
        <f t="shared" si="363"/>
        <v>298</v>
      </c>
      <c r="CH321" s="613">
        <f t="shared" si="364"/>
        <v>0</v>
      </c>
      <c r="CI321" s="613">
        <f t="shared" si="365"/>
        <v>0</v>
      </c>
      <c r="CJ321" s="614" t="str">
        <f t="shared" si="366"/>
        <v/>
      </c>
      <c r="CK321" s="615" t="str">
        <f t="shared" si="367"/>
        <v/>
      </c>
      <c r="CL321" s="610" t="str">
        <f>IF(ISBLANK(H321),"",IF(AND(ISNUMBER(F321),ISNUMBER(G321),ISNUMBER(H321)),ROUND(F321/(H321*G321),2),ROUND(F321/(VALUE(LEFT(H321,SUM(LEN(H321)-LEN(SUBSTITUTE(H321,{"0","1","2","3","4","5","6","7","8","9","."},"")))))*G321),2)))</f>
        <v/>
      </c>
      <c r="CM321" s="616" t="str">
        <f t="shared" si="395"/>
        <v/>
      </c>
      <c r="CN321" s="616" t="str">
        <f>IF(ISNUMBER(P321),MAX('Adjustment factors'!$S$16,(0.2+0.8*P321)),IF(ISTEXT(N321),VLOOKUP(N321,Afactors,2,FALSE),""))</f>
        <v/>
      </c>
      <c r="CO321" s="616" t="str">
        <f>IF(ISNUMBER(S321),MAX('Adjustment factors'!$S$16,0.2+0.8*S321),IF(ISTEXT(Q321),VLOOKUP(Q321,Afactors,2,FALSE),""))</f>
        <v/>
      </c>
      <c r="CP321" s="611" t="str">
        <f t="shared" si="385"/>
        <v/>
      </c>
      <c r="CQ321" s="612" t="str">
        <f t="shared" si="386"/>
        <v/>
      </c>
      <c r="CR321" s="340"/>
      <c r="CS321" s="340"/>
      <c r="CT321" s="340"/>
      <c r="CU321" s="340"/>
      <c r="CV321" s="333"/>
      <c r="CW321" s="333"/>
      <c r="CX321" s="333"/>
      <c r="CY321" s="333"/>
      <c r="DA321" s="313" t="str">
        <f t="shared" si="368"/>
        <v>OK</v>
      </c>
      <c r="DB321" s="313" t="str">
        <f t="shared" si="369"/>
        <v>OK</v>
      </c>
      <c r="DC321" s="313" t="str">
        <f t="shared" si="370"/>
        <v>OK</v>
      </c>
      <c r="DD321" s="313" t="str">
        <f t="shared" si="371"/>
        <v>OK</v>
      </c>
      <c r="DE321" s="153" t="str">
        <f t="shared" si="372"/>
        <v>OK</v>
      </c>
      <c r="DF321" s="314" t="str">
        <f t="shared" si="373"/>
        <v>OK</v>
      </c>
      <c r="DG321" s="482" t="str">
        <f t="shared" si="387"/>
        <v>OK</v>
      </c>
      <c r="DH321" s="482" t="str">
        <f>IF(OR(AND(T321='Adjustment factors'!$R$28,'Class 3, 5-9'!U321='Adjustment factors'!$R$29),AND('Class 3, 5-9'!T321='Adjustment factors'!$R$29,'Class 3, 5-9'!U321='Adjustment factors'!$R$28)),"Invalid combination of adjustment factors",IF(AND(T321=U321,NOT(ISBLANK(T321)),NOT(ISBLANK(U321))),"Same colour factor selected twice","OK"))</f>
        <v>OK</v>
      </c>
      <c r="DI321" s="313" t="str">
        <f t="shared" si="374"/>
        <v>OK</v>
      </c>
      <c r="DJ321" s="153" t="str">
        <f t="shared" si="396"/>
        <v>OK</v>
      </c>
      <c r="DK321" s="153" t="str">
        <f t="shared" si="375"/>
        <v>OK</v>
      </c>
      <c r="DL321" s="313" t="str">
        <f t="shared" si="376"/>
        <v>OK</v>
      </c>
      <c r="DM321" s="153" t="str">
        <f t="shared" si="377"/>
        <v>OK</v>
      </c>
      <c r="DN321" s="153" t="str">
        <f t="shared" si="397"/>
        <v>OK</v>
      </c>
      <c r="DO321" s="154" t="str">
        <f t="shared" si="398"/>
        <v>OK</v>
      </c>
      <c r="DP321" s="153" t="str">
        <f t="shared" si="378"/>
        <v>OK</v>
      </c>
      <c r="DQ321" s="313" t="str">
        <f t="shared" si="379"/>
        <v>OK</v>
      </c>
      <c r="DR321" s="153" t="str">
        <f t="shared" si="399"/>
        <v>OK</v>
      </c>
      <c r="DS321" s="153" t="str">
        <f t="shared" si="380"/>
        <v>OK</v>
      </c>
      <c r="DT321" s="313" t="str">
        <f t="shared" si="411"/>
        <v>OK</v>
      </c>
      <c r="DU321" s="153" t="str">
        <f t="shared" si="381"/>
        <v>OK</v>
      </c>
      <c r="DV321" s="153" t="str">
        <f t="shared" si="400"/>
        <v>OK</v>
      </c>
      <c r="DW321" s="154" t="str">
        <f t="shared" si="401"/>
        <v>OK</v>
      </c>
      <c r="DX321" s="157">
        <f t="shared" si="402"/>
        <v>0</v>
      </c>
      <c r="DY321" s="156" t="str">
        <f t="shared" si="403"/>
        <v>OK</v>
      </c>
    </row>
    <row r="322" spans="1:129" ht="13" hidden="1" x14ac:dyDescent="0.3">
      <c r="A322" s="340"/>
      <c r="B322" s="340"/>
      <c r="C322" s="332" t="str">
        <f t="shared" si="410"/>
        <v>-</v>
      </c>
      <c r="D322" s="584">
        <f t="shared" si="412"/>
        <v>299</v>
      </c>
      <c r="E322" s="585"/>
      <c r="F322" s="586"/>
      <c r="G322" s="600"/>
      <c r="H322" s="587"/>
      <c r="I322" s="601"/>
      <c r="J322" s="585"/>
      <c r="K322" s="617"/>
      <c r="L322" s="602"/>
      <c r="M322" s="603"/>
      <c r="N322" s="588"/>
      <c r="O322" s="604"/>
      <c r="P322" s="605"/>
      <c r="Q322" s="588"/>
      <c r="R322" s="604"/>
      <c r="S322" s="605"/>
      <c r="T322" s="606"/>
      <c r="U322" s="606"/>
      <c r="V322" s="429" t="str">
        <f t="shared" si="408"/>
        <v/>
      </c>
      <c r="W322" s="430" t="str">
        <f t="shared" si="407"/>
        <v/>
      </c>
      <c r="X322" s="66" t="str">
        <f>IF(AND(ISNUMBER(P322),N322=FixedDim),MAX('Adjustment factors'!$S$16,0.2+0.8*P322),IF(ISTEXT(N322),VLOOKUP(N322,Afactors,2,TRUE),""))</f>
        <v/>
      </c>
      <c r="Y322" s="17" t="str">
        <f>IF(AND(ISNUMBER(S322),Q322=FixedDim),MAX('Adjustment factors'!$S$16,0.2+0.8*S322),IF(ISTEXT(Q322),VLOOKUP(Q322,Afactors,2,TRUE),""))</f>
        <v/>
      </c>
      <c r="Z322" s="297" t="str">
        <f>IF(ISBLANK(T322),"",VLOOKUP(T322,'Adjustment factors'!$R$27:$S$30,2,TRUE))</f>
        <v/>
      </c>
      <c r="AA322" s="297" t="str">
        <f>IF(ISBLANK(U322),"",VLOOKUP(U322,'Adjustment factors'!$R$27:$S$30,2,TRUE))</f>
        <v/>
      </c>
      <c r="AB322" s="480">
        <f t="shared" si="382"/>
        <v>1</v>
      </c>
      <c r="AC322" s="18" t="b">
        <f t="shared" si="339"/>
        <v>0</v>
      </c>
      <c r="AD322" s="18" t="b">
        <f t="shared" si="340"/>
        <v>0</v>
      </c>
      <c r="AE322" s="18" t="b">
        <f t="shared" si="404"/>
        <v>0</v>
      </c>
      <c r="AF322" s="17" t="str">
        <f t="shared" si="341"/>
        <v/>
      </c>
      <c r="AG322" s="18" t="str">
        <f t="shared" si="342"/>
        <v/>
      </c>
      <c r="AH322" s="17" t="str">
        <f t="shared" si="405"/>
        <v/>
      </c>
      <c r="AI322" s="297" t="e">
        <f t="shared" si="383"/>
        <v>#VALUE!</v>
      </c>
      <c r="AJ322" s="79" t="e">
        <f t="shared" si="343"/>
        <v>#VALUE!</v>
      </c>
      <c r="AK322" s="17" t="str">
        <f t="shared" si="406"/>
        <v/>
      </c>
      <c r="AL322" s="80" t="e">
        <f t="shared" si="344"/>
        <v>#VALUE!</v>
      </c>
      <c r="AM322" s="139" t="b">
        <f t="shared" si="345"/>
        <v>1</v>
      </c>
      <c r="AN322" s="139" t="b">
        <f>AND(COUNTA(E322)&gt;0,ISNUMBER(F322),OR(COUNT(G322:H322)=0,COUNT(G322:H322)=2,AND(ISNUMBER(G322),ISNUMBER(VALUE(LEFT(H322,SUM(LEN(H322)-LEN(SUBSTITUTE(H322,{"0","1","2","3","4","5","6","7","8","9","."},"")))))))),ISNUMBER(I322),ISTEXT(J322))</f>
        <v>0</v>
      </c>
      <c r="AO322" s="19" t="b">
        <f t="shared" si="346"/>
        <v>0</v>
      </c>
      <c r="AP322" s="19" t="b">
        <f t="shared" si="347"/>
        <v>1</v>
      </c>
      <c r="AQ322" s="19" t="b">
        <f>IF(AND(COUNTBLANK(E322:J322)=6,OR(AN323:AN$523)),NOT(AN322))</f>
        <v>0</v>
      </c>
      <c r="AR322" s="19" t="str">
        <f t="shared" si="348"/>
        <v/>
      </c>
      <c r="AS322" s="19" t="b">
        <f t="shared" si="349"/>
        <v>1</v>
      </c>
      <c r="AT322" s="19" t="str">
        <f t="shared" si="350"/>
        <v/>
      </c>
      <c r="AU322" s="19" t="b">
        <f t="shared" si="351"/>
        <v>1</v>
      </c>
      <c r="AV322" s="140" t="str">
        <f t="shared" si="388"/>
        <v/>
      </c>
      <c r="AW322" s="19" t="str">
        <f t="shared" si="352"/>
        <v/>
      </c>
      <c r="AX322" s="81">
        <f t="shared" si="353"/>
        <v>0</v>
      </c>
      <c r="AY322" s="81" t="str">
        <f t="shared" si="354"/>
        <v/>
      </c>
      <c r="AZ322" s="307" t="str">
        <f t="shared" si="384"/>
        <v/>
      </c>
      <c r="BA322" s="281" t="str">
        <f t="shared" si="389"/>
        <v/>
      </c>
      <c r="BB322" s="281" t="str">
        <f t="shared" si="390"/>
        <v/>
      </c>
      <c r="BC322" s="953"/>
      <c r="BD322" s="955"/>
      <c r="BE322" s="219" t="str">
        <f t="shared" si="355"/>
        <v>n/a</v>
      </c>
      <c r="BF322" s="215" t="b">
        <f t="shared" si="356"/>
        <v>0</v>
      </c>
      <c r="BG322" s="145" t="b">
        <f t="shared" si="357"/>
        <v>0</v>
      </c>
      <c r="BH322" s="145" t="b">
        <f t="shared" si="358"/>
        <v>0</v>
      </c>
      <c r="BI322" s="216" t="b">
        <f t="shared" si="359"/>
        <v>0</v>
      </c>
      <c r="BJ322" s="215" t="b">
        <f t="shared" si="360"/>
        <v>0</v>
      </c>
      <c r="BK322" s="145" t="b">
        <f t="shared" si="361"/>
        <v>0</v>
      </c>
      <c r="BL322" s="216" t="b">
        <f t="shared" si="362"/>
        <v>0</v>
      </c>
      <c r="BM322" s="217" t="str">
        <f t="shared" si="391"/>
        <v/>
      </c>
      <c r="BN322" s="146" t="str">
        <f t="shared" si="392"/>
        <v/>
      </c>
      <c r="BO322" s="147" t="str">
        <f t="shared" si="393"/>
        <v/>
      </c>
      <c r="BP322" s="148" t="str">
        <f t="shared" si="394"/>
        <v/>
      </c>
      <c r="BT322" s="50">
        <f t="shared" si="413"/>
        <v>299</v>
      </c>
      <c r="BU322" s="50" t="str">
        <f t="shared" si="409"/>
        <v>-</v>
      </c>
      <c r="BW322" s="340"/>
      <c r="BX322" s="333"/>
      <c r="BY322" s="333"/>
      <c r="BZ322" s="333"/>
      <c r="CA322" s="333"/>
      <c r="CB322" s="333"/>
      <c r="CC322" s="333"/>
      <c r="CD322" s="333"/>
      <c r="CE322" s="333"/>
      <c r="CF322" s="333"/>
      <c r="CG322" s="354">
        <f t="shared" si="363"/>
        <v>299</v>
      </c>
      <c r="CH322" s="613">
        <f t="shared" si="364"/>
        <v>0</v>
      </c>
      <c r="CI322" s="613">
        <f t="shared" si="365"/>
        <v>0</v>
      </c>
      <c r="CJ322" s="614" t="str">
        <f t="shared" si="366"/>
        <v/>
      </c>
      <c r="CK322" s="615" t="str">
        <f t="shared" si="367"/>
        <v/>
      </c>
      <c r="CL322" s="610" t="str">
        <f>IF(ISBLANK(H322),"",IF(AND(ISNUMBER(F322),ISNUMBER(G322),ISNUMBER(H322)),ROUND(F322/(H322*G322),2),ROUND(F322/(VALUE(LEFT(H322,SUM(LEN(H322)-LEN(SUBSTITUTE(H322,{"0","1","2","3","4","5","6","7","8","9","."},"")))))*G322),2)))</f>
        <v/>
      </c>
      <c r="CM322" s="616" t="str">
        <f t="shared" si="395"/>
        <v/>
      </c>
      <c r="CN322" s="616" t="str">
        <f>IF(ISNUMBER(P322),MAX('Adjustment factors'!$S$16,(0.2+0.8*P322)),IF(ISTEXT(N322),VLOOKUP(N322,Afactors,2,FALSE),""))</f>
        <v/>
      </c>
      <c r="CO322" s="616" t="str">
        <f>IF(ISNUMBER(S322),MAX('Adjustment factors'!$S$16,0.2+0.8*S322),IF(ISTEXT(Q322),VLOOKUP(Q322,Afactors,2,FALSE),""))</f>
        <v/>
      </c>
      <c r="CP322" s="611" t="str">
        <f t="shared" si="385"/>
        <v/>
      </c>
      <c r="CQ322" s="612" t="str">
        <f t="shared" si="386"/>
        <v/>
      </c>
      <c r="CR322" s="340"/>
      <c r="CS322" s="340"/>
      <c r="CT322" s="340"/>
      <c r="CU322" s="340"/>
      <c r="CV322" s="333"/>
      <c r="CW322" s="333"/>
      <c r="CX322" s="333"/>
      <c r="CY322" s="333"/>
      <c r="DA322" s="313" t="str">
        <f t="shared" si="368"/>
        <v>OK</v>
      </c>
      <c r="DB322" s="313" t="str">
        <f t="shared" si="369"/>
        <v>OK</v>
      </c>
      <c r="DC322" s="313" t="str">
        <f t="shared" si="370"/>
        <v>OK</v>
      </c>
      <c r="DD322" s="313" t="str">
        <f t="shared" si="371"/>
        <v>OK</v>
      </c>
      <c r="DE322" s="153" t="str">
        <f t="shared" si="372"/>
        <v>OK</v>
      </c>
      <c r="DF322" s="314" t="str">
        <f t="shared" si="373"/>
        <v>OK</v>
      </c>
      <c r="DG322" s="482" t="str">
        <f t="shared" si="387"/>
        <v>OK</v>
      </c>
      <c r="DH322" s="482" t="str">
        <f>IF(OR(AND(T322='Adjustment factors'!$R$28,'Class 3, 5-9'!U322='Adjustment factors'!$R$29),AND('Class 3, 5-9'!T322='Adjustment factors'!$R$29,'Class 3, 5-9'!U322='Adjustment factors'!$R$28)),"Invalid combination of adjustment factors",IF(AND(T322=U322,NOT(ISBLANK(T322)),NOT(ISBLANK(U322))),"Same colour factor selected twice","OK"))</f>
        <v>OK</v>
      </c>
      <c r="DI322" s="313" t="str">
        <f t="shared" si="374"/>
        <v>OK</v>
      </c>
      <c r="DJ322" s="153" t="str">
        <f t="shared" si="396"/>
        <v>OK</v>
      </c>
      <c r="DK322" s="153" t="str">
        <f t="shared" si="375"/>
        <v>OK</v>
      </c>
      <c r="DL322" s="313" t="str">
        <f t="shared" si="376"/>
        <v>OK</v>
      </c>
      <c r="DM322" s="153" t="str">
        <f t="shared" si="377"/>
        <v>OK</v>
      </c>
      <c r="DN322" s="153" t="str">
        <f t="shared" si="397"/>
        <v>OK</v>
      </c>
      <c r="DO322" s="154" t="str">
        <f t="shared" si="398"/>
        <v>OK</v>
      </c>
      <c r="DP322" s="153" t="str">
        <f t="shared" si="378"/>
        <v>OK</v>
      </c>
      <c r="DQ322" s="313" t="str">
        <f t="shared" si="379"/>
        <v>OK</v>
      </c>
      <c r="DR322" s="153" t="str">
        <f t="shared" si="399"/>
        <v>OK</v>
      </c>
      <c r="DS322" s="153" t="str">
        <f t="shared" si="380"/>
        <v>OK</v>
      </c>
      <c r="DT322" s="313" t="str">
        <f t="shared" si="411"/>
        <v>OK</v>
      </c>
      <c r="DU322" s="153" t="str">
        <f t="shared" si="381"/>
        <v>OK</v>
      </c>
      <c r="DV322" s="153" t="str">
        <f t="shared" si="400"/>
        <v>OK</v>
      </c>
      <c r="DW322" s="154" t="str">
        <f t="shared" si="401"/>
        <v>OK</v>
      </c>
      <c r="DX322" s="157">
        <f t="shared" si="402"/>
        <v>0</v>
      </c>
      <c r="DY322" s="156" t="str">
        <f t="shared" si="403"/>
        <v>OK</v>
      </c>
    </row>
    <row r="323" spans="1:129" ht="13" hidden="1" x14ac:dyDescent="0.3">
      <c r="A323" s="340"/>
      <c r="B323" s="418"/>
      <c r="C323" s="332" t="str">
        <f t="shared" si="410"/>
        <v>-</v>
      </c>
      <c r="D323" s="584">
        <f t="shared" si="412"/>
        <v>300</v>
      </c>
      <c r="E323" s="585"/>
      <c r="F323" s="586"/>
      <c r="G323" s="600"/>
      <c r="H323" s="587"/>
      <c r="I323" s="601"/>
      <c r="J323" s="585"/>
      <c r="K323" s="617"/>
      <c r="L323" s="602"/>
      <c r="M323" s="603"/>
      <c r="N323" s="588"/>
      <c r="O323" s="604"/>
      <c r="P323" s="605"/>
      <c r="Q323" s="588"/>
      <c r="R323" s="604"/>
      <c r="S323" s="605"/>
      <c r="T323" s="606"/>
      <c r="U323" s="606"/>
      <c r="V323" s="429" t="str">
        <f t="shared" si="408"/>
        <v/>
      </c>
      <c r="W323" s="430" t="str">
        <f t="shared" si="407"/>
        <v/>
      </c>
      <c r="X323" s="66" t="str">
        <f>IF(AND(ISNUMBER(P323),N323=FixedDim),MAX('Adjustment factors'!$S$16,0.2+0.8*P323),IF(ISTEXT(N323),VLOOKUP(N323,Afactors,2,TRUE),""))</f>
        <v/>
      </c>
      <c r="Y323" s="17" t="str">
        <f>IF(AND(ISNUMBER(S323),Q323=FixedDim),MAX('Adjustment factors'!$S$16,0.2+0.8*S323),IF(ISTEXT(Q323),VLOOKUP(Q323,Afactors,2,TRUE),""))</f>
        <v/>
      </c>
      <c r="Z323" s="297" t="str">
        <f>IF(ISBLANK(T323),"",VLOOKUP(T323,'Adjustment factors'!$R$27:$S$30,2,TRUE))</f>
        <v/>
      </c>
      <c r="AA323" s="297" t="str">
        <f>IF(ISBLANK(U323),"",VLOOKUP(U323,'Adjustment factors'!$R$27:$S$30,2,TRUE))</f>
        <v/>
      </c>
      <c r="AB323" s="480">
        <f t="shared" si="382"/>
        <v>1</v>
      </c>
      <c r="AC323" s="18" t="b">
        <f t="shared" si="339"/>
        <v>0</v>
      </c>
      <c r="AD323" s="18" t="b">
        <f t="shared" si="340"/>
        <v>0</v>
      </c>
      <c r="AE323" s="18" t="b">
        <f t="shared" si="404"/>
        <v>0</v>
      </c>
      <c r="AF323" s="17" t="str">
        <f t="shared" si="341"/>
        <v/>
      </c>
      <c r="AG323" s="18" t="str">
        <f t="shared" si="342"/>
        <v/>
      </c>
      <c r="AH323" s="17" t="str">
        <f t="shared" si="405"/>
        <v/>
      </c>
      <c r="AI323" s="297" t="e">
        <f t="shared" si="383"/>
        <v>#VALUE!</v>
      </c>
      <c r="AJ323" s="79" t="e">
        <f t="shared" si="343"/>
        <v>#VALUE!</v>
      </c>
      <c r="AK323" s="17" t="str">
        <f t="shared" si="406"/>
        <v/>
      </c>
      <c r="AL323" s="80" t="e">
        <f t="shared" si="344"/>
        <v>#VALUE!</v>
      </c>
      <c r="AM323" s="139" t="b">
        <f t="shared" si="345"/>
        <v>1</v>
      </c>
      <c r="AN323" s="139" t="b">
        <f>AND(COUNTA(E323)&gt;0,ISNUMBER(F323),OR(COUNT(G323:H323)=0,COUNT(G323:H323)=2,AND(ISNUMBER(G323),ISNUMBER(VALUE(LEFT(H323,SUM(LEN(H323)-LEN(SUBSTITUTE(H323,{"0","1","2","3","4","5","6","7","8","9","."},"")))))))),ISNUMBER(I323),ISTEXT(J323))</f>
        <v>0</v>
      </c>
      <c r="AO323" s="19" t="b">
        <f t="shared" si="346"/>
        <v>0</v>
      </c>
      <c r="AP323" s="19" t="b">
        <f t="shared" si="347"/>
        <v>1</v>
      </c>
      <c r="AQ323" s="19" t="b">
        <f>IF(AND(COUNTBLANK(E323:J323)=6,OR(AN324:AN$523)),NOT(AN323))</f>
        <v>0</v>
      </c>
      <c r="AR323" s="19" t="str">
        <f t="shared" si="348"/>
        <v/>
      </c>
      <c r="AS323" s="19" t="b">
        <f t="shared" si="349"/>
        <v>1</v>
      </c>
      <c r="AT323" s="19" t="str">
        <f t="shared" si="350"/>
        <v/>
      </c>
      <c r="AU323" s="19" t="b">
        <f t="shared" si="351"/>
        <v>1</v>
      </c>
      <c r="AV323" s="140" t="str">
        <f t="shared" si="388"/>
        <v/>
      </c>
      <c r="AW323" s="19" t="str">
        <f t="shared" si="352"/>
        <v/>
      </c>
      <c r="AX323" s="81">
        <f t="shared" si="353"/>
        <v>0</v>
      </c>
      <c r="AY323" s="81" t="str">
        <f t="shared" si="354"/>
        <v/>
      </c>
      <c r="AZ323" s="307" t="str">
        <f t="shared" si="384"/>
        <v/>
      </c>
      <c r="BA323" s="281" t="str">
        <f t="shared" si="389"/>
        <v/>
      </c>
      <c r="BB323" s="281" t="str">
        <f t="shared" si="390"/>
        <v/>
      </c>
      <c r="BC323" s="953"/>
      <c r="BD323" s="955"/>
      <c r="BE323" s="219" t="str">
        <f t="shared" si="355"/>
        <v>n/a</v>
      </c>
      <c r="BF323" s="215" t="b">
        <f t="shared" si="356"/>
        <v>0</v>
      </c>
      <c r="BG323" s="145" t="b">
        <f t="shared" si="357"/>
        <v>0</v>
      </c>
      <c r="BH323" s="145" t="b">
        <f t="shared" si="358"/>
        <v>0</v>
      </c>
      <c r="BI323" s="216" t="b">
        <f t="shared" si="359"/>
        <v>0</v>
      </c>
      <c r="BJ323" s="215" t="b">
        <f t="shared" si="360"/>
        <v>0</v>
      </c>
      <c r="BK323" s="145" t="b">
        <f t="shared" si="361"/>
        <v>0</v>
      </c>
      <c r="BL323" s="216" t="b">
        <f t="shared" si="362"/>
        <v>0</v>
      </c>
      <c r="BM323" s="217" t="str">
        <f t="shared" si="391"/>
        <v/>
      </c>
      <c r="BN323" s="146" t="str">
        <f t="shared" si="392"/>
        <v/>
      </c>
      <c r="BO323" s="147" t="str">
        <f t="shared" si="393"/>
        <v/>
      </c>
      <c r="BP323" s="148" t="str">
        <f t="shared" si="394"/>
        <v/>
      </c>
      <c r="BT323" s="50">
        <f t="shared" si="413"/>
        <v>300</v>
      </c>
      <c r="BU323" s="50" t="str">
        <f t="shared" si="409"/>
        <v>-</v>
      </c>
      <c r="BW323" s="340"/>
      <c r="BX323" s="333"/>
      <c r="BY323" s="333"/>
      <c r="BZ323" s="333"/>
      <c r="CA323" s="333"/>
      <c r="CB323" s="333"/>
      <c r="CC323" s="333"/>
      <c r="CD323" s="333"/>
      <c r="CE323" s="333"/>
      <c r="CF323" s="333"/>
      <c r="CG323" s="354">
        <f t="shared" si="363"/>
        <v>300</v>
      </c>
      <c r="CH323" s="613">
        <f t="shared" si="364"/>
        <v>0</v>
      </c>
      <c r="CI323" s="613">
        <f t="shared" si="365"/>
        <v>0</v>
      </c>
      <c r="CJ323" s="614" t="str">
        <f t="shared" si="366"/>
        <v/>
      </c>
      <c r="CK323" s="615" t="str">
        <f t="shared" si="367"/>
        <v/>
      </c>
      <c r="CL323" s="610" t="str">
        <f>IF(ISBLANK(H323),"",IF(AND(ISNUMBER(F323),ISNUMBER(G323),ISNUMBER(H323)),ROUND(F323/(H323*G323),2),ROUND(F323/(VALUE(LEFT(H323,SUM(LEN(H323)-LEN(SUBSTITUTE(H323,{"0","1","2","3","4","5","6","7","8","9","."},"")))))*G323),2)))</f>
        <v/>
      </c>
      <c r="CM323" s="616" t="str">
        <f t="shared" si="395"/>
        <v/>
      </c>
      <c r="CN323" s="616" t="str">
        <f>IF(ISNUMBER(P323),MAX('Adjustment factors'!$S$16,(0.2+0.8*P323)),IF(ISTEXT(N323),VLOOKUP(N323,Afactors,2,FALSE),""))</f>
        <v/>
      </c>
      <c r="CO323" s="616" t="str">
        <f>IF(ISNUMBER(S323),MAX('Adjustment factors'!$S$16,0.2+0.8*S323),IF(ISTEXT(Q323),VLOOKUP(Q323,Afactors,2,FALSE),""))</f>
        <v/>
      </c>
      <c r="CP323" s="611" t="str">
        <f t="shared" si="385"/>
        <v/>
      </c>
      <c r="CQ323" s="612" t="str">
        <f t="shared" si="386"/>
        <v/>
      </c>
      <c r="CR323" s="340"/>
      <c r="CS323" s="340"/>
      <c r="CT323" s="340"/>
      <c r="CU323" s="340"/>
      <c r="CV323" s="333"/>
      <c r="CW323" s="333"/>
      <c r="CX323" s="333"/>
      <c r="CY323" s="333"/>
      <c r="DA323" s="313" t="str">
        <f t="shared" si="368"/>
        <v>OK</v>
      </c>
      <c r="DB323" s="313" t="str">
        <f t="shared" si="369"/>
        <v>OK</v>
      </c>
      <c r="DC323" s="313" t="str">
        <f t="shared" si="370"/>
        <v>OK</v>
      </c>
      <c r="DD323" s="313" t="str">
        <f t="shared" si="371"/>
        <v>OK</v>
      </c>
      <c r="DE323" s="153" t="str">
        <f t="shared" si="372"/>
        <v>OK</v>
      </c>
      <c r="DF323" s="314" t="str">
        <f t="shared" si="373"/>
        <v>OK</v>
      </c>
      <c r="DG323" s="482" t="str">
        <f t="shared" si="387"/>
        <v>OK</v>
      </c>
      <c r="DH323" s="482" t="str">
        <f>IF(OR(AND(T323='Adjustment factors'!$R$28,'Class 3, 5-9'!U323='Adjustment factors'!$R$29),AND('Class 3, 5-9'!T323='Adjustment factors'!$R$29,'Class 3, 5-9'!U323='Adjustment factors'!$R$28)),"Invalid combination of adjustment factors",IF(AND(T323=U323,NOT(ISBLANK(T323)),NOT(ISBLANK(U323))),"Same colour factor selected twice","OK"))</f>
        <v>OK</v>
      </c>
      <c r="DI323" s="313" t="str">
        <f t="shared" si="374"/>
        <v>OK</v>
      </c>
      <c r="DJ323" s="153" t="str">
        <f t="shared" si="396"/>
        <v>OK</v>
      </c>
      <c r="DK323" s="153" t="str">
        <f t="shared" si="375"/>
        <v>OK</v>
      </c>
      <c r="DL323" s="313" t="str">
        <f t="shared" si="376"/>
        <v>OK</v>
      </c>
      <c r="DM323" s="153" t="str">
        <f t="shared" si="377"/>
        <v>OK</v>
      </c>
      <c r="DN323" s="153" t="str">
        <f t="shared" si="397"/>
        <v>OK</v>
      </c>
      <c r="DO323" s="154" t="str">
        <f t="shared" si="398"/>
        <v>OK</v>
      </c>
      <c r="DP323" s="153" t="str">
        <f t="shared" si="378"/>
        <v>OK</v>
      </c>
      <c r="DQ323" s="313" t="str">
        <f t="shared" si="379"/>
        <v>OK</v>
      </c>
      <c r="DR323" s="153" t="str">
        <f t="shared" si="399"/>
        <v>OK</v>
      </c>
      <c r="DS323" s="153" t="str">
        <f t="shared" si="380"/>
        <v>OK</v>
      </c>
      <c r="DT323" s="313" t="str">
        <f t="shared" si="411"/>
        <v>OK</v>
      </c>
      <c r="DU323" s="153" t="str">
        <f t="shared" si="381"/>
        <v>OK</v>
      </c>
      <c r="DV323" s="153" t="str">
        <f t="shared" si="400"/>
        <v>OK</v>
      </c>
      <c r="DW323" s="154" t="str">
        <f t="shared" si="401"/>
        <v>OK</v>
      </c>
      <c r="DX323" s="157">
        <f t="shared" si="402"/>
        <v>0</v>
      </c>
      <c r="DY323" s="156" t="str">
        <f t="shared" si="403"/>
        <v>OK</v>
      </c>
    </row>
    <row r="324" spans="1:129" s="312" customFormat="1" ht="13" hidden="1" x14ac:dyDescent="0.25">
      <c r="A324" s="351"/>
      <c r="B324" s="417"/>
      <c r="C324" s="330" t="str">
        <f>BU324</f>
        <v>-</v>
      </c>
      <c r="D324" s="584">
        <f t="shared" si="412"/>
        <v>301</v>
      </c>
      <c r="E324" s="585"/>
      <c r="F324" s="586"/>
      <c r="G324" s="600"/>
      <c r="H324" s="587"/>
      <c r="I324" s="601"/>
      <c r="J324" s="585"/>
      <c r="K324" s="617"/>
      <c r="L324" s="602"/>
      <c r="M324" s="603"/>
      <c r="N324" s="588"/>
      <c r="O324" s="604"/>
      <c r="P324" s="605"/>
      <c r="Q324" s="588"/>
      <c r="R324" s="604"/>
      <c r="S324" s="605"/>
      <c r="T324" s="606"/>
      <c r="U324" s="606"/>
      <c r="V324" s="429" t="str">
        <f t="shared" si="408"/>
        <v/>
      </c>
      <c r="W324" s="430" t="str">
        <f>AW324</f>
        <v/>
      </c>
      <c r="X324" s="66" t="str">
        <f>IF(AND(ISNUMBER(P324),N324=FixedDim),MAX('Adjustment factors'!$S$16,0.2+0.8*P324),IF(ISTEXT(N324),VLOOKUP(N324,Afactors,2,TRUE),""))</f>
        <v/>
      </c>
      <c r="Y324" s="17" t="str">
        <f>IF(AND(ISNUMBER(S324),Q324=FixedDim),MAX('Adjustment factors'!$S$16,0.2+0.8*S324),IF(ISTEXT(Q324),VLOOKUP(Q324,Afactors,2,TRUE),""))</f>
        <v/>
      </c>
      <c r="Z324" s="297" t="str">
        <f>IF(ISBLANK(T324),"",VLOOKUP(T324,'Adjustment factors'!$R$27:$S$30,2,TRUE))</f>
        <v/>
      </c>
      <c r="AA324" s="297" t="str">
        <f>IF(ISBLANK(U324),"",VLOOKUP(U324,'Adjustment factors'!$R$27:$S$30,2,TRUE))</f>
        <v/>
      </c>
      <c r="AB324" s="480">
        <f t="shared" si="382"/>
        <v>1</v>
      </c>
      <c r="AC324" s="18" t="b">
        <f t="shared" si="339"/>
        <v>0</v>
      </c>
      <c r="AD324" s="18" t="b">
        <f t="shared" si="340"/>
        <v>0</v>
      </c>
      <c r="AE324" s="18" t="b">
        <f>ISNUMBER(CM324)</f>
        <v>0</v>
      </c>
      <c r="AF324" s="17" t="str">
        <f t="shared" si="341"/>
        <v/>
      </c>
      <c r="AG324" s="18" t="str">
        <f t="shared" si="342"/>
        <v/>
      </c>
      <c r="AH324" s="17" t="str">
        <f t="shared" si="405"/>
        <v/>
      </c>
      <c r="AI324" s="297" t="e">
        <f t="shared" si="383"/>
        <v>#VALUE!</v>
      </c>
      <c r="AJ324" s="79" t="e">
        <f t="shared" si="343"/>
        <v>#VALUE!</v>
      </c>
      <c r="AK324" s="17" t="str">
        <f>IF(AD324,(AF324*(AG324+((1-AG324)/2))),"")</f>
        <v/>
      </c>
      <c r="AL324" s="80" t="e">
        <f t="shared" si="344"/>
        <v>#VALUE!</v>
      </c>
      <c r="AM324" s="139" t="b">
        <f t="shared" si="345"/>
        <v>1</v>
      </c>
      <c r="AN324" s="139" t="b">
        <f>AND(COUNTA(E324)&gt;0,ISNUMBER(F324),OR(COUNT(G324:H324)=0,COUNT(G324:H324)=2,AND(ISNUMBER(G324),ISNUMBER(VALUE(LEFT(H324,SUM(LEN(H324)-LEN(SUBSTITUTE(H324,{"0","1","2","3","4","5","6","7","8","9","."},"")))))))),ISNUMBER(I324),ISTEXT(J324))</f>
        <v>0</v>
      </c>
      <c r="AO324" s="19" t="b">
        <f t="shared" si="346"/>
        <v>0</v>
      </c>
      <c r="AP324" s="19" t="b">
        <f t="shared" si="347"/>
        <v>1</v>
      </c>
      <c r="AQ324" s="19" t="b">
        <f>IF(AND(COUNTBLANK(E324:J324)=6,OR(AN325:AN$523)),NOT(AN324))</f>
        <v>0</v>
      </c>
      <c r="AR324" s="19" t="str">
        <f t="shared" si="348"/>
        <v/>
      </c>
      <c r="AS324" s="19" t="b">
        <f t="shared" si="349"/>
        <v>1</v>
      </c>
      <c r="AT324" s="19" t="str">
        <f t="shared" si="350"/>
        <v/>
      </c>
      <c r="AU324" s="19" t="b">
        <f t="shared" si="351"/>
        <v>1</v>
      </c>
      <c r="AV324" s="140" t="str">
        <f>IF(AND(AM324,AN324,AR324,AT324),IF(ISNUMBER(AG324),ROUND(AL324,0),ROUND(AJ324,0)),"")</f>
        <v/>
      </c>
      <c r="AW324" s="19" t="str">
        <f t="shared" si="352"/>
        <v/>
      </c>
      <c r="AX324" s="81">
        <f t="shared" si="353"/>
        <v>0</v>
      </c>
      <c r="AY324" s="81" t="str">
        <f t="shared" si="354"/>
        <v/>
      </c>
      <c r="AZ324" s="307" t="str">
        <f t="shared" si="384"/>
        <v/>
      </c>
      <c r="BA324" s="307" t="str">
        <f>IF(DI324&lt;&gt;"OK",DI324,IF(DJ324&lt;&gt;"OK",DJ324,IF(DK324&lt;&gt;"OK",DK324,IF(DL324&lt;&gt;"OK",DL324,IF(DM324&lt;&gt;"OK",DM324,IF(DN324&lt;&gt;"OK",DN324,IF(DO324&lt;&gt;"OK",DO324,BB324)))))))</f>
        <v/>
      </c>
      <c r="BB324" s="307" t="str">
        <f>IF(DP324&lt;&gt;"OK",DP324,IF(DQ324&lt;&gt;"OK",DQ324,IF(DR324&lt;&gt;"OK",DR324,IF(DS324&lt;&gt;"OK",DS324,IF(DT324&lt;&gt;"OK",DT324,IF(DU324&lt;&gt;"OK",DU324,IF(DV324&lt;&gt;"OK",DV324,IF(DW324&lt;&gt;"OK",DW324,IF(DY324&lt;&gt;"OK",DY324,"")))))))))</f>
        <v/>
      </c>
      <c r="BC324" s="953"/>
      <c r="BD324" s="955"/>
      <c r="BE324" s="308" t="str">
        <f t="shared" si="355"/>
        <v>n/a</v>
      </c>
      <c r="BF324" s="309" t="b">
        <f t="shared" si="356"/>
        <v>0</v>
      </c>
      <c r="BG324" s="310" t="b">
        <f t="shared" si="357"/>
        <v>0</v>
      </c>
      <c r="BH324" s="310" t="b">
        <f t="shared" si="358"/>
        <v>0</v>
      </c>
      <c r="BI324" s="311" t="b">
        <f t="shared" si="359"/>
        <v>0</v>
      </c>
      <c r="BJ324" s="309" t="b">
        <f t="shared" si="360"/>
        <v>0</v>
      </c>
      <c r="BK324" s="310" t="b">
        <f t="shared" si="361"/>
        <v>0</v>
      </c>
      <c r="BL324" s="311" t="b">
        <f t="shared" si="362"/>
        <v>0</v>
      </c>
      <c r="BM324" s="217" t="str">
        <f>IF(AN324,AX324/ADIPLone,"")</f>
        <v/>
      </c>
      <c r="BN324" s="146" t="str">
        <f>IF(AN324,percentage,"")</f>
        <v/>
      </c>
      <c r="BO324" s="147" t="str">
        <f>IF(AN324,MIPDLONE&gt;=ADIPLone,"")</f>
        <v/>
      </c>
      <c r="BP324" s="148" t="str">
        <f>IF(AND(AN324,AR324,AT324),TEXT(BM324,"0%")&amp;" of "&amp;TEXT(BN324*100,"General")&amp;"%","")</f>
        <v/>
      </c>
      <c r="BT324" s="50">
        <f t="shared" si="413"/>
        <v>301</v>
      </c>
      <c r="BU324" s="49" t="str">
        <f t="shared" si="409"/>
        <v>-</v>
      </c>
      <c r="BW324" s="352"/>
      <c r="BX324" s="333"/>
      <c r="BY324" s="333"/>
      <c r="BZ324" s="333"/>
      <c r="CA324" s="333"/>
      <c r="CB324" s="333"/>
      <c r="CC324" s="333"/>
      <c r="CD324" s="333"/>
      <c r="CE324" s="333"/>
      <c r="CF324" s="352"/>
      <c r="CG324" s="353">
        <f t="shared" si="363"/>
        <v>301</v>
      </c>
      <c r="CH324" s="607">
        <f t="shared" si="364"/>
        <v>0</v>
      </c>
      <c r="CI324" s="607">
        <f t="shared" si="365"/>
        <v>0</v>
      </c>
      <c r="CJ324" s="608" t="str">
        <f t="shared" si="366"/>
        <v/>
      </c>
      <c r="CK324" s="609" t="str">
        <f t="shared" si="367"/>
        <v/>
      </c>
      <c r="CL324" s="610" t="str">
        <f>IF(ISBLANK(H324),"",IF(AND(ISNUMBER(F324),ISNUMBER(G324),ISNUMBER(H324)),ROUND(F324/(H324*G324),2),ROUND(F324/(VALUE(LEFT(H324,SUM(LEN(H324)-LEN(SUBSTITUTE(H324,{"0","1","2","3","4","5","6","7","8","9","."},"")))))*G324),2)))</f>
        <v/>
      </c>
      <c r="CM324" s="611" t="str">
        <f>IF(CL324&lt;1.5,ROUND(0.5+CL324/3,2),"")</f>
        <v/>
      </c>
      <c r="CN324" s="611" t="str">
        <f>IF(ISNUMBER(P324),MAX('Adjustment factors'!$S$16,(0.2+0.8*P324)),IF(ISTEXT(N324),VLOOKUP(N324,Afactors,2,FALSE),""))</f>
        <v/>
      </c>
      <c r="CO324" s="611" t="str">
        <f>IF(ISNUMBER(S324),MAX('Adjustment factors'!$S$16,0.2+0.8*S324),IF(ISTEXT(Q324),VLOOKUP(Q324,Afactors,2,FALSE),""))</f>
        <v/>
      </c>
      <c r="CP324" s="611" t="str">
        <f t="shared" si="385"/>
        <v/>
      </c>
      <c r="CQ324" s="612" t="str">
        <f t="shared" si="386"/>
        <v/>
      </c>
      <c r="CR324" s="351"/>
      <c r="CS324" s="351"/>
      <c r="CT324" s="351"/>
      <c r="CU324" s="351"/>
      <c r="CV324" s="352"/>
      <c r="CW324" s="352"/>
      <c r="CX324" s="352"/>
      <c r="CY324" s="352"/>
      <c r="DA324" s="313" t="str">
        <f t="shared" si="368"/>
        <v>OK</v>
      </c>
      <c r="DB324" s="313" t="str">
        <f t="shared" si="369"/>
        <v>OK</v>
      </c>
      <c r="DC324" s="313" t="str">
        <f t="shared" si="370"/>
        <v>OK</v>
      </c>
      <c r="DD324" s="313" t="str">
        <f t="shared" si="371"/>
        <v>OK</v>
      </c>
      <c r="DE324" s="313" t="str">
        <f t="shared" si="372"/>
        <v>OK</v>
      </c>
      <c r="DF324" s="314" t="str">
        <f t="shared" si="373"/>
        <v>OK</v>
      </c>
      <c r="DG324" s="482" t="str">
        <f t="shared" si="387"/>
        <v>OK</v>
      </c>
      <c r="DH324" s="482" t="str">
        <f>IF(OR(AND(T324='Adjustment factors'!$R$28,'Class 3, 5-9'!U324='Adjustment factors'!$R$29),AND('Class 3, 5-9'!T324='Adjustment factors'!$R$29,'Class 3, 5-9'!U324='Adjustment factors'!$R$28)),"Invalid combination of adjustment factors",IF(AND(T324=U324,NOT(ISBLANK(T324)),NOT(ISBLANK(U324))),"Same colour factor selected twice","OK"))</f>
        <v>OK</v>
      </c>
      <c r="DI324" s="313" t="str">
        <f t="shared" si="374"/>
        <v>OK</v>
      </c>
      <c r="DJ324" s="313" t="str">
        <f>"OK"</f>
        <v>OK</v>
      </c>
      <c r="DK324" s="313" t="str">
        <f t="shared" si="375"/>
        <v>OK</v>
      </c>
      <c r="DL324" s="313" t="str">
        <f t="shared" si="376"/>
        <v>OK</v>
      </c>
      <c r="DM324" s="313" t="str">
        <f t="shared" si="377"/>
        <v>OK</v>
      </c>
      <c r="DN324" s="313" t="str">
        <f>IF(ISNUMBER(FIND("NA",$N324)),"Adjustment Factor not applicable","OK")</f>
        <v>OK</v>
      </c>
      <c r="DO324" s="314" t="str">
        <f>"OK"</f>
        <v>OK</v>
      </c>
      <c r="DP324" s="313" t="str">
        <f t="shared" si="378"/>
        <v>OK</v>
      </c>
      <c r="DQ324" s="313" t="str">
        <f t="shared" si="379"/>
        <v>OK</v>
      </c>
      <c r="DR324" s="313" t="str">
        <f>"OK"</f>
        <v>OK</v>
      </c>
      <c r="DS324" s="313" t="str">
        <f t="shared" si="380"/>
        <v>OK</v>
      </c>
      <c r="DT324" s="313" t="str">
        <f t="shared" ref="DT324:DT338" si="414">IF(AND(ISNUMBER(S324),Q324&lt;&gt;FixedDim),"Illuminance turndown is only valid for Fixed Dimming","OK")</f>
        <v>OK</v>
      </c>
      <c r="DU324" s="313" t="str">
        <f t="shared" si="381"/>
        <v>OK</v>
      </c>
      <c r="DV324" s="313" t="str">
        <f>IF(ISNUMBER(FIND("NA",$Q324)),"Adjustment Factor not applicable","OK")</f>
        <v>OK</v>
      </c>
      <c r="DW324" s="314" t="str">
        <f>"OK"</f>
        <v>OK</v>
      </c>
      <c r="DX324" s="315">
        <f>COUNTIF(DA324:DW324,"&lt;&gt;OK")</f>
        <v>0</v>
      </c>
      <c r="DY324" s="316" t="str">
        <f>IF(AQ324,"ROW SKIPPED (OK if intentional)","OK")</f>
        <v>OK</v>
      </c>
    </row>
    <row r="325" spans="1:129" ht="13" hidden="1" x14ac:dyDescent="0.3">
      <c r="A325" s="333"/>
      <c r="B325" s="333"/>
      <c r="C325" s="331" t="str">
        <f t="shared" ref="C325:C334" si="415">BU325</f>
        <v>-</v>
      </c>
      <c r="D325" s="584">
        <f t="shared" si="412"/>
        <v>302</v>
      </c>
      <c r="E325" s="585"/>
      <c r="F325" s="586"/>
      <c r="G325" s="600"/>
      <c r="H325" s="587"/>
      <c r="I325" s="601"/>
      <c r="J325" s="585"/>
      <c r="K325" s="617"/>
      <c r="L325" s="602"/>
      <c r="M325" s="603"/>
      <c r="N325" s="588"/>
      <c r="O325" s="604"/>
      <c r="P325" s="605"/>
      <c r="Q325" s="588"/>
      <c r="R325" s="604"/>
      <c r="S325" s="605"/>
      <c r="T325" s="606"/>
      <c r="U325" s="606"/>
      <c r="V325" s="429" t="str">
        <f t="shared" si="408"/>
        <v/>
      </c>
      <c r="W325" s="430" t="str">
        <f t="shared" ref="W325:W326" si="416">AW325</f>
        <v/>
      </c>
      <c r="X325" s="66" t="str">
        <f>IF(AND(ISNUMBER(P325),N325=FixedDim),MAX('Adjustment factors'!$S$16,0.2+0.8*P325),IF(ISTEXT(N325),VLOOKUP(N325,Afactors,2,TRUE),""))</f>
        <v/>
      </c>
      <c r="Y325" s="17" t="str">
        <f>IF(AND(ISNUMBER(S325),Q325=FixedDim),MAX('Adjustment factors'!$S$16,0.2+0.8*S325),IF(ISTEXT(Q325),VLOOKUP(Q325,Afactors,2,TRUE),""))</f>
        <v/>
      </c>
      <c r="Z325" s="297" t="str">
        <f>IF(ISBLANK(T325),"",VLOOKUP(T325,'Adjustment factors'!$R$27:$S$30,2,TRUE))</f>
        <v/>
      </c>
      <c r="AA325" s="297" t="str">
        <f>IF(ISBLANK(U325),"",VLOOKUP(U325,'Adjustment factors'!$R$27:$S$30,2,TRUE))</f>
        <v/>
      </c>
      <c r="AB325" s="480">
        <f t="shared" si="382"/>
        <v>1</v>
      </c>
      <c r="AC325" s="18" t="b">
        <f t="shared" si="339"/>
        <v>0</v>
      </c>
      <c r="AD325" s="18" t="b">
        <f t="shared" si="340"/>
        <v>0</v>
      </c>
      <c r="AE325" s="18" t="b">
        <f>ISNUMBER(CM325)</f>
        <v>0</v>
      </c>
      <c r="AF325" s="17" t="str">
        <f t="shared" si="341"/>
        <v/>
      </c>
      <c r="AG325" s="18" t="str">
        <f t="shared" si="342"/>
        <v/>
      </c>
      <c r="AH325" s="17" t="str">
        <f>IF(AE325,CK325/CM325,"")</f>
        <v/>
      </c>
      <c r="AI325" s="297" t="e">
        <f t="shared" si="383"/>
        <v>#VALUE!</v>
      </c>
      <c r="AJ325" s="79" t="e">
        <f t="shared" si="343"/>
        <v>#VALUE!</v>
      </c>
      <c r="AK325" s="17" t="str">
        <f>IF(AD325,(AF325*(AG325+((1-AG325)/2))),"")</f>
        <v/>
      </c>
      <c r="AL325" s="80" t="e">
        <f t="shared" si="344"/>
        <v>#VALUE!</v>
      </c>
      <c r="AM325" s="139" t="b">
        <f t="shared" si="345"/>
        <v>1</v>
      </c>
      <c r="AN325" s="139" t="b">
        <f>AND(COUNTA(E325)&gt;0,ISNUMBER(F325),OR(COUNT(G325:H325)=0,COUNT(G325:H325)=2,AND(ISNUMBER(G325),ISNUMBER(VALUE(LEFT(H325,SUM(LEN(H325)-LEN(SUBSTITUTE(H325,{"0","1","2","3","4","5","6","7","8","9","."},"")))))))),ISNUMBER(I325),ISTEXT(J325))</f>
        <v>0</v>
      </c>
      <c r="AO325" s="19" t="b">
        <f t="shared" si="346"/>
        <v>0</v>
      </c>
      <c r="AP325" s="19" t="b">
        <f t="shared" si="347"/>
        <v>1</v>
      </c>
      <c r="AQ325" s="19" t="b">
        <f>IF(AND(COUNTBLANK(E325:J325)=6,OR(AN326:AN$523)),NOT(AN325))</f>
        <v>0</v>
      </c>
      <c r="AR325" s="19" t="str">
        <f t="shared" si="348"/>
        <v/>
      </c>
      <c r="AS325" s="19" t="b">
        <f t="shared" si="349"/>
        <v>1</v>
      </c>
      <c r="AT325" s="19" t="str">
        <f t="shared" si="350"/>
        <v/>
      </c>
      <c r="AU325" s="19" t="b">
        <f t="shared" si="351"/>
        <v>1</v>
      </c>
      <c r="AV325" s="140" t="str">
        <f t="shared" ref="AV325:AV388" si="417">IF(AND(AM325,AN325,AR325,AT325),IF(ISNUMBER(AG325),ROUND(AL325,0),ROUND(AJ325,0)),"")</f>
        <v/>
      </c>
      <c r="AW325" s="19" t="str">
        <f t="shared" si="352"/>
        <v/>
      </c>
      <c r="AX325" s="81">
        <f t="shared" si="353"/>
        <v>0</v>
      </c>
      <c r="AY325" s="81" t="str">
        <f t="shared" si="354"/>
        <v/>
      </c>
      <c r="AZ325" s="307" t="str">
        <f t="shared" si="384"/>
        <v/>
      </c>
      <c r="BA325" s="281" t="str">
        <f t="shared" ref="BA325:BA388" si="418">IF(DI325&lt;&gt;"OK",DI325,IF(DJ325&lt;&gt;"OK",DJ325,IF(DK325&lt;&gt;"OK",DK325,IF(DL325&lt;&gt;"OK",DL325,IF(DM325&lt;&gt;"OK",DM325,IF(DN325&lt;&gt;"OK",DN325,IF(DO325&lt;&gt;"OK",DO325,BB325)))))))</f>
        <v/>
      </c>
      <c r="BB325" s="281" t="str">
        <f t="shared" ref="BB325:BB388" si="419">IF(DP325&lt;&gt;"OK",DP325,IF(DQ325&lt;&gt;"OK",DQ325,IF(DR325&lt;&gt;"OK",DR325,IF(DS325&lt;&gt;"OK",DS325,IF(DT325&lt;&gt;"OK",DT325,IF(DU325&lt;&gt;"OK",DU325,IF(DV325&lt;&gt;"OK",DV325,IF(DW325&lt;&gt;"OK",DW325,IF(DY325&lt;&gt;"OK",DY325,"")))))))))</f>
        <v/>
      </c>
      <c r="BC325" s="953"/>
      <c r="BD325" s="955"/>
      <c r="BE325" s="219" t="str">
        <f t="shared" si="355"/>
        <v>n/a</v>
      </c>
      <c r="BF325" s="215" t="b">
        <f t="shared" si="356"/>
        <v>0</v>
      </c>
      <c r="BG325" s="145" t="b">
        <f t="shared" si="357"/>
        <v>0</v>
      </c>
      <c r="BH325" s="145" t="b">
        <f t="shared" si="358"/>
        <v>0</v>
      </c>
      <c r="BI325" s="216" t="b">
        <f t="shared" si="359"/>
        <v>0</v>
      </c>
      <c r="BJ325" s="215" t="b">
        <f t="shared" si="360"/>
        <v>0</v>
      </c>
      <c r="BK325" s="145" t="b">
        <f t="shared" si="361"/>
        <v>0</v>
      </c>
      <c r="BL325" s="216" t="b">
        <f t="shared" si="362"/>
        <v>0</v>
      </c>
      <c r="BM325" s="217" t="str">
        <f t="shared" ref="BM325:BM388" si="420">IF(AN325,AX325/ADIPLone,"")</f>
        <v/>
      </c>
      <c r="BN325" s="146" t="str">
        <f t="shared" ref="BN325:BN388" si="421">IF(AN325,percentage,"")</f>
        <v/>
      </c>
      <c r="BO325" s="147" t="str">
        <f t="shared" ref="BO325:BO388" si="422">IF(AN325,MIPDLONE&gt;=ADIPLone,"")</f>
        <v/>
      </c>
      <c r="BP325" s="148" t="str">
        <f t="shared" ref="BP325:BP388" si="423">IF(AND(AN325,AR325,AT325),TEXT(BM325,"0%")&amp;" of "&amp;TEXT(BN325*100,"General")&amp;"%","")</f>
        <v/>
      </c>
      <c r="BT325" s="50">
        <f t="shared" si="413"/>
        <v>302</v>
      </c>
      <c r="BU325" s="50" t="str">
        <f t="shared" si="409"/>
        <v>-</v>
      </c>
      <c r="BW325" s="333"/>
      <c r="BX325" s="333"/>
      <c r="BY325" s="333"/>
      <c r="BZ325" s="333"/>
      <c r="CA325" s="333"/>
      <c r="CB325" s="333"/>
      <c r="CC325" s="333"/>
      <c r="CD325" s="333"/>
      <c r="CE325" s="333"/>
      <c r="CF325" s="333"/>
      <c r="CG325" s="354">
        <f t="shared" si="363"/>
        <v>302</v>
      </c>
      <c r="CH325" s="613">
        <f t="shared" si="364"/>
        <v>0</v>
      </c>
      <c r="CI325" s="613">
        <f t="shared" si="365"/>
        <v>0</v>
      </c>
      <c r="CJ325" s="614" t="str">
        <f t="shared" si="366"/>
        <v/>
      </c>
      <c r="CK325" s="615" t="str">
        <f t="shared" si="367"/>
        <v/>
      </c>
      <c r="CL325" s="610" t="str">
        <f>IF(ISBLANK(H325),"",IF(AND(ISNUMBER(F325),ISNUMBER(G325),ISNUMBER(H325)),ROUND(F325/(H325*G325),2),ROUND(F325/(VALUE(LEFT(H325,SUM(LEN(H325)-LEN(SUBSTITUTE(H325,{"0","1","2","3","4","5","6","7","8","9","."},"")))))*G325),2)))</f>
        <v/>
      </c>
      <c r="CM325" s="616" t="str">
        <f t="shared" ref="CM325:CM388" si="424">IF(CL325&lt;1.5,ROUND(0.5+CL325/3,2),"")</f>
        <v/>
      </c>
      <c r="CN325" s="616" t="str">
        <f>IF(ISNUMBER(P325),MAX('Adjustment factors'!$S$16,(0.2+0.8*P325)),IF(ISTEXT(N325),VLOOKUP(N325,Afactors,2,FALSE),""))</f>
        <v/>
      </c>
      <c r="CO325" s="616" t="str">
        <f>IF(ISNUMBER(S325),MAX('Adjustment factors'!$S$16,0.2+0.8*S325),IF(ISTEXT(Q325),VLOOKUP(Q325,Afactors,2,FALSE),""))</f>
        <v/>
      </c>
      <c r="CP325" s="611" t="str">
        <f t="shared" si="385"/>
        <v/>
      </c>
      <c r="CQ325" s="612" t="str">
        <f t="shared" si="386"/>
        <v/>
      </c>
      <c r="CR325" s="340"/>
      <c r="CS325" s="340"/>
      <c r="CT325" s="340"/>
      <c r="CU325" s="340"/>
      <c r="CV325" s="333"/>
      <c r="CW325" s="333"/>
      <c r="CX325" s="333"/>
      <c r="CY325" s="333"/>
      <c r="DA325" s="313" t="str">
        <f t="shared" si="368"/>
        <v>OK</v>
      </c>
      <c r="DB325" s="313" t="str">
        <f t="shared" si="369"/>
        <v>OK</v>
      </c>
      <c r="DC325" s="313" t="str">
        <f t="shared" si="370"/>
        <v>OK</v>
      </c>
      <c r="DD325" s="313" t="str">
        <f t="shared" si="371"/>
        <v>OK</v>
      </c>
      <c r="DE325" s="153" t="str">
        <f t="shared" si="372"/>
        <v>OK</v>
      </c>
      <c r="DF325" s="314" t="str">
        <f t="shared" si="373"/>
        <v>OK</v>
      </c>
      <c r="DG325" s="482" t="str">
        <f t="shared" si="387"/>
        <v>OK</v>
      </c>
      <c r="DH325" s="482" t="str">
        <f>IF(OR(AND(T325='Adjustment factors'!$R$28,'Class 3, 5-9'!U325='Adjustment factors'!$R$29),AND('Class 3, 5-9'!T325='Adjustment factors'!$R$29,'Class 3, 5-9'!U325='Adjustment factors'!$R$28)),"Invalid combination of adjustment factors",IF(AND(T325=U325,NOT(ISBLANK(T325)),NOT(ISBLANK(U325))),"Same colour factor selected twice","OK"))</f>
        <v>OK</v>
      </c>
      <c r="DI325" s="313" t="str">
        <f t="shared" si="374"/>
        <v>OK</v>
      </c>
      <c r="DJ325" s="153" t="str">
        <f t="shared" ref="DJ325:DJ388" si="425">"OK"</f>
        <v>OK</v>
      </c>
      <c r="DK325" s="153" t="str">
        <f t="shared" si="375"/>
        <v>OK</v>
      </c>
      <c r="DL325" s="313" t="str">
        <f t="shared" si="376"/>
        <v>OK</v>
      </c>
      <c r="DM325" s="153" t="str">
        <f t="shared" si="377"/>
        <v>OK</v>
      </c>
      <c r="DN325" s="153" t="str">
        <f t="shared" ref="DN325:DN388" si="426">IF(ISNUMBER(FIND("NA",$N325)),"Adjustment Factor not applicable","OK")</f>
        <v>OK</v>
      </c>
      <c r="DO325" s="154" t="str">
        <f t="shared" ref="DO325:DO388" si="427">"OK"</f>
        <v>OK</v>
      </c>
      <c r="DP325" s="153" t="str">
        <f t="shared" si="378"/>
        <v>OK</v>
      </c>
      <c r="DQ325" s="313" t="str">
        <f t="shared" si="379"/>
        <v>OK</v>
      </c>
      <c r="DR325" s="153" t="str">
        <f t="shared" ref="DR325:DR388" si="428">"OK"</f>
        <v>OK</v>
      </c>
      <c r="DS325" s="153" t="str">
        <f t="shared" si="380"/>
        <v>OK</v>
      </c>
      <c r="DT325" s="313" t="str">
        <f t="shared" si="414"/>
        <v>OK</v>
      </c>
      <c r="DU325" s="153" t="str">
        <f t="shared" si="381"/>
        <v>OK</v>
      </c>
      <c r="DV325" s="153" t="str">
        <f t="shared" ref="DV325:DV388" si="429">IF(ISNUMBER(FIND("NA",$Q325)),"Adjustment Factor not applicable","OK")</f>
        <v>OK</v>
      </c>
      <c r="DW325" s="154" t="str">
        <f t="shared" ref="DW325:DW388" si="430">"OK"</f>
        <v>OK</v>
      </c>
      <c r="DX325" s="157">
        <f t="shared" ref="DX325:DX388" si="431">COUNTIF(DA325:DW325,"&lt;&gt;OK")</f>
        <v>0</v>
      </c>
      <c r="DY325" s="156" t="str">
        <f t="shared" ref="DY325:DY388" si="432">IF(AQ325,"ROW SKIPPED (OK if intentional)","OK")</f>
        <v>OK</v>
      </c>
    </row>
    <row r="326" spans="1:129" ht="13" hidden="1" x14ac:dyDescent="0.3">
      <c r="A326" s="333"/>
      <c r="B326" s="333"/>
      <c r="C326" s="331" t="str">
        <f t="shared" si="415"/>
        <v>-</v>
      </c>
      <c r="D326" s="584">
        <f t="shared" si="412"/>
        <v>303</v>
      </c>
      <c r="E326" s="585"/>
      <c r="F326" s="586"/>
      <c r="G326" s="600"/>
      <c r="H326" s="587"/>
      <c r="I326" s="601"/>
      <c r="J326" s="585"/>
      <c r="K326" s="617"/>
      <c r="L326" s="602"/>
      <c r="M326" s="603"/>
      <c r="N326" s="588"/>
      <c r="O326" s="604"/>
      <c r="P326" s="605"/>
      <c r="Q326" s="588"/>
      <c r="R326" s="604"/>
      <c r="S326" s="605"/>
      <c r="T326" s="606"/>
      <c r="U326" s="606"/>
      <c r="V326" s="429" t="str">
        <f t="shared" si="408"/>
        <v/>
      </c>
      <c r="W326" s="430" t="str">
        <f t="shared" si="416"/>
        <v/>
      </c>
      <c r="X326" s="66" t="str">
        <f>IF(AND(ISNUMBER(P326),N326=FixedDim),MAX('Adjustment factors'!$S$16,0.2+0.8*P326),IF(ISTEXT(N326),VLOOKUP(N326,Afactors,2,TRUE),""))</f>
        <v/>
      </c>
      <c r="Y326" s="17" t="str">
        <f>IF(AND(ISNUMBER(S326),Q326=FixedDim),MAX('Adjustment factors'!$S$16,0.2+0.8*S326),IF(ISTEXT(Q326),VLOOKUP(Q326,Afactors,2,TRUE),""))</f>
        <v/>
      </c>
      <c r="Z326" s="297" t="str">
        <f>IF(ISBLANK(T326),"",VLOOKUP(T326,'Adjustment factors'!$R$27:$S$30,2,TRUE))</f>
        <v/>
      </c>
      <c r="AA326" s="297" t="str">
        <f>IF(ISBLANK(U326),"",VLOOKUP(U326,'Adjustment factors'!$R$27:$S$30,2,TRUE))</f>
        <v/>
      </c>
      <c r="AB326" s="480">
        <f t="shared" si="382"/>
        <v>1</v>
      </c>
      <c r="AC326" s="18" t="b">
        <f t="shared" si="339"/>
        <v>0</v>
      </c>
      <c r="AD326" s="18" t="b">
        <f t="shared" si="340"/>
        <v>0</v>
      </c>
      <c r="AE326" s="18" t="b">
        <f t="shared" ref="AE326:AE389" si="433">ISNUMBER(CM326)</f>
        <v>0</v>
      </c>
      <c r="AF326" s="17" t="str">
        <f t="shared" si="341"/>
        <v/>
      </c>
      <c r="AG326" s="18" t="str">
        <f t="shared" si="342"/>
        <v/>
      </c>
      <c r="AH326" s="17" t="str">
        <f t="shared" ref="AH326:AH389" si="434">IF(AE326,CK326/CM326,"")</f>
        <v/>
      </c>
      <c r="AI326" s="297" t="e">
        <f t="shared" si="383"/>
        <v>#VALUE!</v>
      </c>
      <c r="AJ326" s="79" t="e">
        <f t="shared" si="343"/>
        <v>#VALUE!</v>
      </c>
      <c r="AK326" s="17" t="str">
        <f>IF(AD326,(AF326*(AG326+((1-AG326)/2))),"")</f>
        <v/>
      </c>
      <c r="AL326" s="80" t="e">
        <f t="shared" si="344"/>
        <v>#VALUE!</v>
      </c>
      <c r="AM326" s="139" t="b">
        <f t="shared" si="345"/>
        <v>1</v>
      </c>
      <c r="AN326" s="139" t="b">
        <f>AND(COUNTA(E326)&gt;0,ISNUMBER(F326),OR(COUNT(G326:H326)=0,COUNT(G326:H326)=2,AND(ISNUMBER(G326),ISNUMBER(VALUE(LEFT(H326,SUM(LEN(H326)-LEN(SUBSTITUTE(H326,{"0","1","2","3","4","5","6","7","8","9","."},"")))))))),ISNUMBER(I326),ISTEXT(J326))</f>
        <v>0</v>
      </c>
      <c r="AO326" s="19" t="b">
        <f t="shared" si="346"/>
        <v>0</v>
      </c>
      <c r="AP326" s="19" t="b">
        <f t="shared" si="347"/>
        <v>1</v>
      </c>
      <c r="AQ326" s="19" t="b">
        <f>IF(AND(COUNTBLANK(E326:J326)=6,OR(AN327:AN$523)),NOT(AN326))</f>
        <v>0</v>
      </c>
      <c r="AR326" s="19" t="str">
        <f t="shared" si="348"/>
        <v/>
      </c>
      <c r="AS326" s="19" t="b">
        <f t="shared" si="349"/>
        <v>1</v>
      </c>
      <c r="AT326" s="19" t="str">
        <f t="shared" si="350"/>
        <v/>
      </c>
      <c r="AU326" s="19" t="b">
        <f t="shared" si="351"/>
        <v>1</v>
      </c>
      <c r="AV326" s="140" t="str">
        <f t="shared" si="417"/>
        <v/>
      </c>
      <c r="AW326" s="19" t="str">
        <f t="shared" si="352"/>
        <v/>
      </c>
      <c r="AX326" s="81">
        <f t="shared" si="353"/>
        <v>0</v>
      </c>
      <c r="AY326" s="81" t="str">
        <f t="shared" si="354"/>
        <v/>
      </c>
      <c r="AZ326" s="307" t="str">
        <f t="shared" si="384"/>
        <v/>
      </c>
      <c r="BA326" s="281" t="str">
        <f t="shared" si="418"/>
        <v/>
      </c>
      <c r="BB326" s="281" t="str">
        <f t="shared" si="419"/>
        <v/>
      </c>
      <c r="BC326" s="953"/>
      <c r="BD326" s="955"/>
      <c r="BE326" s="219" t="str">
        <f t="shared" si="355"/>
        <v>n/a</v>
      </c>
      <c r="BF326" s="215" t="b">
        <f t="shared" si="356"/>
        <v>0</v>
      </c>
      <c r="BG326" s="145" t="b">
        <f t="shared" si="357"/>
        <v>0</v>
      </c>
      <c r="BH326" s="145" t="b">
        <f t="shared" si="358"/>
        <v>0</v>
      </c>
      <c r="BI326" s="216" t="b">
        <f t="shared" si="359"/>
        <v>0</v>
      </c>
      <c r="BJ326" s="215" t="b">
        <f t="shared" si="360"/>
        <v>0</v>
      </c>
      <c r="BK326" s="145" t="b">
        <f t="shared" si="361"/>
        <v>0</v>
      </c>
      <c r="BL326" s="216" t="b">
        <f t="shared" si="362"/>
        <v>0</v>
      </c>
      <c r="BM326" s="217" t="str">
        <f t="shared" si="420"/>
        <v/>
      </c>
      <c r="BN326" s="146" t="str">
        <f t="shared" si="421"/>
        <v/>
      </c>
      <c r="BO326" s="147" t="str">
        <f t="shared" si="422"/>
        <v/>
      </c>
      <c r="BP326" s="148" t="str">
        <f t="shared" si="423"/>
        <v/>
      </c>
      <c r="BT326" s="50">
        <f t="shared" si="413"/>
        <v>303</v>
      </c>
      <c r="BU326" s="50" t="str">
        <f t="shared" si="409"/>
        <v>-</v>
      </c>
      <c r="BW326" s="333"/>
      <c r="BX326" s="333"/>
      <c r="BY326" s="333"/>
      <c r="BZ326" s="333"/>
      <c r="CA326" s="333"/>
      <c r="CB326" s="333"/>
      <c r="CC326" s="333"/>
      <c r="CD326" s="333"/>
      <c r="CE326" s="333"/>
      <c r="CF326" s="333"/>
      <c r="CG326" s="354">
        <f t="shared" si="363"/>
        <v>303</v>
      </c>
      <c r="CH326" s="613">
        <f t="shared" si="364"/>
        <v>0</v>
      </c>
      <c r="CI326" s="613">
        <f t="shared" si="365"/>
        <v>0</v>
      </c>
      <c r="CJ326" s="614" t="str">
        <f t="shared" si="366"/>
        <v/>
      </c>
      <c r="CK326" s="615" t="str">
        <f t="shared" si="367"/>
        <v/>
      </c>
      <c r="CL326" s="610" t="str">
        <f>IF(ISBLANK(H326),"",IF(AND(ISNUMBER(F326),ISNUMBER(G326),ISNUMBER(H326)),ROUND(F326/(H326*G326),2),ROUND(F326/(VALUE(LEFT(H326,SUM(LEN(H326)-LEN(SUBSTITUTE(H326,{"0","1","2","3","4","5","6","7","8","9","."},"")))))*G326),2)))</f>
        <v/>
      </c>
      <c r="CM326" s="616" t="str">
        <f t="shared" si="424"/>
        <v/>
      </c>
      <c r="CN326" s="616" t="str">
        <f>IF(ISNUMBER(P326),MAX('Adjustment factors'!$S$16,(0.2+0.8*P326)),IF(ISTEXT(N326),VLOOKUP(N326,Afactors,2,FALSE),""))</f>
        <v/>
      </c>
      <c r="CO326" s="616" t="str">
        <f>IF(ISNUMBER(S326),MAX('Adjustment factors'!$S$16,0.2+0.8*S326),IF(ISTEXT(Q326),VLOOKUP(Q326,Afactors,2,FALSE),""))</f>
        <v/>
      </c>
      <c r="CP326" s="611" t="str">
        <f t="shared" si="385"/>
        <v/>
      </c>
      <c r="CQ326" s="612" t="str">
        <f t="shared" si="386"/>
        <v/>
      </c>
      <c r="CR326" s="340"/>
      <c r="CS326" s="340"/>
      <c r="CT326" s="340"/>
      <c r="CU326" s="340"/>
      <c r="CV326" s="333"/>
      <c r="CW326" s="333"/>
      <c r="CX326" s="333"/>
      <c r="CY326" s="333"/>
      <c r="DA326" s="313" t="str">
        <f t="shared" si="368"/>
        <v>OK</v>
      </c>
      <c r="DB326" s="313" t="str">
        <f t="shared" si="369"/>
        <v>OK</v>
      </c>
      <c r="DC326" s="313" t="str">
        <f t="shared" si="370"/>
        <v>OK</v>
      </c>
      <c r="DD326" s="313" t="str">
        <f t="shared" si="371"/>
        <v>OK</v>
      </c>
      <c r="DE326" s="153" t="str">
        <f t="shared" si="372"/>
        <v>OK</v>
      </c>
      <c r="DF326" s="314" t="str">
        <f t="shared" si="373"/>
        <v>OK</v>
      </c>
      <c r="DG326" s="482" t="str">
        <f t="shared" si="387"/>
        <v>OK</v>
      </c>
      <c r="DH326" s="482" t="str">
        <f>IF(OR(AND(T326='Adjustment factors'!$R$28,'Class 3, 5-9'!U326='Adjustment factors'!$R$29),AND('Class 3, 5-9'!T326='Adjustment factors'!$R$29,'Class 3, 5-9'!U326='Adjustment factors'!$R$28)),"Invalid combination of adjustment factors",IF(AND(T326=U326,NOT(ISBLANK(T326)),NOT(ISBLANK(U326))),"Same colour factor selected twice","OK"))</f>
        <v>OK</v>
      </c>
      <c r="DI326" s="313" t="str">
        <f t="shared" si="374"/>
        <v>OK</v>
      </c>
      <c r="DJ326" s="153" t="str">
        <f t="shared" si="425"/>
        <v>OK</v>
      </c>
      <c r="DK326" s="153" t="str">
        <f t="shared" si="375"/>
        <v>OK</v>
      </c>
      <c r="DL326" s="313" t="str">
        <f t="shared" si="376"/>
        <v>OK</v>
      </c>
      <c r="DM326" s="153" t="str">
        <f t="shared" si="377"/>
        <v>OK</v>
      </c>
      <c r="DN326" s="153" t="str">
        <f t="shared" si="426"/>
        <v>OK</v>
      </c>
      <c r="DO326" s="154" t="str">
        <f t="shared" si="427"/>
        <v>OK</v>
      </c>
      <c r="DP326" s="153" t="str">
        <f t="shared" si="378"/>
        <v>OK</v>
      </c>
      <c r="DQ326" s="313" t="str">
        <f t="shared" si="379"/>
        <v>OK</v>
      </c>
      <c r="DR326" s="153" t="str">
        <f t="shared" si="428"/>
        <v>OK</v>
      </c>
      <c r="DS326" s="153" t="str">
        <f t="shared" si="380"/>
        <v>OK</v>
      </c>
      <c r="DT326" s="313" t="str">
        <f t="shared" si="414"/>
        <v>OK</v>
      </c>
      <c r="DU326" s="153" t="str">
        <f t="shared" si="381"/>
        <v>OK</v>
      </c>
      <c r="DV326" s="153" t="str">
        <f t="shared" si="429"/>
        <v>OK</v>
      </c>
      <c r="DW326" s="154" t="str">
        <f t="shared" si="430"/>
        <v>OK</v>
      </c>
      <c r="DX326" s="157">
        <f t="shared" si="431"/>
        <v>0</v>
      </c>
      <c r="DY326" s="156" t="str">
        <f t="shared" si="432"/>
        <v>OK</v>
      </c>
    </row>
    <row r="327" spans="1:129" ht="13" hidden="1" x14ac:dyDescent="0.3">
      <c r="A327" s="333"/>
      <c r="B327" s="333"/>
      <c r="C327" s="331" t="str">
        <f t="shared" si="415"/>
        <v>-</v>
      </c>
      <c r="D327" s="584">
        <f t="shared" si="412"/>
        <v>304</v>
      </c>
      <c r="E327" s="585"/>
      <c r="F327" s="586"/>
      <c r="G327" s="600"/>
      <c r="H327" s="587"/>
      <c r="I327" s="601"/>
      <c r="J327" s="585"/>
      <c r="K327" s="617"/>
      <c r="L327" s="602"/>
      <c r="M327" s="603"/>
      <c r="N327" s="588"/>
      <c r="O327" s="604"/>
      <c r="P327" s="605"/>
      <c r="Q327" s="588"/>
      <c r="R327" s="604"/>
      <c r="S327" s="605"/>
      <c r="T327" s="606"/>
      <c r="U327" s="606"/>
      <c r="V327" s="429" t="str">
        <f t="shared" si="408"/>
        <v/>
      </c>
      <c r="W327" s="430" t="str">
        <f>AW327</f>
        <v/>
      </c>
      <c r="X327" s="66" t="str">
        <f>IF(AND(ISNUMBER(P327),N327=FixedDim),MAX('Adjustment factors'!$S$16,0.2+0.8*P327),IF(ISTEXT(N327),VLOOKUP(N327,Afactors,2,TRUE),""))</f>
        <v/>
      </c>
      <c r="Y327" s="17" t="str">
        <f>IF(AND(ISNUMBER(S327),Q327=FixedDim),MAX('Adjustment factors'!$S$16,0.2+0.8*S327),IF(ISTEXT(Q327),VLOOKUP(Q327,Afactors,2,TRUE),""))</f>
        <v/>
      </c>
      <c r="Z327" s="297" t="str">
        <f>IF(ISBLANK(T327),"",VLOOKUP(T327,'Adjustment factors'!$R$27:$S$30,2,TRUE))</f>
        <v/>
      </c>
      <c r="AA327" s="297" t="str">
        <f>IF(ISBLANK(U327),"",VLOOKUP(U327,'Adjustment factors'!$R$27:$S$30,2,TRUE))</f>
        <v/>
      </c>
      <c r="AB327" s="480">
        <f t="shared" si="382"/>
        <v>1</v>
      </c>
      <c r="AC327" s="18" t="b">
        <f t="shared" si="339"/>
        <v>0</v>
      </c>
      <c r="AD327" s="18" t="b">
        <f t="shared" si="340"/>
        <v>0</v>
      </c>
      <c r="AE327" s="18" t="b">
        <f t="shared" si="433"/>
        <v>0</v>
      </c>
      <c r="AF327" s="17" t="str">
        <f t="shared" si="341"/>
        <v/>
      </c>
      <c r="AG327" s="18" t="str">
        <f t="shared" si="342"/>
        <v/>
      </c>
      <c r="AH327" s="17" t="str">
        <f t="shared" si="434"/>
        <v/>
      </c>
      <c r="AI327" s="297" t="e">
        <f t="shared" si="383"/>
        <v>#VALUE!</v>
      </c>
      <c r="AJ327" s="79" t="e">
        <f t="shared" si="343"/>
        <v>#VALUE!</v>
      </c>
      <c r="AK327" s="17" t="str">
        <f t="shared" ref="AK327:AK390" si="435">IF(AD327,(AF327*(AG327+((1-AG327)/2))),"")</f>
        <v/>
      </c>
      <c r="AL327" s="80" t="e">
        <f t="shared" si="344"/>
        <v>#VALUE!</v>
      </c>
      <c r="AM327" s="139" t="b">
        <f t="shared" si="345"/>
        <v>1</v>
      </c>
      <c r="AN327" s="139" t="b">
        <f>AND(COUNTA(E327)&gt;0,ISNUMBER(F327),OR(COUNT(G327:H327)=0,COUNT(G327:H327)=2,AND(ISNUMBER(G327),ISNUMBER(VALUE(LEFT(H327,SUM(LEN(H327)-LEN(SUBSTITUTE(H327,{"0","1","2","3","4","5","6","7","8","9","."},"")))))))),ISNUMBER(I327),ISTEXT(J327))</f>
        <v>0</v>
      </c>
      <c r="AO327" s="19" t="b">
        <f t="shared" si="346"/>
        <v>0</v>
      </c>
      <c r="AP327" s="19" t="b">
        <f t="shared" si="347"/>
        <v>1</v>
      </c>
      <c r="AQ327" s="19" t="b">
        <f>IF(AND(COUNTBLANK(E327:J327)=6,OR(AN328:AN$523)),NOT(AN327))</f>
        <v>0</v>
      </c>
      <c r="AR327" s="19" t="str">
        <f t="shared" si="348"/>
        <v/>
      </c>
      <c r="AS327" s="19" t="b">
        <f t="shared" si="349"/>
        <v>1</v>
      </c>
      <c r="AT327" s="19" t="str">
        <f t="shared" si="350"/>
        <v/>
      </c>
      <c r="AU327" s="19" t="b">
        <f t="shared" si="351"/>
        <v>1</v>
      </c>
      <c r="AV327" s="140" t="str">
        <f t="shared" si="417"/>
        <v/>
      </c>
      <c r="AW327" s="19" t="str">
        <f t="shared" si="352"/>
        <v/>
      </c>
      <c r="AX327" s="81">
        <f t="shared" si="353"/>
        <v>0</v>
      </c>
      <c r="AY327" s="81" t="str">
        <f t="shared" si="354"/>
        <v/>
      </c>
      <c r="AZ327" s="307" t="str">
        <f t="shared" si="384"/>
        <v/>
      </c>
      <c r="BA327" s="281" t="str">
        <f t="shared" si="418"/>
        <v/>
      </c>
      <c r="BB327" s="281" t="str">
        <f t="shared" si="419"/>
        <v/>
      </c>
      <c r="BC327" s="953"/>
      <c r="BD327" s="955"/>
      <c r="BE327" s="219" t="str">
        <f t="shared" si="355"/>
        <v>n/a</v>
      </c>
      <c r="BF327" s="215" t="b">
        <f t="shared" si="356"/>
        <v>0</v>
      </c>
      <c r="BG327" s="145" t="b">
        <f t="shared" si="357"/>
        <v>0</v>
      </c>
      <c r="BH327" s="145" t="b">
        <f t="shared" si="358"/>
        <v>0</v>
      </c>
      <c r="BI327" s="216" t="b">
        <f t="shared" si="359"/>
        <v>0</v>
      </c>
      <c r="BJ327" s="215" t="b">
        <f t="shared" si="360"/>
        <v>0</v>
      </c>
      <c r="BK327" s="145" t="b">
        <f t="shared" si="361"/>
        <v>0</v>
      </c>
      <c r="BL327" s="216" t="b">
        <f t="shared" si="362"/>
        <v>0</v>
      </c>
      <c r="BM327" s="217" t="str">
        <f t="shared" si="420"/>
        <v/>
      </c>
      <c r="BN327" s="146" t="str">
        <f t="shared" si="421"/>
        <v/>
      </c>
      <c r="BO327" s="147" t="str">
        <f t="shared" si="422"/>
        <v/>
      </c>
      <c r="BP327" s="148" t="str">
        <f t="shared" si="423"/>
        <v/>
      </c>
      <c r="BT327" s="50">
        <f t="shared" si="413"/>
        <v>304</v>
      </c>
      <c r="BU327" s="50" t="str">
        <f t="shared" si="409"/>
        <v>-</v>
      </c>
      <c r="BW327" s="333"/>
      <c r="BX327" s="333"/>
      <c r="BY327" s="333"/>
      <c r="BZ327" s="333"/>
      <c r="CA327" s="333"/>
      <c r="CB327" s="333"/>
      <c r="CC327" s="333"/>
      <c r="CD327" s="333"/>
      <c r="CE327" s="333"/>
      <c r="CF327" s="333"/>
      <c r="CG327" s="354">
        <f t="shared" si="363"/>
        <v>304</v>
      </c>
      <c r="CH327" s="613">
        <f t="shared" si="364"/>
        <v>0</v>
      </c>
      <c r="CI327" s="613">
        <f t="shared" si="365"/>
        <v>0</v>
      </c>
      <c r="CJ327" s="614" t="str">
        <f t="shared" si="366"/>
        <v/>
      </c>
      <c r="CK327" s="615" t="str">
        <f t="shared" si="367"/>
        <v/>
      </c>
      <c r="CL327" s="610" t="str">
        <f>IF(ISBLANK(H327),"",IF(AND(ISNUMBER(F327),ISNUMBER(G327),ISNUMBER(H327)),ROUND(F327/(H327*G327),2),ROUND(F327/(VALUE(LEFT(H327,SUM(LEN(H327)-LEN(SUBSTITUTE(H327,{"0","1","2","3","4","5","6","7","8","9","."},"")))))*G327),2)))</f>
        <v/>
      </c>
      <c r="CM327" s="616" t="str">
        <f t="shared" si="424"/>
        <v/>
      </c>
      <c r="CN327" s="616" t="str">
        <f>IF(ISNUMBER(P327),MAX('Adjustment factors'!$S$16,(0.2+0.8*P327)),IF(ISTEXT(N327),VLOOKUP(N327,Afactors,2,FALSE),""))</f>
        <v/>
      </c>
      <c r="CO327" s="616" t="str">
        <f>IF(ISNUMBER(S327),MAX('Adjustment factors'!$S$16,0.2+0.8*S327),IF(ISTEXT(Q327),VLOOKUP(Q327,Afactors,2,FALSE),""))</f>
        <v/>
      </c>
      <c r="CP327" s="611" t="str">
        <f t="shared" si="385"/>
        <v/>
      </c>
      <c r="CQ327" s="612" t="str">
        <f t="shared" si="386"/>
        <v/>
      </c>
      <c r="CR327" s="340"/>
      <c r="CS327" s="340"/>
      <c r="CT327" s="340"/>
      <c r="CU327" s="340"/>
      <c r="CV327" s="333"/>
      <c r="CW327" s="333"/>
      <c r="CX327" s="333"/>
      <c r="CY327" s="333"/>
      <c r="DA327" s="313" t="str">
        <f t="shared" si="368"/>
        <v>OK</v>
      </c>
      <c r="DB327" s="313" t="str">
        <f t="shared" si="369"/>
        <v>OK</v>
      </c>
      <c r="DC327" s="313" t="str">
        <f t="shared" si="370"/>
        <v>OK</v>
      </c>
      <c r="DD327" s="313" t="str">
        <f t="shared" si="371"/>
        <v>OK</v>
      </c>
      <c r="DE327" s="153" t="str">
        <f t="shared" si="372"/>
        <v>OK</v>
      </c>
      <c r="DF327" s="314" t="str">
        <f t="shared" si="373"/>
        <v>OK</v>
      </c>
      <c r="DG327" s="482" t="str">
        <f t="shared" si="387"/>
        <v>OK</v>
      </c>
      <c r="DH327" s="482" t="str">
        <f>IF(OR(AND(T327='Adjustment factors'!$R$28,'Class 3, 5-9'!U327='Adjustment factors'!$R$29),AND('Class 3, 5-9'!T327='Adjustment factors'!$R$29,'Class 3, 5-9'!U327='Adjustment factors'!$R$28)),"Invalid combination of adjustment factors",IF(AND(T327=U327,NOT(ISBLANK(T327)),NOT(ISBLANK(U327))),"Same colour factor selected twice","OK"))</f>
        <v>OK</v>
      </c>
      <c r="DI327" s="313" t="str">
        <f t="shared" si="374"/>
        <v>OK</v>
      </c>
      <c r="DJ327" s="153" t="str">
        <f t="shared" si="425"/>
        <v>OK</v>
      </c>
      <c r="DK327" s="153" t="str">
        <f t="shared" si="375"/>
        <v>OK</v>
      </c>
      <c r="DL327" s="313" t="str">
        <f t="shared" si="376"/>
        <v>OK</v>
      </c>
      <c r="DM327" s="153" t="str">
        <f t="shared" si="377"/>
        <v>OK</v>
      </c>
      <c r="DN327" s="153" t="str">
        <f t="shared" si="426"/>
        <v>OK</v>
      </c>
      <c r="DO327" s="154" t="str">
        <f t="shared" si="427"/>
        <v>OK</v>
      </c>
      <c r="DP327" s="153" t="str">
        <f t="shared" si="378"/>
        <v>OK</v>
      </c>
      <c r="DQ327" s="313" t="str">
        <f t="shared" si="379"/>
        <v>OK</v>
      </c>
      <c r="DR327" s="153" t="str">
        <f t="shared" si="428"/>
        <v>OK</v>
      </c>
      <c r="DS327" s="153" t="str">
        <f t="shared" si="380"/>
        <v>OK</v>
      </c>
      <c r="DT327" s="313" t="str">
        <f t="shared" si="414"/>
        <v>OK</v>
      </c>
      <c r="DU327" s="153" t="str">
        <f t="shared" si="381"/>
        <v>OK</v>
      </c>
      <c r="DV327" s="153" t="str">
        <f t="shared" si="429"/>
        <v>OK</v>
      </c>
      <c r="DW327" s="154" t="str">
        <f t="shared" si="430"/>
        <v>OK</v>
      </c>
      <c r="DX327" s="157">
        <f t="shared" si="431"/>
        <v>0</v>
      </c>
      <c r="DY327" s="156" t="str">
        <f t="shared" si="432"/>
        <v>OK</v>
      </c>
    </row>
    <row r="328" spans="1:129" ht="13" hidden="1" x14ac:dyDescent="0.3">
      <c r="A328" s="333"/>
      <c r="B328" s="333"/>
      <c r="C328" s="331" t="str">
        <f t="shared" si="415"/>
        <v>-</v>
      </c>
      <c r="D328" s="584">
        <f t="shared" si="412"/>
        <v>305</v>
      </c>
      <c r="E328" s="585"/>
      <c r="F328" s="586"/>
      <c r="G328" s="600"/>
      <c r="H328" s="587"/>
      <c r="I328" s="601"/>
      <c r="J328" s="585"/>
      <c r="K328" s="617"/>
      <c r="L328" s="602"/>
      <c r="M328" s="603"/>
      <c r="N328" s="588"/>
      <c r="O328" s="604"/>
      <c r="P328" s="605"/>
      <c r="Q328" s="588"/>
      <c r="R328" s="604"/>
      <c r="S328" s="605"/>
      <c r="T328" s="606"/>
      <c r="U328" s="606"/>
      <c r="V328" s="429" t="str">
        <f t="shared" si="408"/>
        <v/>
      </c>
      <c r="W328" s="430" t="str">
        <f t="shared" ref="W328:W391" si="436">AW328</f>
        <v/>
      </c>
      <c r="X328" s="66" t="str">
        <f>IF(AND(ISNUMBER(P328),N328=FixedDim),MAX('Adjustment factors'!$S$16,0.2+0.8*P328),IF(ISTEXT(N328),VLOOKUP(N328,Afactors,2,TRUE),""))</f>
        <v/>
      </c>
      <c r="Y328" s="17" t="str">
        <f>IF(AND(ISNUMBER(S328),Q328=FixedDim),MAX('Adjustment factors'!$S$16,0.2+0.8*S328),IF(ISTEXT(Q328),VLOOKUP(Q328,Afactors,2,TRUE),""))</f>
        <v/>
      </c>
      <c r="Z328" s="297" t="str">
        <f>IF(ISBLANK(T328),"",VLOOKUP(T328,'Adjustment factors'!$R$27:$S$30,2,TRUE))</f>
        <v/>
      </c>
      <c r="AA328" s="297" t="str">
        <f>IF(ISBLANK(U328),"",VLOOKUP(U328,'Adjustment factors'!$R$27:$S$30,2,TRUE))</f>
        <v/>
      </c>
      <c r="AB328" s="480">
        <f t="shared" si="382"/>
        <v>1</v>
      </c>
      <c r="AC328" s="18" t="b">
        <f t="shared" si="339"/>
        <v>0</v>
      </c>
      <c r="AD328" s="18" t="b">
        <f t="shared" si="340"/>
        <v>0</v>
      </c>
      <c r="AE328" s="18" t="b">
        <f t="shared" si="433"/>
        <v>0</v>
      </c>
      <c r="AF328" s="17" t="str">
        <f t="shared" si="341"/>
        <v/>
      </c>
      <c r="AG328" s="18" t="str">
        <f t="shared" si="342"/>
        <v/>
      </c>
      <c r="AH328" s="17" t="str">
        <f t="shared" si="434"/>
        <v/>
      </c>
      <c r="AI328" s="297" t="e">
        <f t="shared" si="383"/>
        <v>#VALUE!</v>
      </c>
      <c r="AJ328" s="79" t="e">
        <f t="shared" si="343"/>
        <v>#VALUE!</v>
      </c>
      <c r="AK328" s="17" t="str">
        <f t="shared" si="435"/>
        <v/>
      </c>
      <c r="AL328" s="80" t="e">
        <f t="shared" si="344"/>
        <v>#VALUE!</v>
      </c>
      <c r="AM328" s="139" t="b">
        <f t="shared" si="345"/>
        <v>1</v>
      </c>
      <c r="AN328" s="139" t="b">
        <f>AND(COUNTA(E328)&gt;0,ISNUMBER(F328),OR(COUNT(G328:H328)=0,COUNT(G328:H328)=2,AND(ISNUMBER(G328),ISNUMBER(VALUE(LEFT(H328,SUM(LEN(H328)-LEN(SUBSTITUTE(H328,{"0","1","2","3","4","5","6","7","8","9","."},"")))))))),ISNUMBER(I328),ISTEXT(J328))</f>
        <v>0</v>
      </c>
      <c r="AO328" s="19" t="b">
        <f t="shared" si="346"/>
        <v>0</v>
      </c>
      <c r="AP328" s="19" t="b">
        <f t="shared" si="347"/>
        <v>1</v>
      </c>
      <c r="AQ328" s="19" t="b">
        <f>IF(AND(COUNTBLANK(E328:J328)=6,OR(AN329:AN$523)),NOT(AN328))</f>
        <v>0</v>
      </c>
      <c r="AR328" s="19" t="str">
        <f t="shared" si="348"/>
        <v/>
      </c>
      <c r="AS328" s="19" t="b">
        <f t="shared" si="349"/>
        <v>1</v>
      </c>
      <c r="AT328" s="19" t="str">
        <f t="shared" si="350"/>
        <v/>
      </c>
      <c r="AU328" s="19" t="b">
        <f t="shared" si="351"/>
        <v>1</v>
      </c>
      <c r="AV328" s="140" t="str">
        <f t="shared" si="417"/>
        <v/>
      </c>
      <c r="AW328" s="19" t="str">
        <f t="shared" si="352"/>
        <v/>
      </c>
      <c r="AX328" s="81">
        <f t="shared" si="353"/>
        <v>0</v>
      </c>
      <c r="AY328" s="81" t="str">
        <f t="shared" si="354"/>
        <v/>
      </c>
      <c r="AZ328" s="307" t="str">
        <f t="shared" si="384"/>
        <v/>
      </c>
      <c r="BA328" s="281" t="str">
        <f t="shared" si="418"/>
        <v/>
      </c>
      <c r="BB328" s="281" t="str">
        <f t="shared" si="419"/>
        <v/>
      </c>
      <c r="BC328" s="953"/>
      <c r="BD328" s="955"/>
      <c r="BE328" s="219" t="str">
        <f t="shared" si="355"/>
        <v>n/a</v>
      </c>
      <c r="BF328" s="215" t="b">
        <f t="shared" si="356"/>
        <v>0</v>
      </c>
      <c r="BG328" s="145" t="b">
        <f t="shared" si="357"/>
        <v>0</v>
      </c>
      <c r="BH328" s="145" t="b">
        <f t="shared" si="358"/>
        <v>0</v>
      </c>
      <c r="BI328" s="216" t="b">
        <f t="shared" si="359"/>
        <v>0</v>
      </c>
      <c r="BJ328" s="215" t="b">
        <f t="shared" si="360"/>
        <v>0</v>
      </c>
      <c r="BK328" s="145" t="b">
        <f t="shared" si="361"/>
        <v>0</v>
      </c>
      <c r="BL328" s="216" t="b">
        <f t="shared" si="362"/>
        <v>0</v>
      </c>
      <c r="BM328" s="217" t="str">
        <f t="shared" si="420"/>
        <v/>
      </c>
      <c r="BN328" s="146" t="str">
        <f t="shared" si="421"/>
        <v/>
      </c>
      <c r="BO328" s="147" t="str">
        <f t="shared" si="422"/>
        <v/>
      </c>
      <c r="BP328" s="148" t="str">
        <f t="shared" si="423"/>
        <v/>
      </c>
      <c r="BT328" s="50">
        <f t="shared" si="413"/>
        <v>305</v>
      </c>
      <c r="BU328" s="50" t="str">
        <f t="shared" si="409"/>
        <v>-</v>
      </c>
      <c r="BW328" s="333"/>
      <c r="BX328" s="333"/>
      <c r="BY328" s="333"/>
      <c r="BZ328" s="333"/>
      <c r="CA328" s="333"/>
      <c r="CB328" s="333"/>
      <c r="CC328" s="333"/>
      <c r="CD328" s="333"/>
      <c r="CE328" s="333"/>
      <c r="CF328" s="333"/>
      <c r="CG328" s="354">
        <f t="shared" si="363"/>
        <v>305</v>
      </c>
      <c r="CH328" s="613">
        <f t="shared" si="364"/>
        <v>0</v>
      </c>
      <c r="CI328" s="613">
        <f t="shared" si="365"/>
        <v>0</v>
      </c>
      <c r="CJ328" s="614" t="str">
        <f t="shared" si="366"/>
        <v/>
      </c>
      <c r="CK328" s="615" t="str">
        <f t="shared" si="367"/>
        <v/>
      </c>
      <c r="CL328" s="610" t="str">
        <f>IF(ISBLANK(H328),"",IF(AND(ISNUMBER(F328),ISNUMBER(G328),ISNUMBER(H328)),ROUND(F328/(H328*G328),2),ROUND(F328/(VALUE(LEFT(H328,SUM(LEN(H328)-LEN(SUBSTITUTE(H328,{"0","1","2","3","4","5","6","7","8","9","."},"")))))*G328),2)))</f>
        <v/>
      </c>
      <c r="CM328" s="616" t="str">
        <f t="shared" si="424"/>
        <v/>
      </c>
      <c r="CN328" s="616" t="str">
        <f>IF(ISNUMBER(P328),MAX('Adjustment factors'!$S$16,(0.2+0.8*P328)),IF(ISTEXT(N328),VLOOKUP(N328,Afactors,2,FALSE),""))</f>
        <v/>
      </c>
      <c r="CO328" s="616" t="str">
        <f>IF(ISNUMBER(S328),MAX('Adjustment factors'!$S$16,0.2+0.8*S328),IF(ISTEXT(Q328),VLOOKUP(Q328,Afactors,2,FALSE),""))</f>
        <v/>
      </c>
      <c r="CP328" s="611" t="str">
        <f t="shared" si="385"/>
        <v/>
      </c>
      <c r="CQ328" s="612" t="str">
        <f t="shared" si="386"/>
        <v/>
      </c>
      <c r="CR328" s="340"/>
      <c r="CS328" s="340"/>
      <c r="CT328" s="340"/>
      <c r="CU328" s="340"/>
      <c r="CV328" s="333"/>
      <c r="CW328" s="333"/>
      <c r="CX328" s="333"/>
      <c r="CY328" s="333"/>
      <c r="DA328" s="313" t="str">
        <f t="shared" si="368"/>
        <v>OK</v>
      </c>
      <c r="DB328" s="313" t="str">
        <f t="shared" si="369"/>
        <v>OK</v>
      </c>
      <c r="DC328" s="313" t="str">
        <f t="shared" si="370"/>
        <v>OK</v>
      </c>
      <c r="DD328" s="313" t="str">
        <f t="shared" si="371"/>
        <v>OK</v>
      </c>
      <c r="DE328" s="153" t="str">
        <f t="shared" si="372"/>
        <v>OK</v>
      </c>
      <c r="DF328" s="314" t="str">
        <f t="shared" si="373"/>
        <v>OK</v>
      </c>
      <c r="DG328" s="482" t="str">
        <f t="shared" si="387"/>
        <v>OK</v>
      </c>
      <c r="DH328" s="482" t="str">
        <f>IF(OR(AND(T328='Adjustment factors'!$R$28,'Class 3, 5-9'!U328='Adjustment factors'!$R$29),AND('Class 3, 5-9'!T328='Adjustment factors'!$R$29,'Class 3, 5-9'!U328='Adjustment factors'!$R$28)),"Invalid combination of adjustment factors",IF(AND(T328=U328,NOT(ISBLANK(T328)),NOT(ISBLANK(U328))),"Same colour factor selected twice","OK"))</f>
        <v>OK</v>
      </c>
      <c r="DI328" s="313" t="str">
        <f t="shared" si="374"/>
        <v>OK</v>
      </c>
      <c r="DJ328" s="153" t="str">
        <f t="shared" si="425"/>
        <v>OK</v>
      </c>
      <c r="DK328" s="153" t="str">
        <f t="shared" si="375"/>
        <v>OK</v>
      </c>
      <c r="DL328" s="313" t="str">
        <f t="shared" si="376"/>
        <v>OK</v>
      </c>
      <c r="DM328" s="153" t="str">
        <f t="shared" si="377"/>
        <v>OK</v>
      </c>
      <c r="DN328" s="153" t="str">
        <f t="shared" si="426"/>
        <v>OK</v>
      </c>
      <c r="DO328" s="154" t="str">
        <f t="shared" si="427"/>
        <v>OK</v>
      </c>
      <c r="DP328" s="153" t="str">
        <f t="shared" si="378"/>
        <v>OK</v>
      </c>
      <c r="DQ328" s="313" t="str">
        <f t="shared" si="379"/>
        <v>OK</v>
      </c>
      <c r="DR328" s="153" t="str">
        <f t="shared" si="428"/>
        <v>OK</v>
      </c>
      <c r="DS328" s="153" t="str">
        <f t="shared" si="380"/>
        <v>OK</v>
      </c>
      <c r="DT328" s="313" t="str">
        <f t="shared" si="414"/>
        <v>OK</v>
      </c>
      <c r="DU328" s="153" t="str">
        <f t="shared" si="381"/>
        <v>OK</v>
      </c>
      <c r="DV328" s="153" t="str">
        <f t="shared" si="429"/>
        <v>OK</v>
      </c>
      <c r="DW328" s="154" t="str">
        <f t="shared" si="430"/>
        <v>OK</v>
      </c>
      <c r="DX328" s="157">
        <f t="shared" si="431"/>
        <v>0</v>
      </c>
      <c r="DY328" s="156" t="str">
        <f t="shared" si="432"/>
        <v>OK</v>
      </c>
    </row>
    <row r="329" spans="1:129" ht="13" hidden="1" x14ac:dyDescent="0.3">
      <c r="A329" s="333"/>
      <c r="B329" s="333"/>
      <c r="C329" s="331" t="str">
        <f t="shared" si="415"/>
        <v>-</v>
      </c>
      <c r="D329" s="584">
        <f t="shared" si="412"/>
        <v>306</v>
      </c>
      <c r="E329" s="585"/>
      <c r="F329" s="586"/>
      <c r="G329" s="600"/>
      <c r="H329" s="587"/>
      <c r="I329" s="601"/>
      <c r="J329" s="585"/>
      <c r="K329" s="617"/>
      <c r="L329" s="602"/>
      <c r="M329" s="603"/>
      <c r="N329" s="588"/>
      <c r="O329" s="604"/>
      <c r="P329" s="605"/>
      <c r="Q329" s="588"/>
      <c r="R329" s="604"/>
      <c r="S329" s="605"/>
      <c r="T329" s="606"/>
      <c r="U329" s="606"/>
      <c r="V329" s="429" t="str">
        <f>AV329</f>
        <v/>
      </c>
      <c r="W329" s="430" t="str">
        <f t="shared" si="436"/>
        <v/>
      </c>
      <c r="X329" s="66" t="str">
        <f>IF(AND(ISNUMBER(P329),N329=FixedDim),MAX('Adjustment factors'!$S$16,0.2+0.8*P329),IF(ISTEXT(N329),VLOOKUP(N329,Afactors,2,TRUE),""))</f>
        <v/>
      </c>
      <c r="Y329" s="17" t="str">
        <f>IF(AND(ISNUMBER(S329),Q329=FixedDim),MAX('Adjustment factors'!$S$16,0.2+0.8*S329),IF(ISTEXT(Q329),VLOOKUP(Q329,Afactors,2,TRUE),""))</f>
        <v/>
      </c>
      <c r="Z329" s="297" t="str">
        <f>IF(ISBLANK(T329),"",VLOOKUP(T329,'Adjustment factors'!$R$27:$S$30,2,TRUE))</f>
        <v/>
      </c>
      <c r="AA329" s="297" t="str">
        <f>IF(ISBLANK(U329),"",VLOOKUP(U329,'Adjustment factors'!$R$27:$S$30,2,TRUE))</f>
        <v/>
      </c>
      <c r="AB329" s="480">
        <f t="shared" si="382"/>
        <v>1</v>
      </c>
      <c r="AC329" s="18" t="b">
        <f t="shared" si="339"/>
        <v>0</v>
      </c>
      <c r="AD329" s="18" t="b">
        <f t="shared" si="340"/>
        <v>0</v>
      </c>
      <c r="AE329" s="18" t="b">
        <f t="shared" si="433"/>
        <v>0</v>
      </c>
      <c r="AF329" s="17" t="str">
        <f t="shared" si="341"/>
        <v/>
      </c>
      <c r="AG329" s="18" t="str">
        <f t="shared" si="342"/>
        <v/>
      </c>
      <c r="AH329" s="17" t="str">
        <f t="shared" si="434"/>
        <v/>
      </c>
      <c r="AI329" s="297" t="e">
        <f t="shared" si="383"/>
        <v>#VALUE!</v>
      </c>
      <c r="AJ329" s="79" t="e">
        <f t="shared" si="343"/>
        <v>#VALUE!</v>
      </c>
      <c r="AK329" s="17" t="str">
        <f t="shared" si="435"/>
        <v/>
      </c>
      <c r="AL329" s="80" t="e">
        <f t="shared" si="344"/>
        <v>#VALUE!</v>
      </c>
      <c r="AM329" s="139" t="b">
        <f t="shared" si="345"/>
        <v>1</v>
      </c>
      <c r="AN329" s="139" t="b">
        <f>AND(COUNTA(E329)&gt;0,ISNUMBER(F329),OR(COUNT(G329:H329)=0,COUNT(G329:H329)=2,AND(ISNUMBER(G329),ISNUMBER(VALUE(LEFT(H329,SUM(LEN(H329)-LEN(SUBSTITUTE(H329,{"0","1","2","3","4","5","6","7","8","9","."},"")))))))),ISNUMBER(I329),ISTEXT(J329))</f>
        <v>0</v>
      </c>
      <c r="AO329" s="19" t="b">
        <f t="shared" si="346"/>
        <v>0</v>
      </c>
      <c r="AP329" s="19" t="b">
        <f t="shared" si="347"/>
        <v>1</v>
      </c>
      <c r="AQ329" s="19" t="b">
        <f>IF(AND(COUNTBLANK(E329:J329)=6,OR(AN330:AN$523)),NOT(AN329))</f>
        <v>0</v>
      </c>
      <c r="AR329" s="19" t="str">
        <f t="shared" si="348"/>
        <v/>
      </c>
      <c r="AS329" s="19" t="b">
        <f t="shared" si="349"/>
        <v>1</v>
      </c>
      <c r="AT329" s="19" t="str">
        <f t="shared" si="350"/>
        <v/>
      </c>
      <c r="AU329" s="19" t="b">
        <f t="shared" si="351"/>
        <v>1</v>
      </c>
      <c r="AV329" s="140" t="str">
        <f t="shared" si="417"/>
        <v/>
      </c>
      <c r="AW329" s="19" t="str">
        <f t="shared" si="352"/>
        <v/>
      </c>
      <c r="AX329" s="81">
        <f t="shared" si="353"/>
        <v>0</v>
      </c>
      <c r="AY329" s="81" t="str">
        <f t="shared" si="354"/>
        <v/>
      </c>
      <c r="AZ329" s="307" t="str">
        <f t="shared" si="384"/>
        <v/>
      </c>
      <c r="BA329" s="281" t="str">
        <f t="shared" si="418"/>
        <v/>
      </c>
      <c r="BB329" s="281" t="str">
        <f t="shared" si="419"/>
        <v/>
      </c>
      <c r="BC329" s="953"/>
      <c r="BD329" s="955"/>
      <c r="BE329" s="219" t="str">
        <f t="shared" si="355"/>
        <v>n/a</v>
      </c>
      <c r="BF329" s="215" t="b">
        <f t="shared" si="356"/>
        <v>0</v>
      </c>
      <c r="BG329" s="145" t="b">
        <f t="shared" si="357"/>
        <v>0</v>
      </c>
      <c r="BH329" s="145" t="b">
        <f t="shared" si="358"/>
        <v>0</v>
      </c>
      <c r="BI329" s="216" t="b">
        <f t="shared" si="359"/>
        <v>0</v>
      </c>
      <c r="BJ329" s="215" t="b">
        <f t="shared" si="360"/>
        <v>0</v>
      </c>
      <c r="BK329" s="145" t="b">
        <f t="shared" si="361"/>
        <v>0</v>
      </c>
      <c r="BL329" s="216" t="b">
        <f t="shared" si="362"/>
        <v>0</v>
      </c>
      <c r="BM329" s="217" t="str">
        <f t="shared" si="420"/>
        <v/>
      </c>
      <c r="BN329" s="146" t="str">
        <f t="shared" si="421"/>
        <v/>
      </c>
      <c r="BO329" s="147" t="str">
        <f t="shared" si="422"/>
        <v/>
      </c>
      <c r="BP329" s="148" t="str">
        <f t="shared" si="423"/>
        <v/>
      </c>
      <c r="BT329" s="50">
        <f t="shared" si="413"/>
        <v>306</v>
      </c>
      <c r="BU329" s="50" t="str">
        <f>IF(RowsPreferredOne&gt;=BT329,RowsPreferredOne,"-")</f>
        <v>-</v>
      </c>
      <c r="BW329" s="333"/>
      <c r="BX329" s="333"/>
      <c r="BY329" s="333"/>
      <c r="BZ329" s="333"/>
      <c r="CA329" s="333"/>
      <c r="CB329" s="333"/>
      <c r="CC329" s="333"/>
      <c r="CD329" s="333"/>
      <c r="CE329" s="333"/>
      <c r="CF329" s="333"/>
      <c r="CG329" s="354">
        <f t="shared" si="363"/>
        <v>306</v>
      </c>
      <c r="CH329" s="613">
        <f t="shared" si="364"/>
        <v>0</v>
      </c>
      <c r="CI329" s="613">
        <f t="shared" si="365"/>
        <v>0</v>
      </c>
      <c r="CJ329" s="614" t="str">
        <f t="shared" si="366"/>
        <v/>
      </c>
      <c r="CK329" s="615" t="str">
        <f t="shared" si="367"/>
        <v/>
      </c>
      <c r="CL329" s="610" t="str">
        <f>IF(ISBLANK(H329),"",IF(AND(ISNUMBER(F329),ISNUMBER(G329),ISNUMBER(H329)),ROUND(F329/(H329*G329),2),ROUND(F329/(VALUE(LEFT(H329,SUM(LEN(H329)-LEN(SUBSTITUTE(H329,{"0","1","2","3","4","5","6","7","8","9","."},"")))))*G329),2)))</f>
        <v/>
      </c>
      <c r="CM329" s="616" t="str">
        <f t="shared" si="424"/>
        <v/>
      </c>
      <c r="CN329" s="616" t="str">
        <f>IF(ISNUMBER(P329),MAX('Adjustment factors'!$S$16,(0.2+0.8*P329)),IF(ISTEXT(N329),VLOOKUP(N329,Afactors,2,FALSE),""))</f>
        <v/>
      </c>
      <c r="CO329" s="616" t="str">
        <f>IF(ISNUMBER(S329),MAX('Adjustment factors'!$S$16,0.2+0.8*S329),IF(ISTEXT(Q329),VLOOKUP(Q329,Afactors,2,FALSE),""))</f>
        <v/>
      </c>
      <c r="CP329" s="611" t="str">
        <f t="shared" si="385"/>
        <v/>
      </c>
      <c r="CQ329" s="612" t="str">
        <f t="shared" si="386"/>
        <v/>
      </c>
      <c r="CR329" s="340"/>
      <c r="CS329" s="416"/>
      <c r="CT329" s="416"/>
      <c r="CU329" s="340"/>
      <c r="CV329" s="333"/>
      <c r="CW329" s="333"/>
      <c r="CX329" s="333"/>
      <c r="CY329" s="333"/>
      <c r="DA329" s="313" t="str">
        <f t="shared" si="368"/>
        <v>OK</v>
      </c>
      <c r="DB329" s="313" t="str">
        <f t="shared" si="369"/>
        <v>OK</v>
      </c>
      <c r="DC329" s="313" t="str">
        <f t="shared" si="370"/>
        <v>OK</v>
      </c>
      <c r="DD329" s="313" t="str">
        <f t="shared" si="371"/>
        <v>OK</v>
      </c>
      <c r="DE329" s="153" t="str">
        <f t="shared" si="372"/>
        <v>OK</v>
      </c>
      <c r="DF329" s="314" t="str">
        <f t="shared" si="373"/>
        <v>OK</v>
      </c>
      <c r="DG329" s="482" t="str">
        <f t="shared" si="387"/>
        <v>OK</v>
      </c>
      <c r="DH329" s="482" t="str">
        <f>IF(OR(AND(T329='Adjustment factors'!$R$28,'Class 3, 5-9'!U329='Adjustment factors'!$R$29),AND('Class 3, 5-9'!T329='Adjustment factors'!$R$29,'Class 3, 5-9'!U329='Adjustment factors'!$R$28)),"Invalid combination of adjustment factors",IF(AND(T329=U329,NOT(ISBLANK(T329)),NOT(ISBLANK(U329))),"Same colour factor selected twice","OK"))</f>
        <v>OK</v>
      </c>
      <c r="DI329" s="313" t="str">
        <f t="shared" si="374"/>
        <v>OK</v>
      </c>
      <c r="DJ329" s="153" t="str">
        <f t="shared" si="425"/>
        <v>OK</v>
      </c>
      <c r="DK329" s="153" t="str">
        <f t="shared" si="375"/>
        <v>OK</v>
      </c>
      <c r="DL329" s="313" t="str">
        <f t="shared" si="376"/>
        <v>OK</v>
      </c>
      <c r="DM329" s="153" t="str">
        <f t="shared" si="377"/>
        <v>OK</v>
      </c>
      <c r="DN329" s="153" t="str">
        <f t="shared" si="426"/>
        <v>OK</v>
      </c>
      <c r="DO329" s="154" t="str">
        <f t="shared" si="427"/>
        <v>OK</v>
      </c>
      <c r="DP329" s="153" t="str">
        <f t="shared" si="378"/>
        <v>OK</v>
      </c>
      <c r="DQ329" s="313" t="str">
        <f t="shared" si="379"/>
        <v>OK</v>
      </c>
      <c r="DR329" s="153" t="str">
        <f t="shared" si="428"/>
        <v>OK</v>
      </c>
      <c r="DS329" s="153" t="str">
        <f t="shared" si="380"/>
        <v>OK</v>
      </c>
      <c r="DT329" s="313" t="str">
        <f t="shared" si="414"/>
        <v>OK</v>
      </c>
      <c r="DU329" s="153" t="str">
        <f t="shared" si="381"/>
        <v>OK</v>
      </c>
      <c r="DV329" s="153" t="str">
        <f t="shared" si="429"/>
        <v>OK</v>
      </c>
      <c r="DW329" s="154" t="str">
        <f t="shared" si="430"/>
        <v>OK</v>
      </c>
      <c r="DX329" s="157">
        <f t="shared" si="431"/>
        <v>0</v>
      </c>
      <c r="DY329" s="156" t="str">
        <f t="shared" si="432"/>
        <v>OK</v>
      </c>
    </row>
    <row r="330" spans="1:129" ht="13" hidden="1" x14ac:dyDescent="0.3">
      <c r="A330" s="333"/>
      <c r="B330" s="333"/>
      <c r="C330" s="331" t="str">
        <f t="shared" si="415"/>
        <v>-</v>
      </c>
      <c r="D330" s="584">
        <f t="shared" si="412"/>
        <v>307</v>
      </c>
      <c r="E330" s="585"/>
      <c r="F330" s="586"/>
      <c r="G330" s="600"/>
      <c r="H330" s="587"/>
      <c r="I330" s="601"/>
      <c r="J330" s="585"/>
      <c r="K330" s="617"/>
      <c r="L330" s="602"/>
      <c r="M330" s="603"/>
      <c r="N330" s="588"/>
      <c r="O330" s="604"/>
      <c r="P330" s="605"/>
      <c r="Q330" s="588"/>
      <c r="R330" s="604"/>
      <c r="S330" s="605"/>
      <c r="T330" s="606"/>
      <c r="U330" s="606"/>
      <c r="V330" s="429" t="str">
        <f t="shared" ref="V330:V393" si="437">AV330</f>
        <v/>
      </c>
      <c r="W330" s="430" t="str">
        <f t="shared" si="436"/>
        <v/>
      </c>
      <c r="X330" s="66" t="str">
        <f>IF(AND(ISNUMBER(P330),N330=FixedDim),MAX('Adjustment factors'!$S$16,0.2+0.8*P330),IF(ISTEXT(N330),VLOOKUP(N330,Afactors,2,TRUE),""))</f>
        <v/>
      </c>
      <c r="Y330" s="17" t="str">
        <f>IF(AND(ISNUMBER(S330),Q330=FixedDim),MAX('Adjustment factors'!$S$16,0.2+0.8*S330),IF(ISTEXT(Q330),VLOOKUP(Q330,Afactors,2,TRUE),""))</f>
        <v/>
      </c>
      <c r="Z330" s="297" t="str">
        <f>IF(ISBLANK(T330),"",VLOOKUP(T330,'Adjustment factors'!$R$27:$S$30,2,TRUE))</f>
        <v/>
      </c>
      <c r="AA330" s="297" t="str">
        <f>IF(ISBLANK(U330),"",VLOOKUP(U330,'Adjustment factors'!$R$27:$S$30,2,TRUE))</f>
        <v/>
      </c>
      <c r="AB330" s="480">
        <f t="shared" si="382"/>
        <v>1</v>
      </c>
      <c r="AC330" s="18" t="b">
        <f t="shared" si="339"/>
        <v>0</v>
      </c>
      <c r="AD330" s="18" t="b">
        <f t="shared" si="340"/>
        <v>0</v>
      </c>
      <c r="AE330" s="18" t="b">
        <f t="shared" si="433"/>
        <v>0</v>
      </c>
      <c r="AF330" s="17" t="str">
        <f t="shared" si="341"/>
        <v/>
      </c>
      <c r="AG330" s="18" t="str">
        <f t="shared" si="342"/>
        <v/>
      </c>
      <c r="AH330" s="17" t="str">
        <f t="shared" si="434"/>
        <v/>
      </c>
      <c r="AI330" s="297" t="e">
        <f t="shared" si="383"/>
        <v>#VALUE!</v>
      </c>
      <c r="AJ330" s="79" t="e">
        <f t="shared" si="343"/>
        <v>#VALUE!</v>
      </c>
      <c r="AK330" s="17" t="str">
        <f t="shared" si="435"/>
        <v/>
      </c>
      <c r="AL330" s="80" t="e">
        <f t="shared" si="344"/>
        <v>#VALUE!</v>
      </c>
      <c r="AM330" s="139" t="b">
        <f t="shared" si="345"/>
        <v>1</v>
      </c>
      <c r="AN330" s="139" t="b">
        <f>AND(COUNTA(E330)&gt;0,ISNUMBER(F330),OR(COUNT(G330:H330)=0,COUNT(G330:H330)=2,AND(ISNUMBER(G330),ISNUMBER(VALUE(LEFT(H330,SUM(LEN(H330)-LEN(SUBSTITUTE(H330,{"0","1","2","3","4","5","6","7","8","9","."},"")))))))),ISNUMBER(I330),ISTEXT(J330))</f>
        <v>0</v>
      </c>
      <c r="AO330" s="19" t="b">
        <f t="shared" si="346"/>
        <v>0</v>
      </c>
      <c r="AP330" s="19" t="b">
        <f t="shared" si="347"/>
        <v>1</v>
      </c>
      <c r="AQ330" s="19" t="b">
        <f>IF(AND(COUNTBLANK(E330:J330)=6,OR(AN331:AN$523)),NOT(AN330))</f>
        <v>0</v>
      </c>
      <c r="AR330" s="19" t="str">
        <f t="shared" si="348"/>
        <v/>
      </c>
      <c r="AS330" s="19" t="b">
        <f t="shared" si="349"/>
        <v>1</v>
      </c>
      <c r="AT330" s="19" t="str">
        <f t="shared" si="350"/>
        <v/>
      </c>
      <c r="AU330" s="19" t="b">
        <f t="shared" si="351"/>
        <v>1</v>
      </c>
      <c r="AV330" s="140" t="str">
        <f t="shared" si="417"/>
        <v/>
      </c>
      <c r="AW330" s="19" t="str">
        <f t="shared" si="352"/>
        <v/>
      </c>
      <c r="AX330" s="81">
        <f t="shared" si="353"/>
        <v>0</v>
      </c>
      <c r="AY330" s="81" t="str">
        <f t="shared" si="354"/>
        <v/>
      </c>
      <c r="AZ330" s="307" t="str">
        <f t="shared" si="384"/>
        <v/>
      </c>
      <c r="BA330" s="281" t="str">
        <f t="shared" si="418"/>
        <v/>
      </c>
      <c r="BB330" s="281" t="str">
        <f t="shared" si="419"/>
        <v/>
      </c>
      <c r="BC330" s="953"/>
      <c r="BD330" s="955"/>
      <c r="BE330" s="219" t="str">
        <f t="shared" si="355"/>
        <v>n/a</v>
      </c>
      <c r="BF330" s="215" t="b">
        <f t="shared" si="356"/>
        <v>0</v>
      </c>
      <c r="BG330" s="145" t="b">
        <f t="shared" si="357"/>
        <v>0</v>
      </c>
      <c r="BH330" s="145" t="b">
        <f t="shared" si="358"/>
        <v>0</v>
      </c>
      <c r="BI330" s="216" t="b">
        <f t="shared" si="359"/>
        <v>0</v>
      </c>
      <c r="BJ330" s="215" t="b">
        <f t="shared" si="360"/>
        <v>0</v>
      </c>
      <c r="BK330" s="145" t="b">
        <f t="shared" si="361"/>
        <v>0</v>
      </c>
      <c r="BL330" s="216" t="b">
        <f t="shared" si="362"/>
        <v>0</v>
      </c>
      <c r="BM330" s="217" t="str">
        <f t="shared" si="420"/>
        <v/>
      </c>
      <c r="BN330" s="146" t="str">
        <f t="shared" si="421"/>
        <v/>
      </c>
      <c r="BO330" s="147" t="str">
        <f t="shared" si="422"/>
        <v/>
      </c>
      <c r="BP330" s="148" t="str">
        <f t="shared" si="423"/>
        <v/>
      </c>
      <c r="BT330" s="50">
        <f t="shared" si="413"/>
        <v>307</v>
      </c>
      <c r="BU330" s="50" t="str">
        <f t="shared" ref="BU330:BU332" si="438">IF(RowsPreferredOne&gt;=BT330,RowsPreferredOne,"-")</f>
        <v>-</v>
      </c>
      <c r="BW330" s="333"/>
      <c r="BX330" s="333"/>
      <c r="BY330" s="333"/>
      <c r="BZ330" s="333"/>
      <c r="CA330" s="333"/>
      <c r="CB330" s="333"/>
      <c r="CC330" s="333"/>
      <c r="CD330" s="333"/>
      <c r="CE330" s="333"/>
      <c r="CF330" s="333"/>
      <c r="CG330" s="354">
        <f t="shared" si="363"/>
        <v>307</v>
      </c>
      <c r="CH330" s="613">
        <f t="shared" si="364"/>
        <v>0</v>
      </c>
      <c r="CI330" s="613">
        <f t="shared" si="365"/>
        <v>0</v>
      </c>
      <c r="CJ330" s="614" t="str">
        <f t="shared" si="366"/>
        <v/>
      </c>
      <c r="CK330" s="615" t="str">
        <f t="shared" si="367"/>
        <v/>
      </c>
      <c r="CL330" s="610" t="str">
        <f>IF(ISBLANK(H330),"",IF(AND(ISNUMBER(F330),ISNUMBER(G330),ISNUMBER(H330)),ROUND(F330/(H330*G330),2),ROUND(F330/(VALUE(LEFT(H330,SUM(LEN(H330)-LEN(SUBSTITUTE(H330,{"0","1","2","3","4","5","6","7","8","9","."},"")))))*G330),2)))</f>
        <v/>
      </c>
      <c r="CM330" s="616" t="str">
        <f t="shared" si="424"/>
        <v/>
      </c>
      <c r="CN330" s="616" t="str">
        <f>IF(ISNUMBER(P330),MAX('Adjustment factors'!$S$16,(0.2+0.8*P330)),IF(ISTEXT(N330),VLOOKUP(N330,Afactors,2,FALSE),""))</f>
        <v/>
      </c>
      <c r="CO330" s="616" t="str">
        <f>IF(ISNUMBER(S330),MAX('Adjustment factors'!$S$16,0.2+0.8*S330),IF(ISTEXT(Q330),VLOOKUP(Q330,Afactors,2,FALSE),""))</f>
        <v/>
      </c>
      <c r="CP330" s="611" t="str">
        <f t="shared" si="385"/>
        <v/>
      </c>
      <c r="CQ330" s="612" t="str">
        <f t="shared" si="386"/>
        <v/>
      </c>
      <c r="CR330" s="340"/>
      <c r="CS330" s="340"/>
      <c r="CT330" s="340"/>
      <c r="CU330" s="340"/>
      <c r="CV330" s="333"/>
      <c r="CW330" s="333"/>
      <c r="CX330" s="333"/>
      <c r="CY330" s="333"/>
      <c r="DA330" s="313" t="str">
        <f t="shared" si="368"/>
        <v>OK</v>
      </c>
      <c r="DB330" s="313" t="str">
        <f t="shared" si="369"/>
        <v>OK</v>
      </c>
      <c r="DC330" s="313" t="str">
        <f t="shared" si="370"/>
        <v>OK</v>
      </c>
      <c r="DD330" s="313" t="str">
        <f t="shared" si="371"/>
        <v>OK</v>
      </c>
      <c r="DE330" s="153" t="str">
        <f t="shared" si="372"/>
        <v>OK</v>
      </c>
      <c r="DF330" s="314" t="str">
        <f t="shared" si="373"/>
        <v>OK</v>
      </c>
      <c r="DG330" s="482" t="str">
        <f t="shared" si="387"/>
        <v>OK</v>
      </c>
      <c r="DH330" s="482" t="str">
        <f>IF(OR(AND(T330='Adjustment factors'!$R$28,'Class 3, 5-9'!U330='Adjustment factors'!$R$29),AND('Class 3, 5-9'!T330='Adjustment factors'!$R$29,'Class 3, 5-9'!U330='Adjustment factors'!$R$28)),"Invalid combination of adjustment factors",IF(AND(T330=U330,NOT(ISBLANK(T330)),NOT(ISBLANK(U330))),"Same colour factor selected twice","OK"))</f>
        <v>OK</v>
      </c>
      <c r="DI330" s="313" t="str">
        <f t="shared" si="374"/>
        <v>OK</v>
      </c>
      <c r="DJ330" s="153" t="str">
        <f t="shared" si="425"/>
        <v>OK</v>
      </c>
      <c r="DK330" s="153" t="str">
        <f t="shared" si="375"/>
        <v>OK</v>
      </c>
      <c r="DL330" s="313" t="str">
        <f t="shared" si="376"/>
        <v>OK</v>
      </c>
      <c r="DM330" s="153" t="str">
        <f t="shared" si="377"/>
        <v>OK</v>
      </c>
      <c r="DN330" s="153" t="str">
        <f t="shared" si="426"/>
        <v>OK</v>
      </c>
      <c r="DO330" s="154" t="str">
        <f t="shared" si="427"/>
        <v>OK</v>
      </c>
      <c r="DP330" s="153" t="str">
        <f t="shared" si="378"/>
        <v>OK</v>
      </c>
      <c r="DQ330" s="313" t="str">
        <f t="shared" si="379"/>
        <v>OK</v>
      </c>
      <c r="DR330" s="153" t="str">
        <f t="shared" si="428"/>
        <v>OK</v>
      </c>
      <c r="DS330" s="153" t="str">
        <f t="shared" si="380"/>
        <v>OK</v>
      </c>
      <c r="DT330" s="313" t="str">
        <f t="shared" si="414"/>
        <v>OK</v>
      </c>
      <c r="DU330" s="153" t="str">
        <f t="shared" si="381"/>
        <v>OK</v>
      </c>
      <c r="DV330" s="153" t="str">
        <f t="shared" si="429"/>
        <v>OK</v>
      </c>
      <c r="DW330" s="154" t="str">
        <f t="shared" si="430"/>
        <v>OK</v>
      </c>
      <c r="DX330" s="157">
        <f t="shared" si="431"/>
        <v>0</v>
      </c>
      <c r="DY330" s="156" t="str">
        <f t="shared" si="432"/>
        <v>OK</v>
      </c>
    </row>
    <row r="331" spans="1:129" ht="13" hidden="1" x14ac:dyDescent="0.3">
      <c r="A331" s="333"/>
      <c r="B331" s="333"/>
      <c r="C331" s="331" t="str">
        <f t="shared" si="415"/>
        <v>-</v>
      </c>
      <c r="D331" s="584">
        <f t="shared" si="412"/>
        <v>308</v>
      </c>
      <c r="E331" s="585"/>
      <c r="F331" s="586"/>
      <c r="G331" s="600"/>
      <c r="H331" s="587"/>
      <c r="I331" s="601"/>
      <c r="J331" s="585"/>
      <c r="K331" s="617"/>
      <c r="L331" s="602"/>
      <c r="M331" s="603"/>
      <c r="N331" s="588"/>
      <c r="O331" s="604"/>
      <c r="P331" s="605"/>
      <c r="Q331" s="588"/>
      <c r="R331" s="604"/>
      <c r="S331" s="605"/>
      <c r="T331" s="606"/>
      <c r="U331" s="606"/>
      <c r="V331" s="429" t="str">
        <f t="shared" si="437"/>
        <v/>
      </c>
      <c r="W331" s="430" t="str">
        <f t="shared" si="436"/>
        <v/>
      </c>
      <c r="X331" s="66" t="str">
        <f>IF(AND(ISNUMBER(P331),N331=FixedDim),MAX('Adjustment factors'!$S$16,0.2+0.8*P331),IF(ISTEXT(N331),VLOOKUP(N331,Afactors,2,TRUE),""))</f>
        <v/>
      </c>
      <c r="Y331" s="17" t="str">
        <f>IF(AND(ISNUMBER(S331),Q331=FixedDim),MAX('Adjustment factors'!$S$16,0.2+0.8*S331),IF(ISTEXT(Q331),VLOOKUP(Q331,Afactors,2,TRUE),""))</f>
        <v/>
      </c>
      <c r="Z331" s="297" t="str">
        <f>IF(ISBLANK(T331),"",VLOOKUP(T331,'Adjustment factors'!$R$27:$S$30,2,TRUE))</f>
        <v/>
      </c>
      <c r="AA331" s="297" t="str">
        <f>IF(ISBLANK(U331),"",VLOOKUP(U331,'Adjustment factors'!$R$27:$S$30,2,TRUE))</f>
        <v/>
      </c>
      <c r="AB331" s="480">
        <f t="shared" si="382"/>
        <v>1</v>
      </c>
      <c r="AC331" s="18" t="b">
        <f t="shared" si="339"/>
        <v>0</v>
      </c>
      <c r="AD331" s="18" t="b">
        <f t="shared" si="340"/>
        <v>0</v>
      </c>
      <c r="AE331" s="18" t="b">
        <f t="shared" si="433"/>
        <v>0</v>
      </c>
      <c r="AF331" s="17" t="str">
        <f t="shared" si="341"/>
        <v/>
      </c>
      <c r="AG331" s="18" t="str">
        <f t="shared" si="342"/>
        <v/>
      </c>
      <c r="AH331" s="17" t="str">
        <f t="shared" si="434"/>
        <v/>
      </c>
      <c r="AI331" s="297" t="e">
        <f t="shared" si="383"/>
        <v>#VALUE!</v>
      </c>
      <c r="AJ331" s="79" t="e">
        <f t="shared" si="343"/>
        <v>#VALUE!</v>
      </c>
      <c r="AK331" s="17" t="str">
        <f t="shared" si="435"/>
        <v/>
      </c>
      <c r="AL331" s="80" t="e">
        <f t="shared" si="344"/>
        <v>#VALUE!</v>
      </c>
      <c r="AM331" s="139" t="b">
        <f t="shared" si="345"/>
        <v>1</v>
      </c>
      <c r="AN331" s="139" t="b">
        <f>AND(COUNTA(E331)&gt;0,ISNUMBER(F331),OR(COUNT(G331:H331)=0,COUNT(G331:H331)=2,AND(ISNUMBER(G331),ISNUMBER(VALUE(LEFT(H331,SUM(LEN(H331)-LEN(SUBSTITUTE(H331,{"0","1","2","3","4","5","6","7","8","9","."},"")))))))),ISNUMBER(I331),ISTEXT(J331))</f>
        <v>0</v>
      </c>
      <c r="AO331" s="19" t="b">
        <f t="shared" si="346"/>
        <v>0</v>
      </c>
      <c r="AP331" s="19" t="b">
        <f t="shared" si="347"/>
        <v>1</v>
      </c>
      <c r="AQ331" s="19" t="b">
        <f>IF(AND(COUNTBLANK(E331:J331)=6,OR(AN332:AN$523)),NOT(AN331))</f>
        <v>0</v>
      </c>
      <c r="AR331" s="19" t="str">
        <f t="shared" si="348"/>
        <v/>
      </c>
      <c r="AS331" s="19" t="b">
        <f t="shared" si="349"/>
        <v>1</v>
      </c>
      <c r="AT331" s="19" t="str">
        <f t="shared" si="350"/>
        <v/>
      </c>
      <c r="AU331" s="19" t="b">
        <f t="shared" si="351"/>
        <v>1</v>
      </c>
      <c r="AV331" s="140" t="str">
        <f t="shared" si="417"/>
        <v/>
      </c>
      <c r="AW331" s="19" t="str">
        <f t="shared" si="352"/>
        <v/>
      </c>
      <c r="AX331" s="81">
        <f t="shared" si="353"/>
        <v>0</v>
      </c>
      <c r="AY331" s="81" t="str">
        <f t="shared" si="354"/>
        <v/>
      </c>
      <c r="AZ331" s="307" t="str">
        <f t="shared" si="384"/>
        <v/>
      </c>
      <c r="BA331" s="281" t="str">
        <f t="shared" si="418"/>
        <v/>
      </c>
      <c r="BB331" s="281" t="str">
        <f t="shared" si="419"/>
        <v/>
      </c>
      <c r="BC331" s="953"/>
      <c r="BD331" s="955"/>
      <c r="BE331" s="219" t="str">
        <f t="shared" si="355"/>
        <v>n/a</v>
      </c>
      <c r="BF331" s="215" t="b">
        <f t="shared" si="356"/>
        <v>0</v>
      </c>
      <c r="BG331" s="145" t="b">
        <f t="shared" si="357"/>
        <v>0</v>
      </c>
      <c r="BH331" s="145" t="b">
        <f t="shared" si="358"/>
        <v>0</v>
      </c>
      <c r="BI331" s="216" t="b">
        <f t="shared" si="359"/>
        <v>0</v>
      </c>
      <c r="BJ331" s="215" t="b">
        <f t="shared" si="360"/>
        <v>0</v>
      </c>
      <c r="BK331" s="145" t="b">
        <f t="shared" si="361"/>
        <v>0</v>
      </c>
      <c r="BL331" s="216" t="b">
        <f t="shared" si="362"/>
        <v>0</v>
      </c>
      <c r="BM331" s="217" t="str">
        <f t="shared" si="420"/>
        <v/>
      </c>
      <c r="BN331" s="146" t="str">
        <f t="shared" si="421"/>
        <v/>
      </c>
      <c r="BO331" s="147" t="str">
        <f t="shared" si="422"/>
        <v/>
      </c>
      <c r="BP331" s="148" t="str">
        <f t="shared" si="423"/>
        <v/>
      </c>
      <c r="BT331" s="50">
        <f t="shared" si="413"/>
        <v>308</v>
      </c>
      <c r="BU331" s="50" t="str">
        <f t="shared" si="438"/>
        <v>-</v>
      </c>
      <c r="BW331" s="333"/>
      <c r="BX331" s="333"/>
      <c r="BY331" s="333"/>
      <c r="BZ331" s="333"/>
      <c r="CA331" s="333"/>
      <c r="CB331" s="333"/>
      <c r="CC331" s="333"/>
      <c r="CD331" s="333"/>
      <c r="CE331" s="333"/>
      <c r="CF331" s="333"/>
      <c r="CG331" s="354">
        <f t="shared" si="363"/>
        <v>308</v>
      </c>
      <c r="CH331" s="613">
        <f t="shared" si="364"/>
        <v>0</v>
      </c>
      <c r="CI331" s="613">
        <f t="shared" si="365"/>
        <v>0</v>
      </c>
      <c r="CJ331" s="614" t="str">
        <f t="shared" si="366"/>
        <v/>
      </c>
      <c r="CK331" s="615" t="str">
        <f t="shared" si="367"/>
        <v/>
      </c>
      <c r="CL331" s="610" t="str">
        <f>IF(ISBLANK(H331),"",IF(AND(ISNUMBER(F331),ISNUMBER(G331),ISNUMBER(H331)),ROUND(F331/(H331*G331),2),ROUND(F331/(VALUE(LEFT(H331,SUM(LEN(H331)-LEN(SUBSTITUTE(H331,{"0","1","2","3","4","5","6","7","8","9","."},"")))))*G331),2)))</f>
        <v/>
      </c>
      <c r="CM331" s="616" t="str">
        <f t="shared" si="424"/>
        <v/>
      </c>
      <c r="CN331" s="616" t="str">
        <f>IF(ISNUMBER(P331),MAX('Adjustment factors'!$S$16,(0.2+0.8*P331)),IF(ISTEXT(N331),VLOOKUP(N331,Afactors,2,FALSE),""))</f>
        <v/>
      </c>
      <c r="CO331" s="616" t="str">
        <f>IF(ISNUMBER(S331),MAX('Adjustment factors'!$S$16,0.2+0.8*S331),IF(ISTEXT(Q331),VLOOKUP(Q331,Afactors,2,FALSE),""))</f>
        <v/>
      </c>
      <c r="CP331" s="611" t="str">
        <f t="shared" si="385"/>
        <v/>
      </c>
      <c r="CQ331" s="612" t="str">
        <f t="shared" si="386"/>
        <v/>
      </c>
      <c r="CR331" s="340"/>
      <c r="CS331" s="340"/>
      <c r="CT331" s="340"/>
      <c r="CU331" s="340"/>
      <c r="CV331" s="333"/>
      <c r="CW331" s="333"/>
      <c r="CX331" s="333"/>
      <c r="CY331" s="333"/>
      <c r="DA331" s="313" t="str">
        <f t="shared" si="368"/>
        <v>OK</v>
      </c>
      <c r="DB331" s="313" t="str">
        <f t="shared" si="369"/>
        <v>OK</v>
      </c>
      <c r="DC331" s="313" t="str">
        <f t="shared" si="370"/>
        <v>OK</v>
      </c>
      <c r="DD331" s="313" t="str">
        <f t="shared" si="371"/>
        <v>OK</v>
      </c>
      <c r="DE331" s="153" t="str">
        <f t="shared" si="372"/>
        <v>OK</v>
      </c>
      <c r="DF331" s="314" t="str">
        <f t="shared" si="373"/>
        <v>OK</v>
      </c>
      <c r="DG331" s="482" t="str">
        <f t="shared" si="387"/>
        <v>OK</v>
      </c>
      <c r="DH331" s="482" t="str">
        <f>IF(OR(AND(T331='Adjustment factors'!$R$28,'Class 3, 5-9'!U331='Adjustment factors'!$R$29),AND('Class 3, 5-9'!T331='Adjustment factors'!$R$29,'Class 3, 5-9'!U331='Adjustment factors'!$R$28)),"Invalid combination of adjustment factors",IF(AND(T331=U331,NOT(ISBLANK(T331)),NOT(ISBLANK(U331))),"Same colour factor selected twice","OK"))</f>
        <v>OK</v>
      </c>
      <c r="DI331" s="313" t="str">
        <f t="shared" si="374"/>
        <v>OK</v>
      </c>
      <c r="DJ331" s="153" t="str">
        <f t="shared" si="425"/>
        <v>OK</v>
      </c>
      <c r="DK331" s="153" t="str">
        <f t="shared" si="375"/>
        <v>OK</v>
      </c>
      <c r="DL331" s="313" t="str">
        <f t="shared" si="376"/>
        <v>OK</v>
      </c>
      <c r="DM331" s="153" t="str">
        <f t="shared" si="377"/>
        <v>OK</v>
      </c>
      <c r="DN331" s="153" t="str">
        <f t="shared" si="426"/>
        <v>OK</v>
      </c>
      <c r="DO331" s="154" t="str">
        <f t="shared" si="427"/>
        <v>OK</v>
      </c>
      <c r="DP331" s="153" t="str">
        <f t="shared" si="378"/>
        <v>OK</v>
      </c>
      <c r="DQ331" s="313" t="str">
        <f t="shared" si="379"/>
        <v>OK</v>
      </c>
      <c r="DR331" s="153" t="str">
        <f t="shared" si="428"/>
        <v>OK</v>
      </c>
      <c r="DS331" s="153" t="str">
        <f t="shared" si="380"/>
        <v>OK</v>
      </c>
      <c r="DT331" s="313" t="str">
        <f t="shared" si="414"/>
        <v>OK</v>
      </c>
      <c r="DU331" s="153" t="str">
        <f t="shared" si="381"/>
        <v>OK</v>
      </c>
      <c r="DV331" s="153" t="str">
        <f t="shared" si="429"/>
        <v>OK</v>
      </c>
      <c r="DW331" s="154" t="str">
        <f t="shared" si="430"/>
        <v>OK</v>
      </c>
      <c r="DX331" s="157">
        <f t="shared" si="431"/>
        <v>0</v>
      </c>
      <c r="DY331" s="156" t="str">
        <f t="shared" si="432"/>
        <v>OK</v>
      </c>
    </row>
    <row r="332" spans="1:129" ht="13" hidden="1" x14ac:dyDescent="0.3">
      <c r="A332" s="333"/>
      <c r="B332" s="333"/>
      <c r="C332" s="331" t="str">
        <f t="shared" si="415"/>
        <v>-</v>
      </c>
      <c r="D332" s="584">
        <f t="shared" si="412"/>
        <v>309</v>
      </c>
      <c r="E332" s="585"/>
      <c r="F332" s="586"/>
      <c r="G332" s="600"/>
      <c r="H332" s="587"/>
      <c r="I332" s="601"/>
      <c r="J332" s="585"/>
      <c r="K332" s="617"/>
      <c r="L332" s="602"/>
      <c r="M332" s="603"/>
      <c r="N332" s="588"/>
      <c r="O332" s="604"/>
      <c r="P332" s="605"/>
      <c r="Q332" s="588"/>
      <c r="R332" s="604"/>
      <c r="S332" s="605"/>
      <c r="T332" s="606"/>
      <c r="U332" s="606"/>
      <c r="V332" s="429" t="str">
        <f t="shared" si="437"/>
        <v/>
      </c>
      <c r="W332" s="430" t="str">
        <f t="shared" si="436"/>
        <v/>
      </c>
      <c r="X332" s="66" t="str">
        <f>IF(AND(ISNUMBER(P332),N332=FixedDim),MAX('Adjustment factors'!$S$16,0.2+0.8*P332),IF(ISTEXT(N332),VLOOKUP(N332,Afactors,2,TRUE),""))</f>
        <v/>
      </c>
      <c r="Y332" s="17" t="str">
        <f>IF(AND(ISNUMBER(S332),Q332=FixedDim),MAX('Adjustment factors'!$S$16,0.2+0.8*S332),IF(ISTEXT(Q332),VLOOKUP(Q332,Afactors,2,TRUE),""))</f>
        <v/>
      </c>
      <c r="Z332" s="297" t="str">
        <f>IF(ISBLANK(T332),"",VLOOKUP(T332,'Adjustment factors'!$R$27:$S$30,2,TRUE))</f>
        <v/>
      </c>
      <c r="AA332" s="297" t="str">
        <f>IF(ISBLANK(U332),"",VLOOKUP(U332,'Adjustment factors'!$R$27:$S$30,2,TRUE))</f>
        <v/>
      </c>
      <c r="AB332" s="480">
        <f t="shared" si="382"/>
        <v>1</v>
      </c>
      <c r="AC332" s="18" t="b">
        <f t="shared" si="339"/>
        <v>0</v>
      </c>
      <c r="AD332" s="18" t="b">
        <f t="shared" si="340"/>
        <v>0</v>
      </c>
      <c r="AE332" s="18" t="b">
        <f t="shared" si="433"/>
        <v>0</v>
      </c>
      <c r="AF332" s="17" t="str">
        <f t="shared" si="341"/>
        <v/>
      </c>
      <c r="AG332" s="18" t="str">
        <f t="shared" si="342"/>
        <v/>
      </c>
      <c r="AH332" s="17" t="str">
        <f t="shared" si="434"/>
        <v/>
      </c>
      <c r="AI332" s="297" t="e">
        <f t="shared" si="383"/>
        <v>#VALUE!</v>
      </c>
      <c r="AJ332" s="79" t="e">
        <f t="shared" si="343"/>
        <v>#VALUE!</v>
      </c>
      <c r="AK332" s="17" t="str">
        <f t="shared" si="435"/>
        <v/>
      </c>
      <c r="AL332" s="80" t="e">
        <f t="shared" si="344"/>
        <v>#VALUE!</v>
      </c>
      <c r="AM332" s="139" t="b">
        <f t="shared" si="345"/>
        <v>1</v>
      </c>
      <c r="AN332" s="139" t="b">
        <f>AND(COUNTA(E332)&gt;0,ISNUMBER(F332),OR(COUNT(G332:H332)=0,COUNT(G332:H332)=2,AND(ISNUMBER(G332),ISNUMBER(VALUE(LEFT(H332,SUM(LEN(H332)-LEN(SUBSTITUTE(H332,{"0","1","2","3","4","5","6","7","8","9","."},"")))))))),ISNUMBER(I332),ISTEXT(J332))</f>
        <v>0</v>
      </c>
      <c r="AO332" s="19" t="b">
        <f t="shared" si="346"/>
        <v>0</v>
      </c>
      <c r="AP332" s="19" t="b">
        <f t="shared" si="347"/>
        <v>1</v>
      </c>
      <c r="AQ332" s="19" t="b">
        <f>IF(AND(COUNTBLANK(E332:J332)=6,OR(AN333:AN$523)),NOT(AN332))</f>
        <v>0</v>
      </c>
      <c r="AR332" s="19" t="str">
        <f t="shared" si="348"/>
        <v/>
      </c>
      <c r="AS332" s="19" t="b">
        <f t="shared" si="349"/>
        <v>1</v>
      </c>
      <c r="AT332" s="19" t="str">
        <f t="shared" si="350"/>
        <v/>
      </c>
      <c r="AU332" s="19" t="b">
        <f t="shared" si="351"/>
        <v>1</v>
      </c>
      <c r="AV332" s="140" t="str">
        <f t="shared" si="417"/>
        <v/>
      </c>
      <c r="AW332" s="19" t="str">
        <f t="shared" si="352"/>
        <v/>
      </c>
      <c r="AX332" s="81">
        <f t="shared" si="353"/>
        <v>0</v>
      </c>
      <c r="AY332" s="81" t="str">
        <f t="shared" si="354"/>
        <v/>
      </c>
      <c r="AZ332" s="307" t="str">
        <f t="shared" si="384"/>
        <v/>
      </c>
      <c r="BA332" s="281" t="str">
        <f t="shared" si="418"/>
        <v/>
      </c>
      <c r="BB332" s="281" t="str">
        <f t="shared" si="419"/>
        <v/>
      </c>
      <c r="BC332" s="953"/>
      <c r="BD332" s="955"/>
      <c r="BE332" s="219" t="str">
        <f t="shared" si="355"/>
        <v>n/a</v>
      </c>
      <c r="BF332" s="215" t="b">
        <f t="shared" si="356"/>
        <v>0</v>
      </c>
      <c r="BG332" s="145" t="b">
        <f t="shared" si="357"/>
        <v>0</v>
      </c>
      <c r="BH332" s="145" t="b">
        <f t="shared" si="358"/>
        <v>0</v>
      </c>
      <c r="BI332" s="216" t="b">
        <f t="shared" si="359"/>
        <v>0</v>
      </c>
      <c r="BJ332" s="215" t="b">
        <f t="shared" si="360"/>
        <v>0</v>
      </c>
      <c r="BK332" s="145" t="b">
        <f t="shared" si="361"/>
        <v>0</v>
      </c>
      <c r="BL332" s="216" t="b">
        <f t="shared" si="362"/>
        <v>0</v>
      </c>
      <c r="BM332" s="217" t="str">
        <f t="shared" si="420"/>
        <v/>
      </c>
      <c r="BN332" s="146" t="str">
        <f t="shared" si="421"/>
        <v/>
      </c>
      <c r="BO332" s="147" t="str">
        <f t="shared" si="422"/>
        <v/>
      </c>
      <c r="BP332" s="148" t="str">
        <f t="shared" si="423"/>
        <v/>
      </c>
      <c r="BT332" s="50">
        <f t="shared" si="413"/>
        <v>309</v>
      </c>
      <c r="BU332" s="50" t="str">
        <f t="shared" si="438"/>
        <v>-</v>
      </c>
      <c r="BW332" s="333"/>
      <c r="BX332" s="333"/>
      <c r="BY332" s="333"/>
      <c r="BZ332" s="333"/>
      <c r="CA332" s="333"/>
      <c r="CB332" s="333"/>
      <c r="CC332" s="333"/>
      <c r="CD332" s="333"/>
      <c r="CE332" s="333"/>
      <c r="CF332" s="333"/>
      <c r="CG332" s="354">
        <f t="shared" si="363"/>
        <v>309</v>
      </c>
      <c r="CH332" s="613">
        <f t="shared" si="364"/>
        <v>0</v>
      </c>
      <c r="CI332" s="613">
        <f t="shared" si="365"/>
        <v>0</v>
      </c>
      <c r="CJ332" s="614" t="str">
        <f t="shared" si="366"/>
        <v/>
      </c>
      <c r="CK332" s="615" t="str">
        <f t="shared" si="367"/>
        <v/>
      </c>
      <c r="CL332" s="610" t="str">
        <f>IF(ISBLANK(H332),"",IF(AND(ISNUMBER(F332),ISNUMBER(G332),ISNUMBER(H332)),ROUND(F332/(H332*G332),2),ROUND(F332/(VALUE(LEFT(H332,SUM(LEN(H332)-LEN(SUBSTITUTE(H332,{"0","1","2","3","4","5","6","7","8","9","."},"")))))*G332),2)))</f>
        <v/>
      </c>
      <c r="CM332" s="616" t="str">
        <f t="shared" si="424"/>
        <v/>
      </c>
      <c r="CN332" s="616" t="str">
        <f>IF(ISNUMBER(P332),MAX('Adjustment factors'!$S$16,(0.2+0.8*P332)),IF(ISTEXT(N332),VLOOKUP(N332,Afactors,2,FALSE),""))</f>
        <v/>
      </c>
      <c r="CO332" s="616" t="str">
        <f>IF(ISNUMBER(S332),MAX('Adjustment factors'!$S$16,0.2+0.8*S332),IF(ISTEXT(Q332),VLOOKUP(Q332,Afactors,2,FALSE),""))</f>
        <v/>
      </c>
      <c r="CP332" s="611" t="str">
        <f t="shared" si="385"/>
        <v/>
      </c>
      <c r="CQ332" s="612" t="str">
        <f t="shared" si="386"/>
        <v/>
      </c>
      <c r="CR332" s="340"/>
      <c r="CS332" s="340"/>
      <c r="CT332" s="340"/>
      <c r="CU332" s="340"/>
      <c r="CV332" s="333"/>
      <c r="CW332" s="333"/>
      <c r="CX332" s="333"/>
      <c r="CY332" s="333"/>
      <c r="DA332" s="313" t="str">
        <f t="shared" si="368"/>
        <v>OK</v>
      </c>
      <c r="DB332" s="313" t="str">
        <f t="shared" si="369"/>
        <v>OK</v>
      </c>
      <c r="DC332" s="313" t="str">
        <f t="shared" si="370"/>
        <v>OK</v>
      </c>
      <c r="DD332" s="313" t="str">
        <f t="shared" si="371"/>
        <v>OK</v>
      </c>
      <c r="DE332" s="153" t="str">
        <f t="shared" si="372"/>
        <v>OK</v>
      </c>
      <c r="DF332" s="314" t="str">
        <f t="shared" si="373"/>
        <v>OK</v>
      </c>
      <c r="DG332" s="482" t="str">
        <f t="shared" si="387"/>
        <v>OK</v>
      </c>
      <c r="DH332" s="482" t="str">
        <f>IF(OR(AND(T332='Adjustment factors'!$R$28,'Class 3, 5-9'!U332='Adjustment factors'!$R$29),AND('Class 3, 5-9'!T332='Adjustment factors'!$R$29,'Class 3, 5-9'!U332='Adjustment factors'!$R$28)),"Invalid combination of adjustment factors",IF(AND(T332=U332,NOT(ISBLANK(T332)),NOT(ISBLANK(U332))),"Same colour factor selected twice","OK"))</f>
        <v>OK</v>
      </c>
      <c r="DI332" s="313" t="str">
        <f t="shared" si="374"/>
        <v>OK</v>
      </c>
      <c r="DJ332" s="153" t="str">
        <f t="shared" si="425"/>
        <v>OK</v>
      </c>
      <c r="DK332" s="153" t="str">
        <f t="shared" si="375"/>
        <v>OK</v>
      </c>
      <c r="DL332" s="313" t="str">
        <f t="shared" si="376"/>
        <v>OK</v>
      </c>
      <c r="DM332" s="153" t="str">
        <f t="shared" si="377"/>
        <v>OK</v>
      </c>
      <c r="DN332" s="153" t="str">
        <f t="shared" si="426"/>
        <v>OK</v>
      </c>
      <c r="DO332" s="154" t="str">
        <f t="shared" si="427"/>
        <v>OK</v>
      </c>
      <c r="DP332" s="153" t="str">
        <f t="shared" si="378"/>
        <v>OK</v>
      </c>
      <c r="DQ332" s="313" t="str">
        <f t="shared" si="379"/>
        <v>OK</v>
      </c>
      <c r="DR332" s="153" t="str">
        <f t="shared" si="428"/>
        <v>OK</v>
      </c>
      <c r="DS332" s="153" t="str">
        <f t="shared" si="380"/>
        <v>OK</v>
      </c>
      <c r="DT332" s="313" t="str">
        <f t="shared" si="414"/>
        <v>OK</v>
      </c>
      <c r="DU332" s="153" t="str">
        <f t="shared" si="381"/>
        <v>OK</v>
      </c>
      <c r="DV332" s="153" t="str">
        <f t="shared" si="429"/>
        <v>OK</v>
      </c>
      <c r="DW332" s="154" t="str">
        <f t="shared" si="430"/>
        <v>OK</v>
      </c>
      <c r="DX332" s="157">
        <f t="shared" si="431"/>
        <v>0</v>
      </c>
      <c r="DY332" s="156" t="str">
        <f t="shared" si="432"/>
        <v>OK</v>
      </c>
    </row>
    <row r="333" spans="1:129" ht="13" hidden="1" x14ac:dyDescent="0.3">
      <c r="A333" s="333"/>
      <c r="B333" s="333"/>
      <c r="C333" s="331" t="str">
        <f t="shared" si="415"/>
        <v>-</v>
      </c>
      <c r="D333" s="584">
        <f t="shared" si="412"/>
        <v>310</v>
      </c>
      <c r="E333" s="585"/>
      <c r="F333" s="586"/>
      <c r="G333" s="600"/>
      <c r="H333" s="587"/>
      <c r="I333" s="601"/>
      <c r="J333" s="585"/>
      <c r="K333" s="617"/>
      <c r="L333" s="602"/>
      <c r="M333" s="603"/>
      <c r="N333" s="588"/>
      <c r="O333" s="604"/>
      <c r="P333" s="605"/>
      <c r="Q333" s="588"/>
      <c r="R333" s="604"/>
      <c r="S333" s="605"/>
      <c r="T333" s="606"/>
      <c r="U333" s="606"/>
      <c r="V333" s="429" t="str">
        <f t="shared" si="437"/>
        <v/>
      </c>
      <c r="W333" s="430" t="str">
        <f t="shared" si="436"/>
        <v/>
      </c>
      <c r="X333" s="66" t="str">
        <f>IF(AND(ISNUMBER(P333),N333=FixedDim),MAX('Adjustment factors'!$S$16,0.2+0.8*P333),IF(ISTEXT(N333),VLOOKUP(N333,Afactors,2,TRUE),""))</f>
        <v/>
      </c>
      <c r="Y333" s="17" t="str">
        <f>IF(AND(ISNUMBER(S333),Q333=FixedDim),MAX('Adjustment factors'!$S$16,0.2+0.8*S333),IF(ISTEXT(Q333),VLOOKUP(Q333,Afactors,2,TRUE),""))</f>
        <v/>
      </c>
      <c r="Z333" s="297" t="str">
        <f>IF(ISBLANK(T333),"",VLOOKUP(T333,'Adjustment factors'!$R$27:$S$30,2,TRUE))</f>
        <v/>
      </c>
      <c r="AA333" s="297" t="str">
        <f>IF(ISBLANK(U333),"",VLOOKUP(U333,'Adjustment factors'!$R$27:$S$30,2,TRUE))</f>
        <v/>
      </c>
      <c r="AB333" s="480">
        <f t="shared" si="382"/>
        <v>1</v>
      </c>
      <c r="AC333" s="18" t="b">
        <f t="shared" si="339"/>
        <v>0</v>
      </c>
      <c r="AD333" s="18" t="b">
        <f t="shared" si="340"/>
        <v>0</v>
      </c>
      <c r="AE333" s="18" t="b">
        <f t="shared" si="433"/>
        <v>0</v>
      </c>
      <c r="AF333" s="17" t="str">
        <f t="shared" si="341"/>
        <v/>
      </c>
      <c r="AG333" s="18" t="str">
        <f t="shared" si="342"/>
        <v/>
      </c>
      <c r="AH333" s="17" t="str">
        <f t="shared" si="434"/>
        <v/>
      </c>
      <c r="AI333" s="297" t="e">
        <f t="shared" si="383"/>
        <v>#VALUE!</v>
      </c>
      <c r="AJ333" s="79" t="e">
        <f t="shared" si="343"/>
        <v>#VALUE!</v>
      </c>
      <c r="AK333" s="17" t="str">
        <f t="shared" si="435"/>
        <v/>
      </c>
      <c r="AL333" s="80" t="e">
        <f t="shared" si="344"/>
        <v>#VALUE!</v>
      </c>
      <c r="AM333" s="139" t="b">
        <f t="shared" si="345"/>
        <v>1</v>
      </c>
      <c r="AN333" s="139" t="b">
        <f>AND(COUNTA(E333)&gt;0,ISNUMBER(F333),OR(COUNT(G333:H333)=0,COUNT(G333:H333)=2,AND(ISNUMBER(G333),ISNUMBER(VALUE(LEFT(H333,SUM(LEN(H333)-LEN(SUBSTITUTE(H333,{"0","1","2","3","4","5","6","7","8","9","."},"")))))))),ISNUMBER(I333),ISTEXT(J333))</f>
        <v>0</v>
      </c>
      <c r="AO333" s="19" t="b">
        <f t="shared" si="346"/>
        <v>0</v>
      </c>
      <c r="AP333" s="19" t="b">
        <f t="shared" si="347"/>
        <v>1</v>
      </c>
      <c r="AQ333" s="19" t="b">
        <f>IF(AND(COUNTBLANK(E333:J333)=6,OR(AN334:AN$523)),NOT(AN333))</f>
        <v>0</v>
      </c>
      <c r="AR333" s="19" t="str">
        <f t="shared" si="348"/>
        <v/>
      </c>
      <c r="AS333" s="19" t="b">
        <f t="shared" si="349"/>
        <v>1</v>
      </c>
      <c r="AT333" s="19" t="str">
        <f t="shared" si="350"/>
        <v/>
      </c>
      <c r="AU333" s="19" t="b">
        <f t="shared" si="351"/>
        <v>1</v>
      </c>
      <c r="AV333" s="140" t="str">
        <f t="shared" si="417"/>
        <v/>
      </c>
      <c r="AW333" s="19" t="str">
        <f t="shared" si="352"/>
        <v/>
      </c>
      <c r="AX333" s="81">
        <f t="shared" si="353"/>
        <v>0</v>
      </c>
      <c r="AY333" s="81" t="str">
        <f t="shared" si="354"/>
        <v/>
      </c>
      <c r="AZ333" s="307" t="str">
        <f t="shared" si="384"/>
        <v/>
      </c>
      <c r="BA333" s="281" t="str">
        <f t="shared" si="418"/>
        <v/>
      </c>
      <c r="BB333" s="281" t="str">
        <f t="shared" si="419"/>
        <v/>
      </c>
      <c r="BC333" s="953"/>
      <c r="BD333" s="955"/>
      <c r="BE333" s="219" t="str">
        <f t="shared" si="355"/>
        <v>n/a</v>
      </c>
      <c r="BF333" s="215" t="b">
        <f t="shared" si="356"/>
        <v>0</v>
      </c>
      <c r="BG333" s="145" t="b">
        <f t="shared" si="357"/>
        <v>0</v>
      </c>
      <c r="BH333" s="145" t="b">
        <f t="shared" si="358"/>
        <v>0</v>
      </c>
      <c r="BI333" s="216" t="b">
        <f t="shared" si="359"/>
        <v>0</v>
      </c>
      <c r="BJ333" s="215" t="b">
        <f t="shared" si="360"/>
        <v>0</v>
      </c>
      <c r="BK333" s="145" t="b">
        <f t="shared" si="361"/>
        <v>0</v>
      </c>
      <c r="BL333" s="216" t="b">
        <f t="shared" si="362"/>
        <v>0</v>
      </c>
      <c r="BM333" s="217" t="str">
        <f t="shared" si="420"/>
        <v/>
      </c>
      <c r="BN333" s="146" t="str">
        <f t="shared" si="421"/>
        <v/>
      </c>
      <c r="BO333" s="147" t="str">
        <f t="shared" si="422"/>
        <v/>
      </c>
      <c r="BP333" s="148" t="str">
        <f t="shared" si="423"/>
        <v/>
      </c>
      <c r="BT333" s="50">
        <f t="shared" si="413"/>
        <v>310</v>
      </c>
      <c r="BU333" s="50" t="str">
        <f>IF(RowsPreferredOne&gt;=BT333,RowsPreferredOne,"-")</f>
        <v>-</v>
      </c>
      <c r="BW333" s="333"/>
      <c r="BX333" s="333"/>
      <c r="BY333" s="333"/>
      <c r="BZ333" s="333"/>
      <c r="CA333" s="333"/>
      <c r="CB333" s="333"/>
      <c r="CC333" s="333"/>
      <c r="CD333" s="333"/>
      <c r="CE333" s="333"/>
      <c r="CF333" s="333"/>
      <c r="CG333" s="354">
        <f t="shared" si="363"/>
        <v>310</v>
      </c>
      <c r="CH333" s="613">
        <f t="shared" si="364"/>
        <v>0</v>
      </c>
      <c r="CI333" s="613">
        <f t="shared" si="365"/>
        <v>0</v>
      </c>
      <c r="CJ333" s="614" t="str">
        <f t="shared" si="366"/>
        <v/>
      </c>
      <c r="CK333" s="615" t="str">
        <f t="shared" si="367"/>
        <v/>
      </c>
      <c r="CL333" s="610" t="str">
        <f>IF(ISBLANK(H333),"",IF(AND(ISNUMBER(F333),ISNUMBER(G333),ISNUMBER(H333)),ROUND(F333/(H333*G333),2),ROUND(F333/(VALUE(LEFT(H333,SUM(LEN(H333)-LEN(SUBSTITUTE(H333,{"0","1","2","3","4","5","6","7","8","9","."},"")))))*G333),2)))</f>
        <v/>
      </c>
      <c r="CM333" s="616" t="str">
        <f t="shared" si="424"/>
        <v/>
      </c>
      <c r="CN333" s="616" t="str">
        <f>IF(ISNUMBER(P333),MAX('Adjustment factors'!$S$16,(0.2+0.8*P333)),IF(ISTEXT(N333),VLOOKUP(N333,Afactors,2,FALSE),""))</f>
        <v/>
      </c>
      <c r="CO333" s="616" t="str">
        <f>IF(ISNUMBER(S333),MAX('Adjustment factors'!$S$16,0.2+0.8*S333),IF(ISTEXT(Q333),VLOOKUP(Q333,Afactors,2,FALSE),""))</f>
        <v/>
      </c>
      <c r="CP333" s="611" t="str">
        <f t="shared" si="385"/>
        <v/>
      </c>
      <c r="CQ333" s="612" t="str">
        <f t="shared" si="386"/>
        <v/>
      </c>
      <c r="CR333" s="340"/>
      <c r="CS333" s="340"/>
      <c r="CT333" s="340"/>
      <c r="CU333" s="340"/>
      <c r="CV333" s="333"/>
      <c r="CW333" s="333"/>
      <c r="CX333" s="333"/>
      <c r="CY333" s="333"/>
      <c r="DA333" s="313" t="str">
        <f t="shared" si="368"/>
        <v>OK</v>
      </c>
      <c r="DB333" s="313" t="str">
        <f t="shared" si="369"/>
        <v>OK</v>
      </c>
      <c r="DC333" s="313" t="str">
        <f t="shared" si="370"/>
        <v>OK</v>
      </c>
      <c r="DD333" s="313" t="str">
        <f t="shared" si="371"/>
        <v>OK</v>
      </c>
      <c r="DE333" s="153" t="str">
        <f t="shared" si="372"/>
        <v>OK</v>
      </c>
      <c r="DF333" s="314" t="str">
        <f t="shared" si="373"/>
        <v>OK</v>
      </c>
      <c r="DG333" s="482" t="str">
        <f t="shared" si="387"/>
        <v>OK</v>
      </c>
      <c r="DH333" s="482" t="str">
        <f>IF(OR(AND(T333='Adjustment factors'!$R$28,'Class 3, 5-9'!U333='Adjustment factors'!$R$29),AND('Class 3, 5-9'!T333='Adjustment factors'!$R$29,'Class 3, 5-9'!U333='Adjustment factors'!$R$28)),"Invalid combination of adjustment factors",IF(AND(T333=U333,NOT(ISBLANK(T333)),NOT(ISBLANK(U333))),"Same colour factor selected twice","OK"))</f>
        <v>OK</v>
      </c>
      <c r="DI333" s="313" t="str">
        <f t="shared" si="374"/>
        <v>OK</v>
      </c>
      <c r="DJ333" s="153" t="str">
        <f t="shared" si="425"/>
        <v>OK</v>
      </c>
      <c r="DK333" s="153" t="str">
        <f t="shared" si="375"/>
        <v>OK</v>
      </c>
      <c r="DL333" s="313" t="str">
        <f t="shared" si="376"/>
        <v>OK</v>
      </c>
      <c r="DM333" s="153" t="str">
        <f t="shared" si="377"/>
        <v>OK</v>
      </c>
      <c r="DN333" s="153" t="str">
        <f t="shared" si="426"/>
        <v>OK</v>
      </c>
      <c r="DO333" s="154" t="str">
        <f t="shared" si="427"/>
        <v>OK</v>
      </c>
      <c r="DP333" s="153" t="str">
        <f t="shared" si="378"/>
        <v>OK</v>
      </c>
      <c r="DQ333" s="313" t="str">
        <f t="shared" si="379"/>
        <v>OK</v>
      </c>
      <c r="DR333" s="153" t="str">
        <f t="shared" si="428"/>
        <v>OK</v>
      </c>
      <c r="DS333" s="153" t="str">
        <f t="shared" si="380"/>
        <v>OK</v>
      </c>
      <c r="DT333" s="313" t="str">
        <f t="shared" si="414"/>
        <v>OK</v>
      </c>
      <c r="DU333" s="153" t="str">
        <f t="shared" si="381"/>
        <v>OK</v>
      </c>
      <c r="DV333" s="153" t="str">
        <f t="shared" si="429"/>
        <v>OK</v>
      </c>
      <c r="DW333" s="154" t="str">
        <f t="shared" si="430"/>
        <v>OK</v>
      </c>
      <c r="DX333" s="157">
        <f t="shared" si="431"/>
        <v>0</v>
      </c>
      <c r="DY333" s="156" t="str">
        <f t="shared" si="432"/>
        <v>OK</v>
      </c>
    </row>
    <row r="334" spans="1:129" ht="13" hidden="1" x14ac:dyDescent="0.3">
      <c r="A334" s="333"/>
      <c r="B334" s="333"/>
      <c r="C334" s="331" t="str">
        <f t="shared" si="415"/>
        <v>-</v>
      </c>
      <c r="D334" s="584">
        <f t="shared" si="412"/>
        <v>311</v>
      </c>
      <c r="E334" s="585"/>
      <c r="F334" s="586"/>
      <c r="G334" s="600"/>
      <c r="H334" s="587"/>
      <c r="I334" s="601"/>
      <c r="J334" s="585"/>
      <c r="K334" s="617"/>
      <c r="L334" s="602"/>
      <c r="M334" s="603"/>
      <c r="N334" s="588"/>
      <c r="O334" s="604"/>
      <c r="P334" s="605"/>
      <c r="Q334" s="588"/>
      <c r="R334" s="604"/>
      <c r="S334" s="605"/>
      <c r="T334" s="606"/>
      <c r="U334" s="606"/>
      <c r="V334" s="429" t="str">
        <f t="shared" si="437"/>
        <v/>
      </c>
      <c r="W334" s="430" t="str">
        <f t="shared" si="436"/>
        <v/>
      </c>
      <c r="X334" s="66" t="str">
        <f>IF(AND(ISNUMBER(P334),N334=FixedDim),MAX('Adjustment factors'!$S$16,0.2+0.8*P334),IF(ISTEXT(N334),VLOOKUP(N334,Afactors,2,TRUE),""))</f>
        <v/>
      </c>
      <c r="Y334" s="17" t="str">
        <f>IF(AND(ISNUMBER(S334),Q334=FixedDim),MAX('Adjustment factors'!$S$16,0.2+0.8*S334),IF(ISTEXT(Q334),VLOOKUP(Q334,Afactors,2,TRUE),""))</f>
        <v/>
      </c>
      <c r="Z334" s="297" t="str">
        <f>IF(ISBLANK(T334),"",VLOOKUP(T334,'Adjustment factors'!$R$27:$S$30,2,TRUE))</f>
        <v/>
      </c>
      <c r="AA334" s="297" t="str">
        <f>IF(ISBLANK(U334),"",VLOOKUP(U334,'Adjustment factors'!$R$27:$S$30,2,TRUE))</f>
        <v/>
      </c>
      <c r="AB334" s="480">
        <f t="shared" si="382"/>
        <v>1</v>
      </c>
      <c r="AC334" s="18" t="b">
        <f t="shared" si="339"/>
        <v>0</v>
      </c>
      <c r="AD334" s="18" t="b">
        <f t="shared" si="340"/>
        <v>0</v>
      </c>
      <c r="AE334" s="18" t="b">
        <f t="shared" si="433"/>
        <v>0</v>
      </c>
      <c r="AF334" s="17" t="str">
        <f t="shared" si="341"/>
        <v/>
      </c>
      <c r="AG334" s="18" t="str">
        <f t="shared" si="342"/>
        <v/>
      </c>
      <c r="AH334" s="17" t="str">
        <f t="shared" si="434"/>
        <v/>
      </c>
      <c r="AI334" s="297" t="e">
        <f t="shared" si="383"/>
        <v>#VALUE!</v>
      </c>
      <c r="AJ334" s="79" t="e">
        <f t="shared" si="343"/>
        <v>#VALUE!</v>
      </c>
      <c r="AK334" s="17" t="str">
        <f t="shared" si="435"/>
        <v/>
      </c>
      <c r="AL334" s="80" t="e">
        <f t="shared" si="344"/>
        <v>#VALUE!</v>
      </c>
      <c r="AM334" s="139" t="b">
        <f t="shared" si="345"/>
        <v>1</v>
      </c>
      <c r="AN334" s="139" t="b">
        <f>AND(COUNTA(E334)&gt;0,ISNUMBER(F334),OR(COUNT(G334:H334)=0,COUNT(G334:H334)=2,AND(ISNUMBER(G334),ISNUMBER(VALUE(LEFT(H334,SUM(LEN(H334)-LEN(SUBSTITUTE(H334,{"0","1","2","3","4","5","6","7","8","9","."},"")))))))),ISNUMBER(I334),ISTEXT(J334))</f>
        <v>0</v>
      </c>
      <c r="AO334" s="19" t="b">
        <f t="shared" si="346"/>
        <v>0</v>
      </c>
      <c r="AP334" s="19" t="b">
        <f t="shared" si="347"/>
        <v>1</v>
      </c>
      <c r="AQ334" s="19" t="b">
        <f>IF(AND(COUNTBLANK(E334:J334)=6,OR(AN335:AN$523)),NOT(AN334))</f>
        <v>0</v>
      </c>
      <c r="AR334" s="19" t="str">
        <f t="shared" si="348"/>
        <v/>
      </c>
      <c r="AS334" s="19" t="b">
        <f t="shared" si="349"/>
        <v>1</v>
      </c>
      <c r="AT334" s="19" t="str">
        <f t="shared" si="350"/>
        <v/>
      </c>
      <c r="AU334" s="19" t="b">
        <f t="shared" si="351"/>
        <v>1</v>
      </c>
      <c r="AV334" s="140" t="str">
        <f t="shared" si="417"/>
        <v/>
      </c>
      <c r="AW334" s="19" t="str">
        <f t="shared" si="352"/>
        <v/>
      </c>
      <c r="AX334" s="81">
        <f t="shared" si="353"/>
        <v>0</v>
      </c>
      <c r="AY334" s="81" t="str">
        <f t="shared" si="354"/>
        <v/>
      </c>
      <c r="AZ334" s="307" t="str">
        <f t="shared" si="384"/>
        <v/>
      </c>
      <c r="BA334" s="281" t="str">
        <f t="shared" si="418"/>
        <v/>
      </c>
      <c r="BB334" s="281" t="str">
        <f t="shared" si="419"/>
        <v/>
      </c>
      <c r="BC334" s="953"/>
      <c r="BD334" s="955"/>
      <c r="BE334" s="219" t="str">
        <f t="shared" si="355"/>
        <v>n/a</v>
      </c>
      <c r="BF334" s="215" t="b">
        <f t="shared" si="356"/>
        <v>0</v>
      </c>
      <c r="BG334" s="145" t="b">
        <f t="shared" si="357"/>
        <v>0</v>
      </c>
      <c r="BH334" s="145" t="b">
        <f t="shared" si="358"/>
        <v>0</v>
      </c>
      <c r="BI334" s="216" t="b">
        <f t="shared" si="359"/>
        <v>0</v>
      </c>
      <c r="BJ334" s="215" t="b">
        <f t="shared" si="360"/>
        <v>0</v>
      </c>
      <c r="BK334" s="145" t="b">
        <f t="shared" si="361"/>
        <v>0</v>
      </c>
      <c r="BL334" s="216" t="b">
        <f t="shared" si="362"/>
        <v>0</v>
      </c>
      <c r="BM334" s="217" t="str">
        <f t="shared" si="420"/>
        <v/>
      </c>
      <c r="BN334" s="146" t="str">
        <f t="shared" si="421"/>
        <v/>
      </c>
      <c r="BO334" s="147" t="str">
        <f t="shared" si="422"/>
        <v/>
      </c>
      <c r="BP334" s="148" t="str">
        <f t="shared" si="423"/>
        <v/>
      </c>
      <c r="BT334" s="50">
        <f t="shared" si="413"/>
        <v>311</v>
      </c>
      <c r="BU334" s="50" t="str">
        <f t="shared" ref="BU334:BU397" si="439">IF(RowsPreferredOne&gt;=BT334,RowsPreferredOne,"-")</f>
        <v>-</v>
      </c>
      <c r="BW334" s="333"/>
      <c r="BX334" s="333"/>
      <c r="BY334" s="333"/>
      <c r="BZ334" s="333"/>
      <c r="CA334" s="333"/>
      <c r="CB334" s="333"/>
      <c r="CC334" s="333"/>
      <c r="CD334" s="333"/>
      <c r="CE334" s="333"/>
      <c r="CF334" s="333"/>
      <c r="CG334" s="354">
        <f t="shared" si="363"/>
        <v>311</v>
      </c>
      <c r="CH334" s="613">
        <f t="shared" si="364"/>
        <v>0</v>
      </c>
      <c r="CI334" s="613">
        <f t="shared" si="365"/>
        <v>0</v>
      </c>
      <c r="CJ334" s="614" t="str">
        <f t="shared" si="366"/>
        <v/>
      </c>
      <c r="CK334" s="615" t="str">
        <f t="shared" si="367"/>
        <v/>
      </c>
      <c r="CL334" s="610" t="str">
        <f>IF(ISBLANK(H334),"",IF(AND(ISNUMBER(F334),ISNUMBER(G334),ISNUMBER(H334)),ROUND(F334/(H334*G334),2),ROUND(F334/(VALUE(LEFT(H334,SUM(LEN(H334)-LEN(SUBSTITUTE(H334,{"0","1","2","3","4","5","6","7","8","9","."},"")))))*G334),2)))</f>
        <v/>
      </c>
      <c r="CM334" s="616" t="str">
        <f t="shared" si="424"/>
        <v/>
      </c>
      <c r="CN334" s="616" t="str">
        <f>IF(ISNUMBER(P334),MAX('Adjustment factors'!$S$16,(0.2+0.8*P334)),IF(ISTEXT(N334),VLOOKUP(N334,Afactors,2,FALSE),""))</f>
        <v/>
      </c>
      <c r="CO334" s="616" t="str">
        <f>IF(ISNUMBER(S334),MAX('Adjustment factors'!$S$16,0.2+0.8*S334),IF(ISTEXT(Q334),VLOOKUP(Q334,Afactors,2,FALSE),""))</f>
        <v/>
      </c>
      <c r="CP334" s="611" t="str">
        <f t="shared" si="385"/>
        <v/>
      </c>
      <c r="CQ334" s="612" t="str">
        <f t="shared" si="386"/>
        <v/>
      </c>
      <c r="CR334" s="340"/>
      <c r="CS334" s="340"/>
      <c r="CT334" s="340"/>
      <c r="CU334" s="340"/>
      <c r="CV334" s="333"/>
      <c r="CW334" s="333"/>
      <c r="CX334" s="333"/>
      <c r="CY334" s="333"/>
      <c r="DA334" s="313" t="str">
        <f t="shared" si="368"/>
        <v>OK</v>
      </c>
      <c r="DB334" s="313" t="str">
        <f t="shared" si="369"/>
        <v>OK</v>
      </c>
      <c r="DC334" s="313" t="str">
        <f t="shared" si="370"/>
        <v>OK</v>
      </c>
      <c r="DD334" s="313" t="str">
        <f t="shared" si="371"/>
        <v>OK</v>
      </c>
      <c r="DE334" s="153" t="str">
        <f t="shared" si="372"/>
        <v>OK</v>
      </c>
      <c r="DF334" s="314" t="str">
        <f t="shared" si="373"/>
        <v>OK</v>
      </c>
      <c r="DG334" s="482" t="str">
        <f t="shared" si="387"/>
        <v>OK</v>
      </c>
      <c r="DH334" s="482" t="str">
        <f>IF(OR(AND(T334='Adjustment factors'!$R$28,'Class 3, 5-9'!U334='Adjustment factors'!$R$29),AND('Class 3, 5-9'!T334='Adjustment factors'!$R$29,'Class 3, 5-9'!U334='Adjustment factors'!$R$28)),"Invalid combination of adjustment factors",IF(AND(T334=U334,NOT(ISBLANK(T334)),NOT(ISBLANK(U334))),"Same colour factor selected twice","OK"))</f>
        <v>OK</v>
      </c>
      <c r="DI334" s="313" t="str">
        <f t="shared" si="374"/>
        <v>OK</v>
      </c>
      <c r="DJ334" s="153" t="str">
        <f t="shared" si="425"/>
        <v>OK</v>
      </c>
      <c r="DK334" s="153" t="str">
        <f t="shared" si="375"/>
        <v>OK</v>
      </c>
      <c r="DL334" s="313" t="str">
        <f t="shared" si="376"/>
        <v>OK</v>
      </c>
      <c r="DM334" s="153" t="str">
        <f t="shared" si="377"/>
        <v>OK</v>
      </c>
      <c r="DN334" s="153" t="str">
        <f t="shared" si="426"/>
        <v>OK</v>
      </c>
      <c r="DO334" s="154" t="str">
        <f t="shared" si="427"/>
        <v>OK</v>
      </c>
      <c r="DP334" s="153" t="str">
        <f t="shared" si="378"/>
        <v>OK</v>
      </c>
      <c r="DQ334" s="313" t="str">
        <f t="shared" si="379"/>
        <v>OK</v>
      </c>
      <c r="DR334" s="153" t="str">
        <f t="shared" si="428"/>
        <v>OK</v>
      </c>
      <c r="DS334" s="153" t="str">
        <f t="shared" si="380"/>
        <v>OK</v>
      </c>
      <c r="DT334" s="313" t="str">
        <f t="shared" si="414"/>
        <v>OK</v>
      </c>
      <c r="DU334" s="153" t="str">
        <f t="shared" si="381"/>
        <v>OK</v>
      </c>
      <c r="DV334" s="153" t="str">
        <f t="shared" si="429"/>
        <v>OK</v>
      </c>
      <c r="DW334" s="154" t="str">
        <f t="shared" si="430"/>
        <v>OK</v>
      </c>
      <c r="DX334" s="157">
        <f t="shared" si="431"/>
        <v>0</v>
      </c>
      <c r="DY334" s="156" t="str">
        <f t="shared" si="432"/>
        <v>OK</v>
      </c>
    </row>
    <row r="335" spans="1:129" ht="13" hidden="1" x14ac:dyDescent="0.3">
      <c r="A335" s="333"/>
      <c r="B335" s="333"/>
      <c r="C335" s="331" t="str">
        <f>BU335</f>
        <v>-</v>
      </c>
      <c r="D335" s="584">
        <f t="shared" si="412"/>
        <v>312</v>
      </c>
      <c r="E335" s="585"/>
      <c r="F335" s="586"/>
      <c r="G335" s="600"/>
      <c r="H335" s="587"/>
      <c r="I335" s="601"/>
      <c r="J335" s="585"/>
      <c r="K335" s="617"/>
      <c r="L335" s="602"/>
      <c r="M335" s="603"/>
      <c r="N335" s="588"/>
      <c r="O335" s="604"/>
      <c r="P335" s="605"/>
      <c r="Q335" s="588"/>
      <c r="R335" s="604"/>
      <c r="S335" s="605"/>
      <c r="T335" s="606"/>
      <c r="U335" s="606"/>
      <c r="V335" s="429" t="str">
        <f t="shared" si="437"/>
        <v/>
      </c>
      <c r="W335" s="430" t="str">
        <f t="shared" si="436"/>
        <v/>
      </c>
      <c r="X335" s="66" t="str">
        <f>IF(AND(ISNUMBER(P335),N335=FixedDim),MAX('Adjustment factors'!$S$16,0.2+0.8*P335),IF(ISTEXT(N335),VLOOKUP(N335,Afactors,2,TRUE),""))</f>
        <v/>
      </c>
      <c r="Y335" s="17" t="str">
        <f>IF(AND(ISNUMBER(S335),Q335=FixedDim),MAX('Adjustment factors'!$S$16,0.2+0.8*S335),IF(ISTEXT(Q335),VLOOKUP(Q335,Afactors,2,TRUE),""))</f>
        <v/>
      </c>
      <c r="Z335" s="297" t="str">
        <f>IF(ISBLANK(T335),"",VLOOKUP(T335,'Adjustment factors'!$R$27:$S$30,2,TRUE))</f>
        <v/>
      </c>
      <c r="AA335" s="297" t="str">
        <f>IF(ISBLANK(U335),"",VLOOKUP(U335,'Adjustment factors'!$R$27:$S$30,2,TRUE))</f>
        <v/>
      </c>
      <c r="AB335" s="480">
        <f t="shared" si="382"/>
        <v>1</v>
      </c>
      <c r="AC335" s="18" t="b">
        <f t="shared" si="339"/>
        <v>0</v>
      </c>
      <c r="AD335" s="18" t="b">
        <f t="shared" si="340"/>
        <v>0</v>
      </c>
      <c r="AE335" s="18" t="b">
        <f t="shared" si="433"/>
        <v>0</v>
      </c>
      <c r="AF335" s="17" t="str">
        <f t="shared" si="341"/>
        <v/>
      </c>
      <c r="AG335" s="18" t="str">
        <f t="shared" si="342"/>
        <v/>
      </c>
      <c r="AH335" s="17" t="str">
        <f t="shared" si="434"/>
        <v/>
      </c>
      <c r="AI335" s="297" t="e">
        <f t="shared" si="383"/>
        <v>#VALUE!</v>
      </c>
      <c r="AJ335" s="79" t="e">
        <f t="shared" si="343"/>
        <v>#VALUE!</v>
      </c>
      <c r="AK335" s="17" t="str">
        <f t="shared" si="435"/>
        <v/>
      </c>
      <c r="AL335" s="80" t="e">
        <f t="shared" si="344"/>
        <v>#VALUE!</v>
      </c>
      <c r="AM335" s="139" t="b">
        <f t="shared" si="345"/>
        <v>1</v>
      </c>
      <c r="AN335" s="139" t="b">
        <f>AND(COUNTA(E335)&gt;0,ISNUMBER(F335),OR(COUNT(G335:H335)=0,COUNT(G335:H335)=2,AND(ISNUMBER(G335),ISNUMBER(VALUE(LEFT(H335,SUM(LEN(H335)-LEN(SUBSTITUTE(H335,{"0","1","2","3","4","5","6","7","8","9","."},"")))))))),ISNUMBER(I335),ISTEXT(J335))</f>
        <v>0</v>
      </c>
      <c r="AO335" s="19" t="b">
        <f t="shared" si="346"/>
        <v>0</v>
      </c>
      <c r="AP335" s="19" t="b">
        <f t="shared" si="347"/>
        <v>1</v>
      </c>
      <c r="AQ335" s="19" t="b">
        <f>IF(AND(COUNTBLANK(E335:J335)=6,OR(AN336:AN$523)),NOT(AN335))</f>
        <v>0</v>
      </c>
      <c r="AR335" s="19" t="str">
        <f t="shared" si="348"/>
        <v/>
      </c>
      <c r="AS335" s="19" t="b">
        <f t="shared" si="349"/>
        <v>1</v>
      </c>
      <c r="AT335" s="19" t="str">
        <f t="shared" si="350"/>
        <v/>
      </c>
      <c r="AU335" s="19" t="b">
        <f t="shared" si="351"/>
        <v>1</v>
      </c>
      <c r="AV335" s="140" t="str">
        <f t="shared" si="417"/>
        <v/>
      </c>
      <c r="AW335" s="19" t="str">
        <f t="shared" si="352"/>
        <v/>
      </c>
      <c r="AX335" s="81">
        <f t="shared" si="353"/>
        <v>0</v>
      </c>
      <c r="AY335" s="81" t="str">
        <f t="shared" si="354"/>
        <v/>
      </c>
      <c r="AZ335" s="307" t="str">
        <f t="shared" si="384"/>
        <v/>
      </c>
      <c r="BA335" s="281" t="str">
        <f t="shared" si="418"/>
        <v/>
      </c>
      <c r="BB335" s="281" t="str">
        <f t="shared" si="419"/>
        <v/>
      </c>
      <c r="BC335" s="953"/>
      <c r="BD335" s="955"/>
      <c r="BE335" s="219" t="str">
        <f t="shared" si="355"/>
        <v>n/a</v>
      </c>
      <c r="BF335" s="215" t="b">
        <f t="shared" si="356"/>
        <v>0</v>
      </c>
      <c r="BG335" s="145" t="b">
        <f t="shared" si="357"/>
        <v>0</v>
      </c>
      <c r="BH335" s="145" t="b">
        <f t="shared" si="358"/>
        <v>0</v>
      </c>
      <c r="BI335" s="216" t="b">
        <f t="shared" si="359"/>
        <v>0</v>
      </c>
      <c r="BJ335" s="215" t="b">
        <f t="shared" si="360"/>
        <v>0</v>
      </c>
      <c r="BK335" s="145" t="b">
        <f t="shared" si="361"/>
        <v>0</v>
      </c>
      <c r="BL335" s="216" t="b">
        <f t="shared" si="362"/>
        <v>0</v>
      </c>
      <c r="BM335" s="217" t="str">
        <f t="shared" si="420"/>
        <v/>
      </c>
      <c r="BN335" s="146" t="str">
        <f t="shared" si="421"/>
        <v/>
      </c>
      <c r="BO335" s="147" t="str">
        <f t="shared" si="422"/>
        <v/>
      </c>
      <c r="BP335" s="148" t="str">
        <f t="shared" si="423"/>
        <v/>
      </c>
      <c r="BT335" s="50">
        <f t="shared" si="413"/>
        <v>312</v>
      </c>
      <c r="BU335" s="50" t="str">
        <f t="shared" si="439"/>
        <v>-</v>
      </c>
      <c r="BW335" s="333"/>
      <c r="BX335" s="333"/>
      <c r="BY335" s="333"/>
      <c r="BZ335" s="333"/>
      <c r="CA335" s="333"/>
      <c r="CB335" s="333"/>
      <c r="CC335" s="333"/>
      <c r="CD335" s="333"/>
      <c r="CE335" s="333"/>
      <c r="CF335" s="333"/>
      <c r="CG335" s="354">
        <f t="shared" si="363"/>
        <v>312</v>
      </c>
      <c r="CH335" s="613">
        <f t="shared" si="364"/>
        <v>0</v>
      </c>
      <c r="CI335" s="613">
        <f t="shared" si="365"/>
        <v>0</v>
      </c>
      <c r="CJ335" s="614" t="str">
        <f t="shared" si="366"/>
        <v/>
      </c>
      <c r="CK335" s="615" t="str">
        <f t="shared" si="367"/>
        <v/>
      </c>
      <c r="CL335" s="610" t="str">
        <f>IF(ISBLANK(H335),"",IF(AND(ISNUMBER(F335),ISNUMBER(G335),ISNUMBER(H335)),ROUND(F335/(H335*G335),2),ROUND(F335/(VALUE(LEFT(H335,SUM(LEN(H335)-LEN(SUBSTITUTE(H335,{"0","1","2","3","4","5","6","7","8","9","."},"")))))*G335),2)))</f>
        <v/>
      </c>
      <c r="CM335" s="616" t="str">
        <f t="shared" si="424"/>
        <v/>
      </c>
      <c r="CN335" s="616" t="str">
        <f>IF(ISNUMBER(P335),MAX('Adjustment factors'!$S$16,(0.2+0.8*P335)),IF(ISTEXT(N335),VLOOKUP(N335,Afactors,2,FALSE),""))</f>
        <v/>
      </c>
      <c r="CO335" s="616" t="str">
        <f>IF(ISNUMBER(S335),MAX('Adjustment factors'!$S$16,0.2+0.8*S335),IF(ISTEXT(Q335),VLOOKUP(Q335,Afactors,2,FALSE),""))</f>
        <v/>
      </c>
      <c r="CP335" s="611" t="str">
        <f t="shared" si="385"/>
        <v/>
      </c>
      <c r="CQ335" s="612" t="str">
        <f t="shared" si="386"/>
        <v/>
      </c>
      <c r="CR335" s="340"/>
      <c r="CS335" s="340"/>
      <c r="CT335" s="340"/>
      <c r="CU335" s="340"/>
      <c r="CV335" s="333"/>
      <c r="CW335" s="333"/>
      <c r="CX335" s="333"/>
      <c r="CY335" s="333"/>
      <c r="DA335" s="313" t="str">
        <f t="shared" si="368"/>
        <v>OK</v>
      </c>
      <c r="DB335" s="313" t="str">
        <f t="shared" si="369"/>
        <v>OK</v>
      </c>
      <c r="DC335" s="313" t="str">
        <f t="shared" si="370"/>
        <v>OK</v>
      </c>
      <c r="DD335" s="313" t="str">
        <f t="shared" si="371"/>
        <v>OK</v>
      </c>
      <c r="DE335" s="153" t="str">
        <f t="shared" si="372"/>
        <v>OK</v>
      </c>
      <c r="DF335" s="314" t="str">
        <f t="shared" si="373"/>
        <v>OK</v>
      </c>
      <c r="DG335" s="482" t="str">
        <f t="shared" si="387"/>
        <v>OK</v>
      </c>
      <c r="DH335" s="482" t="str">
        <f>IF(OR(AND(T335='Adjustment factors'!$R$28,'Class 3, 5-9'!U335='Adjustment factors'!$R$29),AND('Class 3, 5-9'!T335='Adjustment factors'!$R$29,'Class 3, 5-9'!U335='Adjustment factors'!$R$28)),"Invalid combination of adjustment factors",IF(AND(T335=U335,NOT(ISBLANK(T335)),NOT(ISBLANK(U335))),"Same colour factor selected twice","OK"))</f>
        <v>OK</v>
      </c>
      <c r="DI335" s="313" t="str">
        <f t="shared" si="374"/>
        <v>OK</v>
      </c>
      <c r="DJ335" s="153" t="str">
        <f t="shared" si="425"/>
        <v>OK</v>
      </c>
      <c r="DK335" s="153" t="str">
        <f t="shared" si="375"/>
        <v>OK</v>
      </c>
      <c r="DL335" s="313" t="str">
        <f t="shared" si="376"/>
        <v>OK</v>
      </c>
      <c r="DM335" s="153" t="str">
        <f t="shared" si="377"/>
        <v>OK</v>
      </c>
      <c r="DN335" s="153" t="str">
        <f t="shared" si="426"/>
        <v>OK</v>
      </c>
      <c r="DO335" s="154" t="str">
        <f t="shared" si="427"/>
        <v>OK</v>
      </c>
      <c r="DP335" s="153" t="str">
        <f t="shared" si="378"/>
        <v>OK</v>
      </c>
      <c r="DQ335" s="313" t="str">
        <f t="shared" si="379"/>
        <v>OK</v>
      </c>
      <c r="DR335" s="153" t="str">
        <f t="shared" si="428"/>
        <v>OK</v>
      </c>
      <c r="DS335" s="153" t="str">
        <f t="shared" si="380"/>
        <v>OK</v>
      </c>
      <c r="DT335" s="313" t="str">
        <f t="shared" si="414"/>
        <v>OK</v>
      </c>
      <c r="DU335" s="153" t="str">
        <f t="shared" si="381"/>
        <v>OK</v>
      </c>
      <c r="DV335" s="153" t="str">
        <f t="shared" si="429"/>
        <v>OK</v>
      </c>
      <c r="DW335" s="154" t="str">
        <f t="shared" si="430"/>
        <v>OK</v>
      </c>
      <c r="DX335" s="157">
        <f t="shared" si="431"/>
        <v>0</v>
      </c>
      <c r="DY335" s="156" t="str">
        <f t="shared" si="432"/>
        <v>OK</v>
      </c>
    </row>
    <row r="336" spans="1:129" ht="13" hidden="1" x14ac:dyDescent="0.3">
      <c r="A336" s="333"/>
      <c r="B336" s="333"/>
      <c r="C336" s="331" t="str">
        <f t="shared" ref="C336:C399" si="440">BU336</f>
        <v>-</v>
      </c>
      <c r="D336" s="584">
        <f t="shared" si="412"/>
        <v>313</v>
      </c>
      <c r="E336" s="585"/>
      <c r="F336" s="586"/>
      <c r="G336" s="600"/>
      <c r="H336" s="587"/>
      <c r="I336" s="601"/>
      <c r="J336" s="585"/>
      <c r="K336" s="617"/>
      <c r="L336" s="602"/>
      <c r="M336" s="603"/>
      <c r="N336" s="588"/>
      <c r="O336" s="604"/>
      <c r="P336" s="605"/>
      <c r="Q336" s="588"/>
      <c r="R336" s="604"/>
      <c r="S336" s="605"/>
      <c r="T336" s="606"/>
      <c r="U336" s="606"/>
      <c r="V336" s="429" t="str">
        <f t="shared" si="437"/>
        <v/>
      </c>
      <c r="W336" s="430" t="str">
        <f t="shared" si="436"/>
        <v/>
      </c>
      <c r="X336" s="66" t="str">
        <f>IF(AND(ISNUMBER(P336),N336=FixedDim),MAX('Adjustment factors'!$S$16,0.2+0.8*P336),IF(ISTEXT(N336),VLOOKUP(N336,Afactors,2,TRUE),""))</f>
        <v/>
      </c>
      <c r="Y336" s="17" t="str">
        <f>IF(AND(ISNUMBER(S336),Q336=FixedDim),MAX('Adjustment factors'!$S$16,0.2+0.8*S336),IF(ISTEXT(Q336),VLOOKUP(Q336,Afactors,2,TRUE),""))</f>
        <v/>
      </c>
      <c r="Z336" s="297" t="str">
        <f>IF(ISBLANK(T336),"",VLOOKUP(T336,'Adjustment factors'!$R$27:$S$30,2,TRUE))</f>
        <v/>
      </c>
      <c r="AA336" s="297" t="str">
        <f>IF(ISBLANK(U336),"",VLOOKUP(U336,'Adjustment factors'!$R$27:$S$30,2,TRUE))</f>
        <v/>
      </c>
      <c r="AB336" s="480">
        <f t="shared" si="382"/>
        <v>1</v>
      </c>
      <c r="AC336" s="18" t="b">
        <f t="shared" si="339"/>
        <v>0</v>
      </c>
      <c r="AD336" s="18" t="b">
        <f t="shared" si="340"/>
        <v>0</v>
      </c>
      <c r="AE336" s="18" t="b">
        <f t="shared" si="433"/>
        <v>0</v>
      </c>
      <c r="AF336" s="17" t="str">
        <f t="shared" si="341"/>
        <v/>
      </c>
      <c r="AG336" s="18" t="str">
        <f t="shared" si="342"/>
        <v/>
      </c>
      <c r="AH336" s="17" t="str">
        <f t="shared" si="434"/>
        <v/>
      </c>
      <c r="AI336" s="297" t="e">
        <f t="shared" si="383"/>
        <v>#VALUE!</v>
      </c>
      <c r="AJ336" s="79" t="e">
        <f t="shared" si="343"/>
        <v>#VALUE!</v>
      </c>
      <c r="AK336" s="17" t="str">
        <f t="shared" si="435"/>
        <v/>
      </c>
      <c r="AL336" s="80" t="e">
        <f t="shared" si="344"/>
        <v>#VALUE!</v>
      </c>
      <c r="AM336" s="139" t="b">
        <f t="shared" si="345"/>
        <v>1</v>
      </c>
      <c r="AN336" s="139" t="b">
        <f>AND(COUNTA(E336)&gt;0,ISNUMBER(F336),OR(COUNT(G336:H336)=0,COUNT(G336:H336)=2,AND(ISNUMBER(G336),ISNUMBER(VALUE(LEFT(H336,SUM(LEN(H336)-LEN(SUBSTITUTE(H336,{"0","1","2","3","4","5","6","7","8","9","."},"")))))))),ISNUMBER(I336),ISTEXT(J336))</f>
        <v>0</v>
      </c>
      <c r="AO336" s="19" t="b">
        <f t="shared" si="346"/>
        <v>0</v>
      </c>
      <c r="AP336" s="19" t="b">
        <f t="shared" si="347"/>
        <v>1</v>
      </c>
      <c r="AQ336" s="19" t="b">
        <f>IF(AND(COUNTBLANK(E336:J336)=6,OR(AN337:AN$523)),NOT(AN336))</f>
        <v>0</v>
      </c>
      <c r="AR336" s="19" t="str">
        <f t="shared" si="348"/>
        <v/>
      </c>
      <c r="AS336" s="19" t="b">
        <f t="shared" si="349"/>
        <v>1</v>
      </c>
      <c r="AT336" s="19" t="str">
        <f t="shared" si="350"/>
        <v/>
      </c>
      <c r="AU336" s="19" t="b">
        <f t="shared" si="351"/>
        <v>1</v>
      </c>
      <c r="AV336" s="140" t="str">
        <f t="shared" si="417"/>
        <v/>
      </c>
      <c r="AW336" s="19" t="str">
        <f t="shared" si="352"/>
        <v/>
      </c>
      <c r="AX336" s="81">
        <f t="shared" si="353"/>
        <v>0</v>
      </c>
      <c r="AY336" s="81" t="str">
        <f t="shared" si="354"/>
        <v/>
      </c>
      <c r="AZ336" s="307" t="str">
        <f t="shared" si="384"/>
        <v/>
      </c>
      <c r="BA336" s="281" t="str">
        <f t="shared" si="418"/>
        <v/>
      </c>
      <c r="BB336" s="281" t="str">
        <f t="shared" si="419"/>
        <v/>
      </c>
      <c r="BC336" s="953"/>
      <c r="BD336" s="955"/>
      <c r="BE336" s="219" t="str">
        <f t="shared" si="355"/>
        <v>n/a</v>
      </c>
      <c r="BF336" s="215" t="b">
        <f t="shared" si="356"/>
        <v>0</v>
      </c>
      <c r="BG336" s="145" t="b">
        <f t="shared" si="357"/>
        <v>0</v>
      </c>
      <c r="BH336" s="145" t="b">
        <f t="shared" si="358"/>
        <v>0</v>
      </c>
      <c r="BI336" s="216" t="b">
        <f t="shared" si="359"/>
        <v>0</v>
      </c>
      <c r="BJ336" s="215" t="b">
        <f t="shared" si="360"/>
        <v>0</v>
      </c>
      <c r="BK336" s="145" t="b">
        <f t="shared" si="361"/>
        <v>0</v>
      </c>
      <c r="BL336" s="216" t="b">
        <f t="shared" si="362"/>
        <v>0</v>
      </c>
      <c r="BM336" s="217" t="str">
        <f t="shared" si="420"/>
        <v/>
      </c>
      <c r="BN336" s="146" t="str">
        <f t="shared" si="421"/>
        <v/>
      </c>
      <c r="BO336" s="147" t="str">
        <f t="shared" si="422"/>
        <v/>
      </c>
      <c r="BP336" s="148" t="str">
        <f t="shared" si="423"/>
        <v/>
      </c>
      <c r="BT336" s="50">
        <f t="shared" si="413"/>
        <v>313</v>
      </c>
      <c r="BU336" s="50" t="str">
        <f t="shared" si="439"/>
        <v>-</v>
      </c>
      <c r="BW336" s="333"/>
      <c r="BX336" s="333"/>
      <c r="BY336" s="333"/>
      <c r="BZ336" s="333"/>
      <c r="CA336" s="333"/>
      <c r="CB336" s="333"/>
      <c r="CC336" s="333"/>
      <c r="CD336" s="333"/>
      <c r="CE336" s="333"/>
      <c r="CF336" s="333"/>
      <c r="CG336" s="354">
        <f t="shared" si="363"/>
        <v>313</v>
      </c>
      <c r="CH336" s="613">
        <f t="shared" si="364"/>
        <v>0</v>
      </c>
      <c r="CI336" s="613">
        <f t="shared" si="365"/>
        <v>0</v>
      </c>
      <c r="CJ336" s="614" t="str">
        <f t="shared" si="366"/>
        <v/>
      </c>
      <c r="CK336" s="615" t="str">
        <f t="shared" si="367"/>
        <v/>
      </c>
      <c r="CL336" s="610" t="str">
        <f>IF(ISBLANK(H336),"",IF(AND(ISNUMBER(F336),ISNUMBER(G336),ISNUMBER(H336)),ROUND(F336/(H336*G336),2),ROUND(F336/(VALUE(LEFT(H336,SUM(LEN(H336)-LEN(SUBSTITUTE(H336,{"0","1","2","3","4","5","6","7","8","9","."},"")))))*G336),2)))</f>
        <v/>
      </c>
      <c r="CM336" s="616" t="str">
        <f t="shared" si="424"/>
        <v/>
      </c>
      <c r="CN336" s="616" t="str">
        <f>IF(ISNUMBER(P336),MAX('Adjustment factors'!$S$16,(0.2+0.8*P336)),IF(ISTEXT(N336),VLOOKUP(N336,Afactors,2,FALSE),""))</f>
        <v/>
      </c>
      <c r="CO336" s="616" t="str">
        <f>IF(ISNUMBER(S336),MAX('Adjustment factors'!$S$16,0.2+0.8*S336),IF(ISTEXT(Q336),VLOOKUP(Q336,Afactors,2,FALSE),""))</f>
        <v/>
      </c>
      <c r="CP336" s="611" t="str">
        <f t="shared" si="385"/>
        <v/>
      </c>
      <c r="CQ336" s="612" t="str">
        <f t="shared" si="386"/>
        <v/>
      </c>
      <c r="CR336" s="340"/>
      <c r="CS336" s="340"/>
      <c r="CT336" s="340"/>
      <c r="CU336" s="340"/>
      <c r="CV336" s="333"/>
      <c r="CW336" s="333"/>
      <c r="CX336" s="333"/>
      <c r="CY336" s="333"/>
      <c r="DA336" s="313" t="str">
        <f t="shared" si="368"/>
        <v>OK</v>
      </c>
      <c r="DB336" s="313" t="str">
        <f t="shared" si="369"/>
        <v>OK</v>
      </c>
      <c r="DC336" s="313" t="str">
        <f t="shared" si="370"/>
        <v>OK</v>
      </c>
      <c r="DD336" s="313" t="str">
        <f t="shared" si="371"/>
        <v>OK</v>
      </c>
      <c r="DE336" s="153" t="str">
        <f t="shared" si="372"/>
        <v>OK</v>
      </c>
      <c r="DF336" s="314" t="str">
        <f t="shared" si="373"/>
        <v>OK</v>
      </c>
      <c r="DG336" s="482" t="str">
        <f t="shared" si="387"/>
        <v>OK</v>
      </c>
      <c r="DH336" s="482" t="str">
        <f>IF(OR(AND(T336='Adjustment factors'!$R$28,'Class 3, 5-9'!U336='Adjustment factors'!$R$29),AND('Class 3, 5-9'!T336='Adjustment factors'!$R$29,'Class 3, 5-9'!U336='Adjustment factors'!$R$28)),"Invalid combination of adjustment factors",IF(AND(T336=U336,NOT(ISBLANK(T336)),NOT(ISBLANK(U336))),"Same colour factor selected twice","OK"))</f>
        <v>OK</v>
      </c>
      <c r="DI336" s="313" t="str">
        <f t="shared" si="374"/>
        <v>OK</v>
      </c>
      <c r="DJ336" s="153" t="str">
        <f t="shared" si="425"/>
        <v>OK</v>
      </c>
      <c r="DK336" s="153" t="str">
        <f t="shared" si="375"/>
        <v>OK</v>
      </c>
      <c r="DL336" s="313" t="str">
        <f t="shared" si="376"/>
        <v>OK</v>
      </c>
      <c r="DM336" s="153" t="str">
        <f t="shared" si="377"/>
        <v>OK</v>
      </c>
      <c r="DN336" s="153" t="str">
        <f t="shared" si="426"/>
        <v>OK</v>
      </c>
      <c r="DO336" s="154" t="str">
        <f t="shared" si="427"/>
        <v>OK</v>
      </c>
      <c r="DP336" s="153" t="str">
        <f t="shared" si="378"/>
        <v>OK</v>
      </c>
      <c r="DQ336" s="313" t="str">
        <f t="shared" si="379"/>
        <v>OK</v>
      </c>
      <c r="DR336" s="153" t="str">
        <f t="shared" si="428"/>
        <v>OK</v>
      </c>
      <c r="DS336" s="153" t="str">
        <f t="shared" si="380"/>
        <v>OK</v>
      </c>
      <c r="DT336" s="313" t="str">
        <f t="shared" si="414"/>
        <v>OK</v>
      </c>
      <c r="DU336" s="153" t="str">
        <f t="shared" si="381"/>
        <v>OK</v>
      </c>
      <c r="DV336" s="153" t="str">
        <f t="shared" si="429"/>
        <v>OK</v>
      </c>
      <c r="DW336" s="154" t="str">
        <f t="shared" si="430"/>
        <v>OK</v>
      </c>
      <c r="DX336" s="157">
        <f t="shared" si="431"/>
        <v>0</v>
      </c>
      <c r="DY336" s="156" t="str">
        <f t="shared" si="432"/>
        <v>OK</v>
      </c>
    </row>
    <row r="337" spans="1:129" ht="13" hidden="1" x14ac:dyDescent="0.3">
      <c r="A337" s="333"/>
      <c r="B337" s="333"/>
      <c r="C337" s="331" t="str">
        <f t="shared" si="440"/>
        <v>-</v>
      </c>
      <c r="D337" s="584">
        <f t="shared" si="412"/>
        <v>314</v>
      </c>
      <c r="E337" s="585"/>
      <c r="F337" s="586"/>
      <c r="G337" s="600"/>
      <c r="H337" s="587"/>
      <c r="I337" s="601"/>
      <c r="J337" s="585"/>
      <c r="K337" s="617"/>
      <c r="L337" s="602"/>
      <c r="M337" s="603"/>
      <c r="N337" s="588"/>
      <c r="O337" s="604"/>
      <c r="P337" s="605"/>
      <c r="Q337" s="588"/>
      <c r="R337" s="604"/>
      <c r="S337" s="605"/>
      <c r="T337" s="606"/>
      <c r="U337" s="606"/>
      <c r="V337" s="429" t="str">
        <f t="shared" si="437"/>
        <v/>
      </c>
      <c r="W337" s="430" t="str">
        <f t="shared" si="436"/>
        <v/>
      </c>
      <c r="X337" s="66" t="str">
        <f>IF(AND(ISNUMBER(P337),N337=FixedDim),MAX('Adjustment factors'!$S$16,0.2+0.8*P337),IF(ISTEXT(N337),VLOOKUP(N337,Afactors,2,TRUE),""))</f>
        <v/>
      </c>
      <c r="Y337" s="17" t="str">
        <f>IF(AND(ISNUMBER(S337),Q337=FixedDim),MAX('Adjustment factors'!$S$16,0.2+0.8*S337),IF(ISTEXT(Q337),VLOOKUP(Q337,Afactors,2,TRUE),""))</f>
        <v/>
      </c>
      <c r="Z337" s="297" t="str">
        <f>IF(ISBLANK(T337),"",VLOOKUP(T337,'Adjustment factors'!$R$27:$S$30,2,TRUE))</f>
        <v/>
      </c>
      <c r="AA337" s="297" t="str">
        <f>IF(ISBLANK(U337),"",VLOOKUP(U337,'Adjustment factors'!$R$27:$S$30,2,TRUE))</f>
        <v/>
      </c>
      <c r="AB337" s="480">
        <f t="shared" si="382"/>
        <v>1</v>
      </c>
      <c r="AC337" s="18" t="b">
        <f t="shared" si="339"/>
        <v>0</v>
      </c>
      <c r="AD337" s="18" t="b">
        <f t="shared" si="340"/>
        <v>0</v>
      </c>
      <c r="AE337" s="18" t="b">
        <f t="shared" si="433"/>
        <v>0</v>
      </c>
      <c r="AF337" s="17" t="str">
        <f t="shared" si="341"/>
        <v/>
      </c>
      <c r="AG337" s="18" t="str">
        <f t="shared" si="342"/>
        <v/>
      </c>
      <c r="AH337" s="17" t="str">
        <f t="shared" si="434"/>
        <v/>
      </c>
      <c r="AI337" s="297" t="e">
        <f t="shared" si="383"/>
        <v>#VALUE!</v>
      </c>
      <c r="AJ337" s="79" t="e">
        <f t="shared" si="343"/>
        <v>#VALUE!</v>
      </c>
      <c r="AK337" s="17" t="str">
        <f t="shared" si="435"/>
        <v/>
      </c>
      <c r="AL337" s="80" t="e">
        <f t="shared" si="344"/>
        <v>#VALUE!</v>
      </c>
      <c r="AM337" s="139" t="b">
        <f t="shared" si="345"/>
        <v>1</v>
      </c>
      <c r="AN337" s="139" t="b">
        <f>AND(COUNTA(E337)&gt;0,ISNUMBER(F337),OR(COUNT(G337:H337)=0,COUNT(G337:H337)=2,AND(ISNUMBER(G337),ISNUMBER(VALUE(LEFT(H337,SUM(LEN(H337)-LEN(SUBSTITUTE(H337,{"0","1","2","3","4","5","6","7","8","9","."},"")))))))),ISNUMBER(I337),ISTEXT(J337))</f>
        <v>0</v>
      </c>
      <c r="AO337" s="19" t="b">
        <f t="shared" si="346"/>
        <v>0</v>
      </c>
      <c r="AP337" s="19" t="b">
        <f t="shared" si="347"/>
        <v>1</v>
      </c>
      <c r="AQ337" s="19" t="b">
        <f>IF(AND(COUNTBLANK(E337:J337)=6,OR(AN338:AN$523)),NOT(AN337))</f>
        <v>0</v>
      </c>
      <c r="AR337" s="19" t="str">
        <f t="shared" si="348"/>
        <v/>
      </c>
      <c r="AS337" s="19" t="b">
        <f t="shared" si="349"/>
        <v>1</v>
      </c>
      <c r="AT337" s="19" t="str">
        <f t="shared" si="350"/>
        <v/>
      </c>
      <c r="AU337" s="19" t="b">
        <f t="shared" si="351"/>
        <v>1</v>
      </c>
      <c r="AV337" s="140" t="str">
        <f t="shared" si="417"/>
        <v/>
      </c>
      <c r="AW337" s="19" t="str">
        <f t="shared" si="352"/>
        <v/>
      </c>
      <c r="AX337" s="81">
        <f t="shared" si="353"/>
        <v>0</v>
      </c>
      <c r="AY337" s="81" t="str">
        <f t="shared" si="354"/>
        <v/>
      </c>
      <c r="AZ337" s="307" t="str">
        <f t="shared" si="384"/>
        <v/>
      </c>
      <c r="BA337" s="281" t="str">
        <f t="shared" si="418"/>
        <v/>
      </c>
      <c r="BB337" s="281" t="str">
        <f t="shared" si="419"/>
        <v/>
      </c>
      <c r="BC337" s="953"/>
      <c r="BD337" s="955"/>
      <c r="BE337" s="219" t="str">
        <f t="shared" si="355"/>
        <v>n/a</v>
      </c>
      <c r="BF337" s="215" t="b">
        <f t="shared" si="356"/>
        <v>0</v>
      </c>
      <c r="BG337" s="145" t="b">
        <f t="shared" si="357"/>
        <v>0</v>
      </c>
      <c r="BH337" s="145" t="b">
        <f t="shared" si="358"/>
        <v>0</v>
      </c>
      <c r="BI337" s="216" t="b">
        <f t="shared" si="359"/>
        <v>0</v>
      </c>
      <c r="BJ337" s="215" t="b">
        <f t="shared" si="360"/>
        <v>0</v>
      </c>
      <c r="BK337" s="145" t="b">
        <f t="shared" si="361"/>
        <v>0</v>
      </c>
      <c r="BL337" s="216" t="b">
        <f t="shared" si="362"/>
        <v>0</v>
      </c>
      <c r="BM337" s="217" t="str">
        <f t="shared" si="420"/>
        <v/>
      </c>
      <c r="BN337" s="146" t="str">
        <f t="shared" si="421"/>
        <v/>
      </c>
      <c r="BO337" s="147" t="str">
        <f t="shared" si="422"/>
        <v/>
      </c>
      <c r="BP337" s="148" t="str">
        <f t="shared" si="423"/>
        <v/>
      </c>
      <c r="BT337" s="50">
        <f t="shared" si="413"/>
        <v>314</v>
      </c>
      <c r="BU337" s="50" t="str">
        <f t="shared" si="439"/>
        <v>-</v>
      </c>
      <c r="BW337" s="333"/>
      <c r="BX337" s="333"/>
      <c r="BY337" s="333"/>
      <c r="BZ337" s="333"/>
      <c r="CA337" s="333"/>
      <c r="CB337" s="333"/>
      <c r="CC337" s="333"/>
      <c r="CD337" s="333"/>
      <c r="CE337" s="333"/>
      <c r="CF337" s="333"/>
      <c r="CG337" s="354">
        <f t="shared" si="363"/>
        <v>314</v>
      </c>
      <c r="CH337" s="613">
        <f t="shared" si="364"/>
        <v>0</v>
      </c>
      <c r="CI337" s="613">
        <f t="shared" si="365"/>
        <v>0</v>
      </c>
      <c r="CJ337" s="614" t="str">
        <f t="shared" si="366"/>
        <v/>
      </c>
      <c r="CK337" s="615" t="str">
        <f t="shared" si="367"/>
        <v/>
      </c>
      <c r="CL337" s="610" t="str">
        <f>IF(ISBLANK(H337),"",IF(AND(ISNUMBER(F337),ISNUMBER(G337),ISNUMBER(H337)),ROUND(F337/(H337*G337),2),ROUND(F337/(VALUE(LEFT(H337,SUM(LEN(H337)-LEN(SUBSTITUTE(H337,{"0","1","2","3","4","5","6","7","8","9","."},"")))))*G337),2)))</f>
        <v/>
      </c>
      <c r="CM337" s="616" t="str">
        <f t="shared" si="424"/>
        <v/>
      </c>
      <c r="CN337" s="616" t="str">
        <f>IF(ISNUMBER(P337),MAX('Adjustment factors'!$S$16,(0.2+0.8*P337)),IF(ISTEXT(N337),VLOOKUP(N337,Afactors,2,FALSE),""))</f>
        <v/>
      </c>
      <c r="CO337" s="616" t="str">
        <f>IF(ISNUMBER(S337),MAX('Adjustment factors'!$S$16,0.2+0.8*S337),IF(ISTEXT(Q337),VLOOKUP(Q337,Afactors,2,FALSE),""))</f>
        <v/>
      </c>
      <c r="CP337" s="611" t="str">
        <f t="shared" si="385"/>
        <v/>
      </c>
      <c r="CQ337" s="612" t="str">
        <f t="shared" si="386"/>
        <v/>
      </c>
      <c r="CR337" s="340"/>
      <c r="CS337" s="340"/>
      <c r="CT337" s="340"/>
      <c r="CU337" s="340"/>
      <c r="CV337" s="333"/>
      <c r="CW337" s="333"/>
      <c r="CX337" s="333"/>
      <c r="CY337" s="333"/>
      <c r="DA337" s="313" t="str">
        <f t="shared" si="368"/>
        <v>OK</v>
      </c>
      <c r="DB337" s="313" t="str">
        <f t="shared" si="369"/>
        <v>OK</v>
      </c>
      <c r="DC337" s="313" t="str">
        <f t="shared" si="370"/>
        <v>OK</v>
      </c>
      <c r="DD337" s="313" t="str">
        <f t="shared" si="371"/>
        <v>OK</v>
      </c>
      <c r="DE337" s="153" t="str">
        <f t="shared" si="372"/>
        <v>OK</v>
      </c>
      <c r="DF337" s="314" t="str">
        <f t="shared" si="373"/>
        <v>OK</v>
      </c>
      <c r="DG337" s="482" t="str">
        <f t="shared" si="387"/>
        <v>OK</v>
      </c>
      <c r="DH337" s="482" t="str">
        <f>IF(OR(AND(T337='Adjustment factors'!$R$28,'Class 3, 5-9'!U337='Adjustment factors'!$R$29),AND('Class 3, 5-9'!T337='Adjustment factors'!$R$29,'Class 3, 5-9'!U337='Adjustment factors'!$R$28)),"Invalid combination of adjustment factors",IF(AND(T337=U337,NOT(ISBLANK(T337)),NOT(ISBLANK(U337))),"Same colour factor selected twice","OK"))</f>
        <v>OK</v>
      </c>
      <c r="DI337" s="313" t="str">
        <f t="shared" si="374"/>
        <v>OK</v>
      </c>
      <c r="DJ337" s="153" t="str">
        <f t="shared" si="425"/>
        <v>OK</v>
      </c>
      <c r="DK337" s="153" t="str">
        <f t="shared" si="375"/>
        <v>OK</v>
      </c>
      <c r="DL337" s="313" t="str">
        <f t="shared" si="376"/>
        <v>OK</v>
      </c>
      <c r="DM337" s="153" t="str">
        <f t="shared" si="377"/>
        <v>OK</v>
      </c>
      <c r="DN337" s="153" t="str">
        <f t="shared" si="426"/>
        <v>OK</v>
      </c>
      <c r="DO337" s="154" t="str">
        <f t="shared" si="427"/>
        <v>OK</v>
      </c>
      <c r="DP337" s="153" t="str">
        <f t="shared" si="378"/>
        <v>OK</v>
      </c>
      <c r="DQ337" s="313" t="str">
        <f t="shared" si="379"/>
        <v>OK</v>
      </c>
      <c r="DR337" s="153" t="str">
        <f t="shared" si="428"/>
        <v>OK</v>
      </c>
      <c r="DS337" s="153" t="str">
        <f t="shared" si="380"/>
        <v>OK</v>
      </c>
      <c r="DT337" s="313" t="str">
        <f t="shared" si="414"/>
        <v>OK</v>
      </c>
      <c r="DU337" s="153" t="str">
        <f t="shared" si="381"/>
        <v>OK</v>
      </c>
      <c r="DV337" s="153" t="str">
        <f t="shared" si="429"/>
        <v>OK</v>
      </c>
      <c r="DW337" s="154" t="str">
        <f t="shared" si="430"/>
        <v>OK</v>
      </c>
      <c r="DX337" s="157">
        <f t="shared" si="431"/>
        <v>0</v>
      </c>
      <c r="DY337" s="156" t="str">
        <f t="shared" si="432"/>
        <v>OK</v>
      </c>
    </row>
    <row r="338" spans="1:129" ht="13" hidden="1" x14ac:dyDescent="0.3">
      <c r="A338" s="333"/>
      <c r="B338" s="333"/>
      <c r="C338" s="331" t="str">
        <f t="shared" si="440"/>
        <v>-</v>
      </c>
      <c r="D338" s="584">
        <f t="shared" si="412"/>
        <v>315</v>
      </c>
      <c r="E338" s="585"/>
      <c r="F338" s="586"/>
      <c r="G338" s="600"/>
      <c r="H338" s="587"/>
      <c r="I338" s="601"/>
      <c r="J338" s="585"/>
      <c r="K338" s="617"/>
      <c r="L338" s="602"/>
      <c r="M338" s="603"/>
      <c r="N338" s="588"/>
      <c r="O338" s="604"/>
      <c r="P338" s="605"/>
      <c r="Q338" s="588"/>
      <c r="R338" s="604"/>
      <c r="S338" s="605"/>
      <c r="T338" s="606"/>
      <c r="U338" s="606"/>
      <c r="V338" s="429" t="str">
        <f t="shared" si="437"/>
        <v/>
      </c>
      <c r="W338" s="430" t="str">
        <f t="shared" si="436"/>
        <v/>
      </c>
      <c r="X338" s="66" t="str">
        <f>IF(AND(ISNUMBER(P338),N338=FixedDim),MAX('Adjustment factors'!$S$16,0.2+0.8*P338),IF(ISTEXT(N338),VLOOKUP(N338,Afactors,2,TRUE),""))</f>
        <v/>
      </c>
      <c r="Y338" s="17" t="str">
        <f>IF(AND(ISNUMBER(S338),Q338=FixedDim),MAX('Adjustment factors'!$S$16,0.2+0.8*S338),IF(ISTEXT(Q338),VLOOKUP(Q338,Afactors,2,TRUE),""))</f>
        <v/>
      </c>
      <c r="Z338" s="297" t="str">
        <f>IF(ISBLANK(T338),"",VLOOKUP(T338,'Adjustment factors'!$R$27:$S$30,2,TRUE))</f>
        <v/>
      </c>
      <c r="AA338" s="297" t="str">
        <f>IF(ISBLANK(U338),"",VLOOKUP(U338,'Adjustment factors'!$R$27:$S$30,2,TRUE))</f>
        <v/>
      </c>
      <c r="AB338" s="480">
        <f t="shared" si="382"/>
        <v>1</v>
      </c>
      <c r="AC338" s="18" t="b">
        <f t="shared" si="339"/>
        <v>0</v>
      </c>
      <c r="AD338" s="18" t="b">
        <f t="shared" si="340"/>
        <v>0</v>
      </c>
      <c r="AE338" s="18" t="b">
        <f t="shared" si="433"/>
        <v>0</v>
      </c>
      <c r="AF338" s="17" t="str">
        <f t="shared" si="341"/>
        <v/>
      </c>
      <c r="AG338" s="18" t="str">
        <f t="shared" si="342"/>
        <v/>
      </c>
      <c r="AH338" s="17" t="str">
        <f t="shared" si="434"/>
        <v/>
      </c>
      <c r="AI338" s="297" t="e">
        <f t="shared" si="383"/>
        <v>#VALUE!</v>
      </c>
      <c r="AJ338" s="79" t="e">
        <f t="shared" si="343"/>
        <v>#VALUE!</v>
      </c>
      <c r="AK338" s="17" t="str">
        <f t="shared" si="435"/>
        <v/>
      </c>
      <c r="AL338" s="80" t="e">
        <f t="shared" si="344"/>
        <v>#VALUE!</v>
      </c>
      <c r="AM338" s="139" t="b">
        <f t="shared" si="345"/>
        <v>1</v>
      </c>
      <c r="AN338" s="139" t="b">
        <f>AND(COUNTA(E338)&gt;0,ISNUMBER(F338),OR(COUNT(G338:H338)=0,COUNT(G338:H338)=2,AND(ISNUMBER(G338),ISNUMBER(VALUE(LEFT(H338,SUM(LEN(H338)-LEN(SUBSTITUTE(H338,{"0","1","2","3","4","5","6","7","8","9","."},"")))))))),ISNUMBER(I338),ISTEXT(J338))</f>
        <v>0</v>
      </c>
      <c r="AO338" s="19" t="b">
        <f t="shared" si="346"/>
        <v>0</v>
      </c>
      <c r="AP338" s="19" t="b">
        <f t="shared" si="347"/>
        <v>1</v>
      </c>
      <c r="AQ338" s="19" t="b">
        <f>IF(AND(COUNTBLANK(E338:J338)=6,OR(AN339:AN$523)),NOT(AN338))</f>
        <v>0</v>
      </c>
      <c r="AR338" s="19" t="str">
        <f t="shared" si="348"/>
        <v/>
      </c>
      <c r="AS338" s="19" t="b">
        <f t="shared" si="349"/>
        <v>1</v>
      </c>
      <c r="AT338" s="19" t="str">
        <f t="shared" si="350"/>
        <v/>
      </c>
      <c r="AU338" s="19" t="b">
        <f t="shared" si="351"/>
        <v>1</v>
      </c>
      <c r="AV338" s="140" t="str">
        <f t="shared" si="417"/>
        <v/>
      </c>
      <c r="AW338" s="19" t="str">
        <f t="shared" si="352"/>
        <v/>
      </c>
      <c r="AX338" s="81">
        <f t="shared" si="353"/>
        <v>0</v>
      </c>
      <c r="AY338" s="81" t="str">
        <f t="shared" si="354"/>
        <v/>
      </c>
      <c r="AZ338" s="307" t="str">
        <f t="shared" si="384"/>
        <v/>
      </c>
      <c r="BA338" s="281" t="str">
        <f t="shared" si="418"/>
        <v/>
      </c>
      <c r="BB338" s="281" t="str">
        <f t="shared" si="419"/>
        <v/>
      </c>
      <c r="BC338" s="953"/>
      <c r="BD338" s="955"/>
      <c r="BE338" s="219" t="str">
        <f t="shared" si="355"/>
        <v>n/a</v>
      </c>
      <c r="BF338" s="215" t="b">
        <f t="shared" si="356"/>
        <v>0</v>
      </c>
      <c r="BG338" s="145" t="b">
        <f t="shared" si="357"/>
        <v>0</v>
      </c>
      <c r="BH338" s="145" t="b">
        <f t="shared" si="358"/>
        <v>0</v>
      </c>
      <c r="BI338" s="216" t="b">
        <f t="shared" si="359"/>
        <v>0</v>
      </c>
      <c r="BJ338" s="215" t="b">
        <f t="shared" si="360"/>
        <v>0</v>
      </c>
      <c r="BK338" s="145" t="b">
        <f t="shared" si="361"/>
        <v>0</v>
      </c>
      <c r="BL338" s="216" t="b">
        <f t="shared" si="362"/>
        <v>0</v>
      </c>
      <c r="BM338" s="217" t="str">
        <f t="shared" si="420"/>
        <v/>
      </c>
      <c r="BN338" s="146" t="str">
        <f t="shared" si="421"/>
        <v/>
      </c>
      <c r="BO338" s="147" t="str">
        <f t="shared" si="422"/>
        <v/>
      </c>
      <c r="BP338" s="148" t="str">
        <f t="shared" si="423"/>
        <v/>
      </c>
      <c r="BT338" s="50">
        <f t="shared" si="413"/>
        <v>315</v>
      </c>
      <c r="BU338" s="50" t="str">
        <f t="shared" si="439"/>
        <v>-</v>
      </c>
      <c r="BW338" s="333"/>
      <c r="BX338" s="333"/>
      <c r="BY338" s="333"/>
      <c r="BZ338" s="333"/>
      <c r="CA338" s="333"/>
      <c r="CB338" s="333"/>
      <c r="CC338" s="333"/>
      <c r="CD338" s="333"/>
      <c r="CE338" s="333"/>
      <c r="CF338" s="333"/>
      <c r="CG338" s="354">
        <f t="shared" si="363"/>
        <v>315</v>
      </c>
      <c r="CH338" s="613">
        <f t="shared" si="364"/>
        <v>0</v>
      </c>
      <c r="CI338" s="613">
        <f t="shared" si="365"/>
        <v>0</v>
      </c>
      <c r="CJ338" s="614" t="str">
        <f t="shared" si="366"/>
        <v/>
      </c>
      <c r="CK338" s="615" t="str">
        <f t="shared" si="367"/>
        <v/>
      </c>
      <c r="CL338" s="610" t="str">
        <f>IF(ISBLANK(H338),"",IF(AND(ISNUMBER(F338),ISNUMBER(G338),ISNUMBER(H338)),ROUND(F338/(H338*G338),2),ROUND(F338/(VALUE(LEFT(H338,SUM(LEN(H338)-LEN(SUBSTITUTE(H338,{"0","1","2","3","4","5","6","7","8","9","."},"")))))*G338),2)))</f>
        <v/>
      </c>
      <c r="CM338" s="616" t="str">
        <f t="shared" si="424"/>
        <v/>
      </c>
      <c r="CN338" s="616" t="str">
        <f>IF(ISNUMBER(P338),MAX('Adjustment factors'!$S$16,(0.2+0.8*P338)),IF(ISTEXT(N338),VLOOKUP(N338,Afactors,2,FALSE),""))</f>
        <v/>
      </c>
      <c r="CO338" s="616" t="str">
        <f>IF(ISNUMBER(S338),MAX('Adjustment factors'!$S$16,0.2+0.8*S338),IF(ISTEXT(Q338),VLOOKUP(Q338,Afactors,2,FALSE),""))</f>
        <v/>
      </c>
      <c r="CP338" s="611" t="str">
        <f t="shared" si="385"/>
        <v/>
      </c>
      <c r="CQ338" s="612" t="str">
        <f t="shared" si="386"/>
        <v/>
      </c>
      <c r="CR338" s="340"/>
      <c r="CS338" s="340"/>
      <c r="CT338" s="340"/>
      <c r="CU338" s="340"/>
      <c r="CV338" s="333"/>
      <c r="CW338" s="333"/>
      <c r="CX338" s="333"/>
      <c r="CY338" s="333"/>
      <c r="DA338" s="313" t="str">
        <f t="shared" si="368"/>
        <v>OK</v>
      </c>
      <c r="DB338" s="313" t="str">
        <f t="shared" si="369"/>
        <v>OK</v>
      </c>
      <c r="DC338" s="313" t="str">
        <f t="shared" si="370"/>
        <v>OK</v>
      </c>
      <c r="DD338" s="313" t="str">
        <f t="shared" si="371"/>
        <v>OK</v>
      </c>
      <c r="DE338" s="153" t="str">
        <f t="shared" si="372"/>
        <v>OK</v>
      </c>
      <c r="DF338" s="314" t="str">
        <f t="shared" si="373"/>
        <v>OK</v>
      </c>
      <c r="DG338" s="482" t="str">
        <f t="shared" si="387"/>
        <v>OK</v>
      </c>
      <c r="DH338" s="482" t="str">
        <f>IF(OR(AND(T338='Adjustment factors'!$R$28,'Class 3, 5-9'!U338='Adjustment factors'!$R$29),AND('Class 3, 5-9'!T338='Adjustment factors'!$R$29,'Class 3, 5-9'!U338='Adjustment factors'!$R$28)),"Invalid combination of adjustment factors",IF(AND(T338=U338,NOT(ISBLANK(T338)),NOT(ISBLANK(U338))),"Same colour factor selected twice","OK"))</f>
        <v>OK</v>
      </c>
      <c r="DI338" s="313" t="str">
        <f t="shared" si="374"/>
        <v>OK</v>
      </c>
      <c r="DJ338" s="153" t="str">
        <f t="shared" si="425"/>
        <v>OK</v>
      </c>
      <c r="DK338" s="153" t="str">
        <f t="shared" si="375"/>
        <v>OK</v>
      </c>
      <c r="DL338" s="313" t="str">
        <f t="shared" si="376"/>
        <v>OK</v>
      </c>
      <c r="DM338" s="153" t="str">
        <f t="shared" si="377"/>
        <v>OK</v>
      </c>
      <c r="DN338" s="153" t="str">
        <f t="shared" si="426"/>
        <v>OK</v>
      </c>
      <c r="DO338" s="154" t="str">
        <f t="shared" si="427"/>
        <v>OK</v>
      </c>
      <c r="DP338" s="153" t="str">
        <f t="shared" si="378"/>
        <v>OK</v>
      </c>
      <c r="DQ338" s="313" t="str">
        <f t="shared" si="379"/>
        <v>OK</v>
      </c>
      <c r="DR338" s="153" t="str">
        <f t="shared" si="428"/>
        <v>OK</v>
      </c>
      <c r="DS338" s="153" t="str">
        <f t="shared" si="380"/>
        <v>OK</v>
      </c>
      <c r="DT338" s="313" t="str">
        <f t="shared" si="414"/>
        <v>OK</v>
      </c>
      <c r="DU338" s="153" t="str">
        <f t="shared" si="381"/>
        <v>OK</v>
      </c>
      <c r="DV338" s="153" t="str">
        <f t="shared" si="429"/>
        <v>OK</v>
      </c>
      <c r="DW338" s="154" t="str">
        <f t="shared" si="430"/>
        <v>OK</v>
      </c>
      <c r="DX338" s="157">
        <f t="shared" si="431"/>
        <v>0</v>
      </c>
      <c r="DY338" s="156" t="str">
        <f t="shared" si="432"/>
        <v>OK</v>
      </c>
    </row>
    <row r="339" spans="1:129" ht="13" hidden="1" x14ac:dyDescent="0.3">
      <c r="A339" s="333"/>
      <c r="B339" s="333"/>
      <c r="C339" s="331" t="str">
        <f t="shared" si="440"/>
        <v>-</v>
      </c>
      <c r="D339" s="584">
        <f t="shared" si="412"/>
        <v>316</v>
      </c>
      <c r="E339" s="585"/>
      <c r="F339" s="586"/>
      <c r="G339" s="600"/>
      <c r="H339" s="587"/>
      <c r="I339" s="601"/>
      <c r="J339" s="585"/>
      <c r="K339" s="617"/>
      <c r="L339" s="602"/>
      <c r="M339" s="603"/>
      <c r="N339" s="588"/>
      <c r="O339" s="604"/>
      <c r="P339" s="605"/>
      <c r="Q339" s="588"/>
      <c r="R339" s="604"/>
      <c r="S339" s="605"/>
      <c r="T339" s="606"/>
      <c r="U339" s="606"/>
      <c r="V339" s="429" t="str">
        <f t="shared" si="437"/>
        <v/>
      </c>
      <c r="W339" s="430" t="str">
        <f t="shared" si="436"/>
        <v/>
      </c>
      <c r="X339" s="66" t="str">
        <f>IF(AND(ISNUMBER(P339),N339=FixedDim),MAX('Adjustment factors'!$S$16,0.2+0.8*P339),IF(ISTEXT(N339),VLOOKUP(N339,Afactors,2,TRUE),""))</f>
        <v/>
      </c>
      <c r="Y339" s="17" t="str">
        <f>IF(AND(ISNUMBER(S339),Q339=FixedDim),MAX('Adjustment factors'!$S$16,0.2+0.8*S339),IF(ISTEXT(Q339),VLOOKUP(Q339,Afactors,2,TRUE),""))</f>
        <v/>
      </c>
      <c r="Z339" s="297" t="str">
        <f>IF(ISBLANK(T339),"",VLOOKUP(T339,'Adjustment factors'!$R$27:$S$30,2,TRUE))</f>
        <v/>
      </c>
      <c r="AA339" s="297" t="str">
        <f>IF(ISBLANK(U339),"",VLOOKUP(U339,'Adjustment factors'!$R$27:$S$30,2,TRUE))</f>
        <v/>
      </c>
      <c r="AB339" s="480">
        <f t="shared" si="382"/>
        <v>1</v>
      </c>
      <c r="AC339" s="18" t="b">
        <f t="shared" si="339"/>
        <v>0</v>
      </c>
      <c r="AD339" s="18" t="b">
        <f t="shared" si="340"/>
        <v>0</v>
      </c>
      <c r="AE339" s="18" t="b">
        <f t="shared" si="433"/>
        <v>0</v>
      </c>
      <c r="AF339" s="17" t="str">
        <f t="shared" si="341"/>
        <v/>
      </c>
      <c r="AG339" s="18" t="str">
        <f t="shared" si="342"/>
        <v/>
      </c>
      <c r="AH339" s="17" t="str">
        <f t="shared" si="434"/>
        <v/>
      </c>
      <c r="AI339" s="297" t="e">
        <f t="shared" si="383"/>
        <v>#VALUE!</v>
      </c>
      <c r="AJ339" s="79" t="e">
        <f t="shared" si="343"/>
        <v>#VALUE!</v>
      </c>
      <c r="AK339" s="17" t="str">
        <f t="shared" si="435"/>
        <v/>
      </c>
      <c r="AL339" s="80" t="e">
        <f t="shared" si="344"/>
        <v>#VALUE!</v>
      </c>
      <c r="AM339" s="139" t="b">
        <f t="shared" si="345"/>
        <v>1</v>
      </c>
      <c r="AN339" s="139" t="b">
        <f>AND(COUNTA(E339)&gt;0,ISNUMBER(F339),OR(COUNT(G339:H339)=0,COUNT(G339:H339)=2,AND(ISNUMBER(G339),ISNUMBER(VALUE(LEFT(H339,SUM(LEN(H339)-LEN(SUBSTITUTE(H339,{"0","1","2","3","4","5","6","7","8","9","."},"")))))))),ISNUMBER(I339),ISTEXT(J339))</f>
        <v>0</v>
      </c>
      <c r="AO339" s="19" t="b">
        <f t="shared" si="346"/>
        <v>0</v>
      </c>
      <c r="AP339" s="19" t="b">
        <f t="shared" si="347"/>
        <v>1</v>
      </c>
      <c r="AQ339" s="19" t="b">
        <f>IF(AND(COUNTBLANK(E339:J339)=6,OR(AN340:AN$523)),NOT(AN339))</f>
        <v>0</v>
      </c>
      <c r="AR339" s="19" t="str">
        <f t="shared" si="348"/>
        <v/>
      </c>
      <c r="AS339" s="19" t="b">
        <f t="shared" si="349"/>
        <v>1</v>
      </c>
      <c r="AT339" s="19" t="str">
        <f t="shared" si="350"/>
        <v/>
      </c>
      <c r="AU339" s="19" t="b">
        <f t="shared" si="351"/>
        <v>1</v>
      </c>
      <c r="AV339" s="140" t="str">
        <f t="shared" si="417"/>
        <v/>
      </c>
      <c r="AW339" s="19" t="str">
        <f t="shared" si="352"/>
        <v/>
      </c>
      <c r="AX339" s="81">
        <f t="shared" si="353"/>
        <v>0</v>
      </c>
      <c r="AY339" s="81" t="str">
        <f t="shared" si="354"/>
        <v/>
      </c>
      <c r="AZ339" s="307" t="str">
        <f t="shared" si="384"/>
        <v/>
      </c>
      <c r="BA339" s="281" t="str">
        <f t="shared" si="418"/>
        <v/>
      </c>
      <c r="BB339" s="281" t="str">
        <f t="shared" si="419"/>
        <v/>
      </c>
      <c r="BC339" s="953"/>
      <c r="BD339" s="955"/>
      <c r="BE339" s="219" t="str">
        <f t="shared" si="355"/>
        <v>n/a</v>
      </c>
      <c r="BF339" s="215" t="b">
        <f t="shared" si="356"/>
        <v>0</v>
      </c>
      <c r="BG339" s="145" t="b">
        <f t="shared" si="357"/>
        <v>0</v>
      </c>
      <c r="BH339" s="145" t="b">
        <f t="shared" si="358"/>
        <v>0</v>
      </c>
      <c r="BI339" s="216" t="b">
        <f t="shared" si="359"/>
        <v>0</v>
      </c>
      <c r="BJ339" s="215" t="b">
        <f t="shared" si="360"/>
        <v>0</v>
      </c>
      <c r="BK339" s="145" t="b">
        <f t="shared" si="361"/>
        <v>0</v>
      </c>
      <c r="BL339" s="216" t="b">
        <f t="shared" si="362"/>
        <v>0</v>
      </c>
      <c r="BM339" s="217" t="str">
        <f t="shared" si="420"/>
        <v/>
      </c>
      <c r="BN339" s="146" t="str">
        <f t="shared" si="421"/>
        <v/>
      </c>
      <c r="BO339" s="147" t="str">
        <f t="shared" si="422"/>
        <v/>
      </c>
      <c r="BP339" s="148" t="str">
        <f t="shared" si="423"/>
        <v/>
      </c>
      <c r="BT339" s="50">
        <f t="shared" si="413"/>
        <v>316</v>
      </c>
      <c r="BU339" s="50" t="str">
        <f t="shared" si="439"/>
        <v>-</v>
      </c>
      <c r="BW339" s="333"/>
      <c r="BX339" s="333"/>
      <c r="BY339" s="333"/>
      <c r="BZ339" s="333"/>
      <c r="CA339" s="333"/>
      <c r="CB339" s="333"/>
      <c r="CC339" s="333"/>
      <c r="CD339" s="333"/>
      <c r="CE339" s="333"/>
      <c r="CF339" s="333"/>
      <c r="CG339" s="354">
        <f t="shared" si="363"/>
        <v>316</v>
      </c>
      <c r="CH339" s="613">
        <f t="shared" si="364"/>
        <v>0</v>
      </c>
      <c r="CI339" s="613">
        <f t="shared" si="365"/>
        <v>0</v>
      </c>
      <c r="CJ339" s="614" t="str">
        <f t="shared" si="366"/>
        <v/>
      </c>
      <c r="CK339" s="615" t="str">
        <f t="shared" si="367"/>
        <v/>
      </c>
      <c r="CL339" s="610" t="str">
        <f>IF(ISBLANK(H339),"",IF(AND(ISNUMBER(F339),ISNUMBER(G339),ISNUMBER(H339)),ROUND(F339/(H339*G339),2),ROUND(F339/(VALUE(LEFT(H339,SUM(LEN(H339)-LEN(SUBSTITUTE(H339,{"0","1","2","3","4","5","6","7","8","9","."},"")))))*G339),2)))</f>
        <v/>
      </c>
      <c r="CM339" s="616" t="str">
        <f t="shared" si="424"/>
        <v/>
      </c>
      <c r="CN339" s="616" t="str">
        <f>IF(ISNUMBER(P339),MAX('Adjustment factors'!$S$16,(0.2+0.8*P339)),IF(ISTEXT(N339),VLOOKUP(N339,Afactors,2,FALSE),""))</f>
        <v/>
      </c>
      <c r="CO339" s="616" t="str">
        <f>IF(ISNUMBER(S339),MAX('Adjustment factors'!$S$16,0.2+0.8*S339),IF(ISTEXT(Q339),VLOOKUP(Q339,Afactors,2,FALSE),""))</f>
        <v/>
      </c>
      <c r="CP339" s="611" t="str">
        <f t="shared" si="385"/>
        <v/>
      </c>
      <c r="CQ339" s="612" t="str">
        <f t="shared" si="386"/>
        <v/>
      </c>
      <c r="CR339" s="340"/>
      <c r="CS339" s="340"/>
      <c r="CT339" s="340"/>
      <c r="CU339" s="340"/>
      <c r="CV339" s="333"/>
      <c r="CW339" s="333"/>
      <c r="CX339" s="333"/>
      <c r="CY339" s="333"/>
      <c r="DA339" s="313" t="str">
        <f t="shared" si="368"/>
        <v>OK</v>
      </c>
      <c r="DB339" s="313" t="str">
        <f t="shared" si="369"/>
        <v>OK</v>
      </c>
      <c r="DC339" s="313" t="str">
        <f t="shared" si="370"/>
        <v>OK</v>
      </c>
      <c r="DD339" s="313" t="str">
        <f t="shared" si="371"/>
        <v>OK</v>
      </c>
      <c r="DE339" s="153" t="str">
        <f t="shared" si="372"/>
        <v>OK</v>
      </c>
      <c r="DF339" s="314" t="str">
        <f t="shared" si="373"/>
        <v>OK</v>
      </c>
      <c r="DG339" s="482" t="str">
        <f t="shared" si="387"/>
        <v>OK</v>
      </c>
      <c r="DH339" s="482" t="str">
        <f>IF(OR(AND(T339='Adjustment factors'!$R$28,'Class 3, 5-9'!U339='Adjustment factors'!$R$29),AND('Class 3, 5-9'!T339='Adjustment factors'!$R$29,'Class 3, 5-9'!U339='Adjustment factors'!$R$28)),"Invalid combination of adjustment factors",IF(AND(T339=U339,NOT(ISBLANK(T339)),NOT(ISBLANK(U339))),"Same colour factor selected twice","OK"))</f>
        <v>OK</v>
      </c>
      <c r="DI339" s="313" t="str">
        <f t="shared" si="374"/>
        <v>OK</v>
      </c>
      <c r="DJ339" s="153" t="str">
        <f t="shared" si="425"/>
        <v>OK</v>
      </c>
      <c r="DK339" s="153" t="str">
        <f t="shared" si="375"/>
        <v>OK</v>
      </c>
      <c r="DL339" s="313" t="str">
        <f t="shared" si="376"/>
        <v>OK</v>
      </c>
      <c r="DM339" s="153" t="str">
        <f t="shared" si="377"/>
        <v>OK</v>
      </c>
      <c r="DN339" s="153" t="str">
        <f t="shared" si="426"/>
        <v>OK</v>
      </c>
      <c r="DO339" s="154" t="str">
        <f t="shared" si="427"/>
        <v>OK</v>
      </c>
      <c r="DP339" s="153" t="str">
        <f t="shared" si="378"/>
        <v>OK</v>
      </c>
      <c r="DQ339" s="313" t="str">
        <f t="shared" si="379"/>
        <v>OK</v>
      </c>
      <c r="DR339" s="153" t="str">
        <f t="shared" si="428"/>
        <v>OK</v>
      </c>
      <c r="DS339" s="153" t="str">
        <f t="shared" si="380"/>
        <v>OK</v>
      </c>
      <c r="DT339" s="313" t="str">
        <f t="shared" ref="DT339:DT370" si="441">IF(AND(ISNUMBER(S339),Q339&lt;&gt;FixedDim),"Select fixed dimming with an illuminance factor","OK")</f>
        <v>OK</v>
      </c>
      <c r="DU339" s="153" t="str">
        <f t="shared" si="381"/>
        <v>OK</v>
      </c>
      <c r="DV339" s="153" t="str">
        <f t="shared" si="429"/>
        <v>OK</v>
      </c>
      <c r="DW339" s="154" t="str">
        <f t="shared" si="430"/>
        <v>OK</v>
      </c>
      <c r="DX339" s="157">
        <f t="shared" si="431"/>
        <v>0</v>
      </c>
      <c r="DY339" s="156" t="str">
        <f t="shared" si="432"/>
        <v>OK</v>
      </c>
    </row>
    <row r="340" spans="1:129" ht="13" hidden="1" x14ac:dyDescent="0.3">
      <c r="A340" s="333"/>
      <c r="B340" s="333"/>
      <c r="C340" s="331" t="str">
        <f t="shared" si="440"/>
        <v>-</v>
      </c>
      <c r="D340" s="584">
        <f t="shared" si="412"/>
        <v>317</v>
      </c>
      <c r="E340" s="585"/>
      <c r="F340" s="586"/>
      <c r="G340" s="600"/>
      <c r="H340" s="587"/>
      <c r="I340" s="601"/>
      <c r="J340" s="585"/>
      <c r="K340" s="617"/>
      <c r="L340" s="602"/>
      <c r="M340" s="603"/>
      <c r="N340" s="588"/>
      <c r="O340" s="604"/>
      <c r="P340" s="605"/>
      <c r="Q340" s="588"/>
      <c r="R340" s="604"/>
      <c r="S340" s="605"/>
      <c r="T340" s="606"/>
      <c r="U340" s="606"/>
      <c r="V340" s="429" t="str">
        <f t="shared" si="437"/>
        <v/>
      </c>
      <c r="W340" s="430" t="str">
        <f t="shared" si="436"/>
        <v/>
      </c>
      <c r="X340" s="66" t="str">
        <f>IF(AND(ISNUMBER(P340),N340=FixedDim),MAX('Adjustment factors'!$S$16,0.2+0.8*P340),IF(ISTEXT(N340),VLOOKUP(N340,Afactors,2,TRUE),""))</f>
        <v/>
      </c>
      <c r="Y340" s="17" t="str">
        <f>IF(AND(ISNUMBER(S340),Q340=FixedDim),MAX('Adjustment factors'!$S$16,0.2+0.8*S340),IF(ISTEXT(Q340),VLOOKUP(Q340,Afactors,2,TRUE),""))</f>
        <v/>
      </c>
      <c r="Z340" s="297" t="str">
        <f>IF(ISBLANK(T340),"",VLOOKUP(T340,'Adjustment factors'!$R$27:$S$30,2,TRUE))</f>
        <v/>
      </c>
      <c r="AA340" s="297" t="str">
        <f>IF(ISBLANK(U340),"",VLOOKUP(U340,'Adjustment factors'!$R$27:$S$30,2,TRUE))</f>
        <v/>
      </c>
      <c r="AB340" s="480">
        <f t="shared" si="382"/>
        <v>1</v>
      </c>
      <c r="AC340" s="18" t="b">
        <f t="shared" si="339"/>
        <v>0</v>
      </c>
      <c r="AD340" s="18" t="b">
        <f t="shared" si="340"/>
        <v>0</v>
      </c>
      <c r="AE340" s="18" t="b">
        <f t="shared" si="433"/>
        <v>0</v>
      </c>
      <c r="AF340" s="17" t="str">
        <f t="shared" si="341"/>
        <v/>
      </c>
      <c r="AG340" s="18" t="str">
        <f t="shared" si="342"/>
        <v/>
      </c>
      <c r="AH340" s="17" t="str">
        <f t="shared" si="434"/>
        <v/>
      </c>
      <c r="AI340" s="297" t="e">
        <f t="shared" si="383"/>
        <v>#VALUE!</v>
      </c>
      <c r="AJ340" s="79" t="e">
        <f t="shared" si="343"/>
        <v>#VALUE!</v>
      </c>
      <c r="AK340" s="17" t="str">
        <f t="shared" si="435"/>
        <v/>
      </c>
      <c r="AL340" s="80" t="e">
        <f t="shared" si="344"/>
        <v>#VALUE!</v>
      </c>
      <c r="AM340" s="139" t="b">
        <f t="shared" si="345"/>
        <v>1</v>
      </c>
      <c r="AN340" s="139" t="b">
        <f>AND(COUNTA(E340)&gt;0,ISNUMBER(F340),OR(COUNT(G340:H340)=0,COUNT(G340:H340)=2,AND(ISNUMBER(G340),ISNUMBER(VALUE(LEFT(H340,SUM(LEN(H340)-LEN(SUBSTITUTE(H340,{"0","1","2","3","4","5","6","7","8","9","."},"")))))))),ISNUMBER(I340),ISTEXT(J340))</f>
        <v>0</v>
      </c>
      <c r="AO340" s="19" t="b">
        <f t="shared" si="346"/>
        <v>0</v>
      </c>
      <c r="AP340" s="19" t="b">
        <f t="shared" si="347"/>
        <v>1</v>
      </c>
      <c r="AQ340" s="19" t="b">
        <f>IF(AND(COUNTBLANK(E340:J340)=6,OR(AN341:AN$523)),NOT(AN340))</f>
        <v>0</v>
      </c>
      <c r="AR340" s="19" t="str">
        <f t="shared" si="348"/>
        <v/>
      </c>
      <c r="AS340" s="19" t="b">
        <f t="shared" si="349"/>
        <v>1</v>
      </c>
      <c r="AT340" s="19" t="str">
        <f t="shared" si="350"/>
        <v/>
      </c>
      <c r="AU340" s="19" t="b">
        <f t="shared" si="351"/>
        <v>1</v>
      </c>
      <c r="AV340" s="140" t="str">
        <f t="shared" si="417"/>
        <v/>
      </c>
      <c r="AW340" s="19" t="str">
        <f t="shared" si="352"/>
        <v/>
      </c>
      <c r="AX340" s="81">
        <f t="shared" si="353"/>
        <v>0</v>
      </c>
      <c r="AY340" s="81" t="str">
        <f t="shared" si="354"/>
        <v/>
      </c>
      <c r="AZ340" s="307" t="str">
        <f t="shared" si="384"/>
        <v/>
      </c>
      <c r="BA340" s="281" t="str">
        <f t="shared" si="418"/>
        <v/>
      </c>
      <c r="BB340" s="281" t="str">
        <f t="shared" si="419"/>
        <v/>
      </c>
      <c r="BC340" s="953"/>
      <c r="BD340" s="955"/>
      <c r="BE340" s="219" t="str">
        <f t="shared" si="355"/>
        <v>n/a</v>
      </c>
      <c r="BF340" s="215" t="b">
        <f t="shared" si="356"/>
        <v>0</v>
      </c>
      <c r="BG340" s="145" t="b">
        <f t="shared" si="357"/>
        <v>0</v>
      </c>
      <c r="BH340" s="145" t="b">
        <f t="shared" si="358"/>
        <v>0</v>
      </c>
      <c r="BI340" s="216" t="b">
        <f t="shared" si="359"/>
        <v>0</v>
      </c>
      <c r="BJ340" s="215" t="b">
        <f t="shared" si="360"/>
        <v>0</v>
      </c>
      <c r="BK340" s="145" t="b">
        <f t="shared" si="361"/>
        <v>0</v>
      </c>
      <c r="BL340" s="216" t="b">
        <f t="shared" si="362"/>
        <v>0</v>
      </c>
      <c r="BM340" s="217" t="str">
        <f t="shared" si="420"/>
        <v/>
      </c>
      <c r="BN340" s="146" t="str">
        <f t="shared" si="421"/>
        <v/>
      </c>
      <c r="BO340" s="147" t="str">
        <f t="shared" si="422"/>
        <v/>
      </c>
      <c r="BP340" s="148" t="str">
        <f t="shared" si="423"/>
        <v/>
      </c>
      <c r="BT340" s="50">
        <f t="shared" si="413"/>
        <v>317</v>
      </c>
      <c r="BU340" s="50" t="str">
        <f t="shared" si="439"/>
        <v>-</v>
      </c>
      <c r="BW340" s="333"/>
      <c r="BX340" s="333"/>
      <c r="BY340" s="333"/>
      <c r="BZ340" s="333"/>
      <c r="CA340" s="333"/>
      <c r="CB340" s="333"/>
      <c r="CC340" s="333"/>
      <c r="CD340" s="333"/>
      <c r="CE340" s="333"/>
      <c r="CF340" s="333"/>
      <c r="CG340" s="354">
        <f t="shared" si="363"/>
        <v>317</v>
      </c>
      <c r="CH340" s="613">
        <f t="shared" si="364"/>
        <v>0</v>
      </c>
      <c r="CI340" s="613">
        <f t="shared" si="365"/>
        <v>0</v>
      </c>
      <c r="CJ340" s="614" t="str">
        <f t="shared" si="366"/>
        <v/>
      </c>
      <c r="CK340" s="615" t="str">
        <f t="shared" si="367"/>
        <v/>
      </c>
      <c r="CL340" s="610" t="str">
        <f>IF(ISBLANK(H340),"",IF(AND(ISNUMBER(F340),ISNUMBER(G340),ISNUMBER(H340)),ROUND(F340/(H340*G340),2),ROUND(F340/(VALUE(LEFT(H340,SUM(LEN(H340)-LEN(SUBSTITUTE(H340,{"0","1","2","3","4","5","6","7","8","9","."},"")))))*G340),2)))</f>
        <v/>
      </c>
      <c r="CM340" s="616" t="str">
        <f t="shared" si="424"/>
        <v/>
      </c>
      <c r="CN340" s="616" t="str">
        <f>IF(ISNUMBER(P340),MAX('Adjustment factors'!$S$16,(0.2+0.8*P340)),IF(ISTEXT(N340),VLOOKUP(N340,Afactors,2,FALSE),""))</f>
        <v/>
      </c>
      <c r="CO340" s="616" t="str">
        <f>IF(ISNUMBER(S340),MAX('Adjustment factors'!$S$16,0.2+0.8*S340),IF(ISTEXT(Q340),VLOOKUP(Q340,Afactors,2,FALSE),""))</f>
        <v/>
      </c>
      <c r="CP340" s="611" t="str">
        <f t="shared" si="385"/>
        <v/>
      </c>
      <c r="CQ340" s="612" t="str">
        <f t="shared" si="386"/>
        <v/>
      </c>
      <c r="CR340" s="340"/>
      <c r="CS340" s="340"/>
      <c r="CT340" s="340"/>
      <c r="CU340" s="340"/>
      <c r="CV340" s="333"/>
      <c r="CW340" s="333"/>
      <c r="CX340" s="333"/>
      <c r="CY340" s="333"/>
      <c r="DA340" s="313" t="str">
        <f t="shared" si="368"/>
        <v>OK</v>
      </c>
      <c r="DB340" s="313" t="str">
        <f t="shared" si="369"/>
        <v>OK</v>
      </c>
      <c r="DC340" s="313" t="str">
        <f t="shared" si="370"/>
        <v>OK</v>
      </c>
      <c r="DD340" s="313" t="str">
        <f t="shared" si="371"/>
        <v>OK</v>
      </c>
      <c r="DE340" s="153" t="str">
        <f t="shared" si="372"/>
        <v>OK</v>
      </c>
      <c r="DF340" s="314" t="str">
        <f t="shared" si="373"/>
        <v>OK</v>
      </c>
      <c r="DG340" s="482" t="str">
        <f t="shared" si="387"/>
        <v>OK</v>
      </c>
      <c r="DH340" s="482" t="str">
        <f>IF(OR(AND(T340='Adjustment factors'!$R$28,'Class 3, 5-9'!U340='Adjustment factors'!$R$29),AND('Class 3, 5-9'!T340='Adjustment factors'!$R$29,'Class 3, 5-9'!U340='Adjustment factors'!$R$28)),"Invalid combination of adjustment factors",IF(AND(T340=U340,NOT(ISBLANK(T340)),NOT(ISBLANK(U340))),"Same colour factor selected twice","OK"))</f>
        <v>OK</v>
      </c>
      <c r="DI340" s="313" t="str">
        <f t="shared" si="374"/>
        <v>OK</v>
      </c>
      <c r="DJ340" s="153" t="str">
        <f t="shared" si="425"/>
        <v>OK</v>
      </c>
      <c r="DK340" s="153" t="str">
        <f t="shared" si="375"/>
        <v>OK</v>
      </c>
      <c r="DL340" s="313" t="str">
        <f t="shared" si="376"/>
        <v>OK</v>
      </c>
      <c r="DM340" s="153" t="str">
        <f t="shared" si="377"/>
        <v>OK</v>
      </c>
      <c r="DN340" s="153" t="str">
        <f t="shared" si="426"/>
        <v>OK</v>
      </c>
      <c r="DO340" s="154" t="str">
        <f t="shared" si="427"/>
        <v>OK</v>
      </c>
      <c r="DP340" s="153" t="str">
        <f t="shared" si="378"/>
        <v>OK</v>
      </c>
      <c r="DQ340" s="313" t="str">
        <f t="shared" si="379"/>
        <v>OK</v>
      </c>
      <c r="DR340" s="153" t="str">
        <f t="shared" si="428"/>
        <v>OK</v>
      </c>
      <c r="DS340" s="153" t="str">
        <f t="shared" si="380"/>
        <v>OK</v>
      </c>
      <c r="DT340" s="313" t="str">
        <f t="shared" si="441"/>
        <v>OK</v>
      </c>
      <c r="DU340" s="153" t="str">
        <f t="shared" si="381"/>
        <v>OK</v>
      </c>
      <c r="DV340" s="153" t="str">
        <f t="shared" si="429"/>
        <v>OK</v>
      </c>
      <c r="DW340" s="154" t="str">
        <f t="shared" si="430"/>
        <v>OK</v>
      </c>
      <c r="DX340" s="157">
        <f t="shared" si="431"/>
        <v>0</v>
      </c>
      <c r="DY340" s="156" t="str">
        <f t="shared" si="432"/>
        <v>OK</v>
      </c>
    </row>
    <row r="341" spans="1:129" ht="13" hidden="1" x14ac:dyDescent="0.3">
      <c r="A341" s="333"/>
      <c r="B341" s="333"/>
      <c r="C341" s="331" t="str">
        <f t="shared" si="440"/>
        <v>-</v>
      </c>
      <c r="D341" s="584">
        <f t="shared" si="412"/>
        <v>318</v>
      </c>
      <c r="E341" s="585"/>
      <c r="F341" s="586"/>
      <c r="G341" s="600"/>
      <c r="H341" s="587"/>
      <c r="I341" s="601"/>
      <c r="J341" s="585"/>
      <c r="K341" s="617"/>
      <c r="L341" s="602"/>
      <c r="M341" s="603"/>
      <c r="N341" s="588"/>
      <c r="O341" s="604"/>
      <c r="P341" s="605"/>
      <c r="Q341" s="588"/>
      <c r="R341" s="604"/>
      <c r="S341" s="605"/>
      <c r="T341" s="606"/>
      <c r="U341" s="606"/>
      <c r="V341" s="429" t="str">
        <f t="shared" si="437"/>
        <v/>
      </c>
      <c r="W341" s="430" t="str">
        <f t="shared" si="436"/>
        <v/>
      </c>
      <c r="X341" s="66" t="str">
        <f>IF(AND(ISNUMBER(P341),N341=FixedDim),MAX('Adjustment factors'!$S$16,0.2+0.8*P341),IF(ISTEXT(N341),VLOOKUP(N341,Afactors,2,TRUE),""))</f>
        <v/>
      </c>
      <c r="Y341" s="17" t="str">
        <f>IF(AND(ISNUMBER(S341),Q341=FixedDim),MAX('Adjustment factors'!$S$16,0.2+0.8*S341),IF(ISTEXT(Q341),VLOOKUP(Q341,Afactors,2,TRUE),""))</f>
        <v/>
      </c>
      <c r="Z341" s="297" t="str">
        <f>IF(ISBLANK(T341),"",VLOOKUP(T341,'Adjustment factors'!$R$27:$S$30,2,TRUE))</f>
        <v/>
      </c>
      <c r="AA341" s="297" t="str">
        <f>IF(ISBLANK(U341),"",VLOOKUP(U341,'Adjustment factors'!$R$27:$S$30,2,TRUE))</f>
        <v/>
      </c>
      <c r="AB341" s="480">
        <f t="shared" si="382"/>
        <v>1</v>
      </c>
      <c r="AC341" s="18" t="b">
        <f t="shared" si="339"/>
        <v>0</v>
      </c>
      <c r="AD341" s="18" t="b">
        <f t="shared" si="340"/>
        <v>0</v>
      </c>
      <c r="AE341" s="18" t="b">
        <f t="shared" si="433"/>
        <v>0</v>
      </c>
      <c r="AF341" s="17" t="str">
        <f t="shared" si="341"/>
        <v/>
      </c>
      <c r="AG341" s="18" t="str">
        <f t="shared" si="342"/>
        <v/>
      </c>
      <c r="AH341" s="17" t="str">
        <f t="shared" si="434"/>
        <v/>
      </c>
      <c r="AI341" s="297" t="e">
        <f t="shared" si="383"/>
        <v>#VALUE!</v>
      </c>
      <c r="AJ341" s="79" t="e">
        <f t="shared" si="343"/>
        <v>#VALUE!</v>
      </c>
      <c r="AK341" s="17" t="str">
        <f t="shared" si="435"/>
        <v/>
      </c>
      <c r="AL341" s="80" t="e">
        <f t="shared" si="344"/>
        <v>#VALUE!</v>
      </c>
      <c r="AM341" s="139" t="b">
        <f t="shared" si="345"/>
        <v>1</v>
      </c>
      <c r="AN341" s="139" t="b">
        <f>AND(COUNTA(E341)&gt;0,ISNUMBER(F341),OR(COUNT(G341:H341)=0,COUNT(G341:H341)=2,AND(ISNUMBER(G341),ISNUMBER(VALUE(LEFT(H341,SUM(LEN(H341)-LEN(SUBSTITUTE(H341,{"0","1","2","3","4","5","6","7","8","9","."},"")))))))),ISNUMBER(I341),ISTEXT(J341))</f>
        <v>0</v>
      </c>
      <c r="AO341" s="19" t="b">
        <f t="shared" si="346"/>
        <v>0</v>
      </c>
      <c r="AP341" s="19" t="b">
        <f t="shared" si="347"/>
        <v>1</v>
      </c>
      <c r="AQ341" s="19" t="b">
        <f>IF(AND(COUNTBLANK(E341:J341)=6,OR(AN342:AN$523)),NOT(AN341))</f>
        <v>0</v>
      </c>
      <c r="AR341" s="19" t="str">
        <f t="shared" si="348"/>
        <v/>
      </c>
      <c r="AS341" s="19" t="b">
        <f t="shared" si="349"/>
        <v>1</v>
      </c>
      <c r="AT341" s="19" t="str">
        <f t="shared" si="350"/>
        <v/>
      </c>
      <c r="AU341" s="19" t="b">
        <f t="shared" si="351"/>
        <v>1</v>
      </c>
      <c r="AV341" s="140" t="str">
        <f t="shared" si="417"/>
        <v/>
      </c>
      <c r="AW341" s="19" t="str">
        <f t="shared" si="352"/>
        <v/>
      </c>
      <c r="AX341" s="81">
        <f t="shared" si="353"/>
        <v>0</v>
      </c>
      <c r="AY341" s="81" t="str">
        <f t="shared" si="354"/>
        <v/>
      </c>
      <c r="AZ341" s="307" t="str">
        <f t="shared" si="384"/>
        <v/>
      </c>
      <c r="BA341" s="281" t="str">
        <f t="shared" si="418"/>
        <v/>
      </c>
      <c r="BB341" s="281" t="str">
        <f t="shared" si="419"/>
        <v/>
      </c>
      <c r="BC341" s="953"/>
      <c r="BD341" s="955"/>
      <c r="BE341" s="219" t="str">
        <f t="shared" si="355"/>
        <v>n/a</v>
      </c>
      <c r="BF341" s="215" t="b">
        <f t="shared" si="356"/>
        <v>0</v>
      </c>
      <c r="BG341" s="145" t="b">
        <f t="shared" si="357"/>
        <v>0</v>
      </c>
      <c r="BH341" s="145" t="b">
        <f t="shared" si="358"/>
        <v>0</v>
      </c>
      <c r="BI341" s="216" t="b">
        <f t="shared" si="359"/>
        <v>0</v>
      </c>
      <c r="BJ341" s="215" t="b">
        <f t="shared" si="360"/>
        <v>0</v>
      </c>
      <c r="BK341" s="145" t="b">
        <f t="shared" si="361"/>
        <v>0</v>
      </c>
      <c r="BL341" s="216" t="b">
        <f t="shared" si="362"/>
        <v>0</v>
      </c>
      <c r="BM341" s="217" t="str">
        <f t="shared" si="420"/>
        <v/>
      </c>
      <c r="BN341" s="146" t="str">
        <f t="shared" si="421"/>
        <v/>
      </c>
      <c r="BO341" s="147" t="str">
        <f t="shared" si="422"/>
        <v/>
      </c>
      <c r="BP341" s="148" t="str">
        <f t="shared" si="423"/>
        <v/>
      </c>
      <c r="BT341" s="50">
        <f t="shared" si="413"/>
        <v>318</v>
      </c>
      <c r="BU341" s="50" t="str">
        <f t="shared" si="439"/>
        <v>-</v>
      </c>
      <c r="BW341" s="333"/>
      <c r="BX341" s="333"/>
      <c r="BY341" s="333"/>
      <c r="BZ341" s="333"/>
      <c r="CA341" s="333"/>
      <c r="CB341" s="333"/>
      <c r="CC341" s="333"/>
      <c r="CD341" s="333"/>
      <c r="CE341" s="333"/>
      <c r="CF341" s="333"/>
      <c r="CG341" s="354">
        <f t="shared" si="363"/>
        <v>318</v>
      </c>
      <c r="CH341" s="613">
        <f t="shared" si="364"/>
        <v>0</v>
      </c>
      <c r="CI341" s="613">
        <f t="shared" si="365"/>
        <v>0</v>
      </c>
      <c r="CJ341" s="614" t="str">
        <f t="shared" si="366"/>
        <v/>
      </c>
      <c r="CK341" s="615" t="str">
        <f t="shared" si="367"/>
        <v/>
      </c>
      <c r="CL341" s="610" t="str">
        <f>IF(ISBLANK(H341),"",IF(AND(ISNUMBER(F341),ISNUMBER(G341),ISNUMBER(H341)),ROUND(F341/(H341*G341),2),ROUND(F341/(VALUE(LEFT(H341,SUM(LEN(H341)-LEN(SUBSTITUTE(H341,{"0","1","2","3","4","5","6","7","8","9","."},"")))))*G341),2)))</f>
        <v/>
      </c>
      <c r="CM341" s="616" t="str">
        <f t="shared" si="424"/>
        <v/>
      </c>
      <c r="CN341" s="616" t="str">
        <f>IF(ISNUMBER(P341),MAX('Adjustment factors'!$S$16,(0.2+0.8*P341)),IF(ISTEXT(N341),VLOOKUP(N341,Afactors,2,FALSE),""))</f>
        <v/>
      </c>
      <c r="CO341" s="616" t="str">
        <f>IF(ISNUMBER(S341),MAX('Adjustment factors'!$S$16,0.2+0.8*S341),IF(ISTEXT(Q341),VLOOKUP(Q341,Afactors,2,FALSE),""))</f>
        <v/>
      </c>
      <c r="CP341" s="611" t="str">
        <f t="shared" si="385"/>
        <v/>
      </c>
      <c r="CQ341" s="612" t="str">
        <f t="shared" si="386"/>
        <v/>
      </c>
      <c r="CR341" s="340"/>
      <c r="CS341" s="340"/>
      <c r="CT341" s="340"/>
      <c r="CU341" s="340"/>
      <c r="CV341" s="333"/>
      <c r="CW341" s="333"/>
      <c r="CX341" s="333"/>
      <c r="CY341" s="333"/>
      <c r="DA341" s="313" t="str">
        <f t="shared" si="368"/>
        <v>OK</v>
      </c>
      <c r="DB341" s="313" t="str">
        <f t="shared" si="369"/>
        <v>OK</v>
      </c>
      <c r="DC341" s="313" t="str">
        <f t="shared" si="370"/>
        <v>OK</v>
      </c>
      <c r="DD341" s="313" t="str">
        <f t="shared" si="371"/>
        <v>OK</v>
      </c>
      <c r="DE341" s="153" t="str">
        <f t="shared" si="372"/>
        <v>OK</v>
      </c>
      <c r="DF341" s="314" t="str">
        <f t="shared" si="373"/>
        <v>OK</v>
      </c>
      <c r="DG341" s="482" t="str">
        <f t="shared" si="387"/>
        <v>OK</v>
      </c>
      <c r="DH341" s="482" t="str">
        <f>IF(OR(AND(T341='Adjustment factors'!$R$28,'Class 3, 5-9'!U341='Adjustment factors'!$R$29),AND('Class 3, 5-9'!T341='Adjustment factors'!$R$29,'Class 3, 5-9'!U341='Adjustment factors'!$R$28)),"Invalid combination of adjustment factors",IF(AND(T341=U341,NOT(ISBLANK(T341)),NOT(ISBLANK(U341))),"Same colour factor selected twice","OK"))</f>
        <v>OK</v>
      </c>
      <c r="DI341" s="313" t="str">
        <f t="shared" si="374"/>
        <v>OK</v>
      </c>
      <c r="DJ341" s="153" t="str">
        <f t="shared" si="425"/>
        <v>OK</v>
      </c>
      <c r="DK341" s="153" t="str">
        <f t="shared" si="375"/>
        <v>OK</v>
      </c>
      <c r="DL341" s="313" t="str">
        <f t="shared" si="376"/>
        <v>OK</v>
      </c>
      <c r="DM341" s="153" t="str">
        <f t="shared" si="377"/>
        <v>OK</v>
      </c>
      <c r="DN341" s="153" t="str">
        <f t="shared" si="426"/>
        <v>OK</v>
      </c>
      <c r="DO341" s="154" t="str">
        <f t="shared" si="427"/>
        <v>OK</v>
      </c>
      <c r="DP341" s="153" t="str">
        <f t="shared" si="378"/>
        <v>OK</v>
      </c>
      <c r="DQ341" s="313" t="str">
        <f t="shared" si="379"/>
        <v>OK</v>
      </c>
      <c r="DR341" s="153" t="str">
        <f t="shared" si="428"/>
        <v>OK</v>
      </c>
      <c r="DS341" s="153" t="str">
        <f t="shared" si="380"/>
        <v>OK</v>
      </c>
      <c r="DT341" s="313" t="str">
        <f t="shared" si="441"/>
        <v>OK</v>
      </c>
      <c r="DU341" s="153" t="str">
        <f t="shared" si="381"/>
        <v>OK</v>
      </c>
      <c r="DV341" s="153" t="str">
        <f t="shared" si="429"/>
        <v>OK</v>
      </c>
      <c r="DW341" s="154" t="str">
        <f t="shared" si="430"/>
        <v>OK</v>
      </c>
      <c r="DX341" s="157">
        <f t="shared" si="431"/>
        <v>0</v>
      </c>
      <c r="DY341" s="156" t="str">
        <f t="shared" si="432"/>
        <v>OK</v>
      </c>
    </row>
    <row r="342" spans="1:129" ht="13" hidden="1" x14ac:dyDescent="0.3">
      <c r="A342" s="333"/>
      <c r="B342" s="333"/>
      <c r="C342" s="331" t="str">
        <f t="shared" si="440"/>
        <v>-</v>
      </c>
      <c r="D342" s="584">
        <f t="shared" si="412"/>
        <v>319</v>
      </c>
      <c r="E342" s="585"/>
      <c r="F342" s="586"/>
      <c r="G342" s="600"/>
      <c r="H342" s="587"/>
      <c r="I342" s="601"/>
      <c r="J342" s="585"/>
      <c r="K342" s="617"/>
      <c r="L342" s="602"/>
      <c r="M342" s="603"/>
      <c r="N342" s="588"/>
      <c r="O342" s="604"/>
      <c r="P342" s="605"/>
      <c r="Q342" s="588"/>
      <c r="R342" s="604"/>
      <c r="S342" s="605"/>
      <c r="T342" s="606"/>
      <c r="U342" s="606"/>
      <c r="V342" s="429" t="str">
        <f t="shared" si="437"/>
        <v/>
      </c>
      <c r="W342" s="430" t="str">
        <f t="shared" si="436"/>
        <v/>
      </c>
      <c r="X342" s="66" t="str">
        <f>IF(AND(ISNUMBER(P342),N342=FixedDim),MAX('Adjustment factors'!$S$16,0.2+0.8*P342),IF(ISTEXT(N342),VLOOKUP(N342,Afactors,2,TRUE),""))</f>
        <v/>
      </c>
      <c r="Y342" s="17" t="str">
        <f>IF(AND(ISNUMBER(S342),Q342=FixedDim),MAX('Adjustment factors'!$S$16,0.2+0.8*S342),IF(ISTEXT(Q342),VLOOKUP(Q342,Afactors,2,TRUE),""))</f>
        <v/>
      </c>
      <c r="Z342" s="297" t="str">
        <f>IF(ISBLANK(T342),"",VLOOKUP(T342,'Adjustment factors'!$R$27:$S$30,2,TRUE))</f>
        <v/>
      </c>
      <c r="AA342" s="297" t="str">
        <f>IF(ISBLANK(U342),"",VLOOKUP(U342,'Adjustment factors'!$R$27:$S$30,2,TRUE))</f>
        <v/>
      </c>
      <c r="AB342" s="480">
        <f t="shared" si="382"/>
        <v>1</v>
      </c>
      <c r="AC342" s="18" t="b">
        <f t="shared" si="339"/>
        <v>0</v>
      </c>
      <c r="AD342" s="18" t="b">
        <f t="shared" si="340"/>
        <v>0</v>
      </c>
      <c r="AE342" s="18" t="b">
        <f t="shared" si="433"/>
        <v>0</v>
      </c>
      <c r="AF342" s="17" t="str">
        <f t="shared" si="341"/>
        <v/>
      </c>
      <c r="AG342" s="18" t="str">
        <f t="shared" si="342"/>
        <v/>
      </c>
      <c r="AH342" s="17" t="str">
        <f t="shared" si="434"/>
        <v/>
      </c>
      <c r="AI342" s="297" t="e">
        <f t="shared" si="383"/>
        <v>#VALUE!</v>
      </c>
      <c r="AJ342" s="79" t="e">
        <f t="shared" si="343"/>
        <v>#VALUE!</v>
      </c>
      <c r="AK342" s="17" t="str">
        <f t="shared" si="435"/>
        <v/>
      </c>
      <c r="AL342" s="80" t="e">
        <f t="shared" si="344"/>
        <v>#VALUE!</v>
      </c>
      <c r="AM342" s="139" t="b">
        <f t="shared" si="345"/>
        <v>1</v>
      </c>
      <c r="AN342" s="139" t="b">
        <f>AND(COUNTA(E342)&gt;0,ISNUMBER(F342),OR(COUNT(G342:H342)=0,COUNT(G342:H342)=2,AND(ISNUMBER(G342),ISNUMBER(VALUE(LEFT(H342,SUM(LEN(H342)-LEN(SUBSTITUTE(H342,{"0","1","2","3","4","5","6","7","8","9","."},"")))))))),ISNUMBER(I342),ISTEXT(J342))</f>
        <v>0</v>
      </c>
      <c r="AO342" s="19" t="b">
        <f t="shared" si="346"/>
        <v>0</v>
      </c>
      <c r="AP342" s="19" t="b">
        <f t="shared" si="347"/>
        <v>1</v>
      </c>
      <c r="AQ342" s="19" t="b">
        <f>IF(AND(COUNTBLANK(E342:J342)=6,OR(AN343:AN$523)),NOT(AN342))</f>
        <v>0</v>
      </c>
      <c r="AR342" s="19" t="str">
        <f t="shared" si="348"/>
        <v/>
      </c>
      <c r="AS342" s="19" t="b">
        <f t="shared" si="349"/>
        <v>1</v>
      </c>
      <c r="AT342" s="19" t="str">
        <f t="shared" si="350"/>
        <v/>
      </c>
      <c r="AU342" s="19" t="b">
        <f t="shared" si="351"/>
        <v>1</v>
      </c>
      <c r="AV342" s="140" t="str">
        <f t="shared" si="417"/>
        <v/>
      </c>
      <c r="AW342" s="19" t="str">
        <f t="shared" si="352"/>
        <v/>
      </c>
      <c r="AX342" s="81">
        <f t="shared" si="353"/>
        <v>0</v>
      </c>
      <c r="AY342" s="81" t="str">
        <f t="shared" si="354"/>
        <v/>
      </c>
      <c r="AZ342" s="307" t="str">
        <f t="shared" si="384"/>
        <v/>
      </c>
      <c r="BA342" s="281" t="str">
        <f t="shared" si="418"/>
        <v/>
      </c>
      <c r="BB342" s="281" t="str">
        <f t="shared" si="419"/>
        <v/>
      </c>
      <c r="BC342" s="953"/>
      <c r="BD342" s="955"/>
      <c r="BE342" s="219" t="str">
        <f t="shared" si="355"/>
        <v>n/a</v>
      </c>
      <c r="BF342" s="215" t="b">
        <f t="shared" si="356"/>
        <v>0</v>
      </c>
      <c r="BG342" s="145" t="b">
        <f t="shared" si="357"/>
        <v>0</v>
      </c>
      <c r="BH342" s="145" t="b">
        <f t="shared" si="358"/>
        <v>0</v>
      </c>
      <c r="BI342" s="216" t="b">
        <f t="shared" si="359"/>
        <v>0</v>
      </c>
      <c r="BJ342" s="215" t="b">
        <f t="shared" si="360"/>
        <v>0</v>
      </c>
      <c r="BK342" s="145" t="b">
        <f t="shared" si="361"/>
        <v>0</v>
      </c>
      <c r="BL342" s="216" t="b">
        <f t="shared" si="362"/>
        <v>0</v>
      </c>
      <c r="BM342" s="217" t="str">
        <f t="shared" si="420"/>
        <v/>
      </c>
      <c r="BN342" s="146" t="str">
        <f t="shared" si="421"/>
        <v/>
      </c>
      <c r="BO342" s="147" t="str">
        <f t="shared" si="422"/>
        <v/>
      </c>
      <c r="BP342" s="148" t="str">
        <f t="shared" si="423"/>
        <v/>
      </c>
      <c r="BT342" s="50">
        <f t="shared" si="413"/>
        <v>319</v>
      </c>
      <c r="BU342" s="50" t="str">
        <f t="shared" si="439"/>
        <v>-</v>
      </c>
      <c r="BW342" s="333"/>
      <c r="BX342" s="333"/>
      <c r="BY342" s="333"/>
      <c r="BZ342" s="333"/>
      <c r="CA342" s="333"/>
      <c r="CB342" s="333"/>
      <c r="CC342" s="333"/>
      <c r="CD342" s="333"/>
      <c r="CE342" s="333"/>
      <c r="CF342" s="333"/>
      <c r="CG342" s="354">
        <f t="shared" si="363"/>
        <v>319</v>
      </c>
      <c r="CH342" s="613">
        <f t="shared" si="364"/>
        <v>0</v>
      </c>
      <c r="CI342" s="613">
        <f t="shared" si="365"/>
        <v>0</v>
      </c>
      <c r="CJ342" s="614" t="str">
        <f t="shared" si="366"/>
        <v/>
      </c>
      <c r="CK342" s="615" t="str">
        <f t="shared" si="367"/>
        <v/>
      </c>
      <c r="CL342" s="610" t="str">
        <f>IF(ISBLANK(H342),"",IF(AND(ISNUMBER(F342),ISNUMBER(G342),ISNUMBER(H342)),ROUND(F342/(H342*G342),2),ROUND(F342/(VALUE(LEFT(H342,SUM(LEN(H342)-LEN(SUBSTITUTE(H342,{"0","1","2","3","4","5","6","7","8","9","."},"")))))*G342),2)))</f>
        <v/>
      </c>
      <c r="CM342" s="616" t="str">
        <f t="shared" si="424"/>
        <v/>
      </c>
      <c r="CN342" s="616" t="str">
        <f>IF(ISNUMBER(P342),MAX('Adjustment factors'!$S$16,(0.2+0.8*P342)),IF(ISTEXT(N342),VLOOKUP(N342,Afactors,2,FALSE),""))</f>
        <v/>
      </c>
      <c r="CO342" s="616" t="str">
        <f>IF(ISNUMBER(S342),MAX('Adjustment factors'!$S$16,0.2+0.8*S342),IF(ISTEXT(Q342),VLOOKUP(Q342,Afactors,2,FALSE),""))</f>
        <v/>
      </c>
      <c r="CP342" s="611" t="str">
        <f t="shared" si="385"/>
        <v/>
      </c>
      <c r="CQ342" s="612" t="str">
        <f t="shared" si="386"/>
        <v/>
      </c>
      <c r="CR342" s="340"/>
      <c r="CS342" s="340"/>
      <c r="CT342" s="340"/>
      <c r="CU342" s="340"/>
      <c r="CV342" s="333"/>
      <c r="CW342" s="333"/>
      <c r="CX342" s="333"/>
      <c r="CY342" s="333"/>
      <c r="DA342" s="313" t="str">
        <f t="shared" si="368"/>
        <v>OK</v>
      </c>
      <c r="DB342" s="313" t="str">
        <f t="shared" si="369"/>
        <v>OK</v>
      </c>
      <c r="DC342" s="313" t="str">
        <f t="shared" si="370"/>
        <v>OK</v>
      </c>
      <c r="DD342" s="313" t="str">
        <f t="shared" si="371"/>
        <v>OK</v>
      </c>
      <c r="DE342" s="153" t="str">
        <f t="shared" si="372"/>
        <v>OK</v>
      </c>
      <c r="DF342" s="314" t="str">
        <f t="shared" si="373"/>
        <v>OK</v>
      </c>
      <c r="DG342" s="482" t="str">
        <f t="shared" si="387"/>
        <v>OK</v>
      </c>
      <c r="DH342" s="482" t="str">
        <f>IF(OR(AND(T342='Adjustment factors'!$R$28,'Class 3, 5-9'!U342='Adjustment factors'!$R$29),AND('Class 3, 5-9'!T342='Adjustment factors'!$R$29,'Class 3, 5-9'!U342='Adjustment factors'!$R$28)),"Invalid combination of adjustment factors",IF(AND(T342=U342,NOT(ISBLANK(T342)),NOT(ISBLANK(U342))),"Same colour factor selected twice","OK"))</f>
        <v>OK</v>
      </c>
      <c r="DI342" s="313" t="str">
        <f t="shared" si="374"/>
        <v>OK</v>
      </c>
      <c r="DJ342" s="153" t="str">
        <f t="shared" si="425"/>
        <v>OK</v>
      </c>
      <c r="DK342" s="153" t="str">
        <f t="shared" si="375"/>
        <v>OK</v>
      </c>
      <c r="DL342" s="313" t="str">
        <f t="shared" si="376"/>
        <v>OK</v>
      </c>
      <c r="DM342" s="153" t="str">
        <f t="shared" si="377"/>
        <v>OK</v>
      </c>
      <c r="DN342" s="153" t="str">
        <f t="shared" si="426"/>
        <v>OK</v>
      </c>
      <c r="DO342" s="154" t="str">
        <f t="shared" si="427"/>
        <v>OK</v>
      </c>
      <c r="DP342" s="153" t="str">
        <f t="shared" si="378"/>
        <v>OK</v>
      </c>
      <c r="DQ342" s="313" t="str">
        <f t="shared" si="379"/>
        <v>OK</v>
      </c>
      <c r="DR342" s="153" t="str">
        <f t="shared" si="428"/>
        <v>OK</v>
      </c>
      <c r="DS342" s="153" t="str">
        <f t="shared" si="380"/>
        <v>OK</v>
      </c>
      <c r="DT342" s="313" t="str">
        <f t="shared" si="441"/>
        <v>OK</v>
      </c>
      <c r="DU342" s="153" t="str">
        <f t="shared" si="381"/>
        <v>OK</v>
      </c>
      <c r="DV342" s="153" t="str">
        <f t="shared" si="429"/>
        <v>OK</v>
      </c>
      <c r="DW342" s="154" t="str">
        <f t="shared" si="430"/>
        <v>OK</v>
      </c>
      <c r="DX342" s="157">
        <f t="shared" si="431"/>
        <v>0</v>
      </c>
      <c r="DY342" s="156" t="str">
        <f t="shared" si="432"/>
        <v>OK</v>
      </c>
    </row>
    <row r="343" spans="1:129" ht="13" hidden="1" x14ac:dyDescent="0.3">
      <c r="A343" s="333"/>
      <c r="B343" s="333"/>
      <c r="C343" s="331" t="str">
        <f t="shared" si="440"/>
        <v>-</v>
      </c>
      <c r="D343" s="584">
        <f t="shared" si="412"/>
        <v>320</v>
      </c>
      <c r="E343" s="585"/>
      <c r="F343" s="586"/>
      <c r="G343" s="600"/>
      <c r="H343" s="587"/>
      <c r="I343" s="601"/>
      <c r="J343" s="585"/>
      <c r="K343" s="617"/>
      <c r="L343" s="602"/>
      <c r="M343" s="603"/>
      <c r="N343" s="588"/>
      <c r="O343" s="604"/>
      <c r="P343" s="605"/>
      <c r="Q343" s="588"/>
      <c r="R343" s="604"/>
      <c r="S343" s="605"/>
      <c r="T343" s="606"/>
      <c r="U343" s="606"/>
      <c r="V343" s="429" t="str">
        <f t="shared" si="437"/>
        <v/>
      </c>
      <c r="W343" s="430" t="str">
        <f t="shared" si="436"/>
        <v/>
      </c>
      <c r="X343" s="66" t="str">
        <f>IF(AND(ISNUMBER(P343),N343=FixedDim),MAX('Adjustment factors'!$S$16,0.2+0.8*P343),IF(ISTEXT(N343),VLOOKUP(N343,Afactors,2,TRUE),""))</f>
        <v/>
      </c>
      <c r="Y343" s="17" t="str">
        <f>IF(AND(ISNUMBER(S343),Q343=FixedDim),MAX('Adjustment factors'!$S$16,0.2+0.8*S343),IF(ISTEXT(Q343),VLOOKUP(Q343,Afactors,2,TRUE),""))</f>
        <v/>
      </c>
      <c r="Z343" s="297" t="str">
        <f>IF(ISBLANK(T343),"",VLOOKUP(T343,'Adjustment factors'!$R$27:$S$30,2,TRUE))</f>
        <v/>
      </c>
      <c r="AA343" s="297" t="str">
        <f>IF(ISBLANK(U343),"",VLOOKUP(U343,'Adjustment factors'!$R$27:$S$30,2,TRUE))</f>
        <v/>
      </c>
      <c r="AB343" s="480">
        <f t="shared" si="382"/>
        <v>1</v>
      </c>
      <c r="AC343" s="18" t="b">
        <f t="shared" si="339"/>
        <v>0</v>
      </c>
      <c r="AD343" s="18" t="b">
        <f t="shared" si="340"/>
        <v>0</v>
      </c>
      <c r="AE343" s="18" t="b">
        <f t="shared" si="433"/>
        <v>0</v>
      </c>
      <c r="AF343" s="17" t="str">
        <f t="shared" si="341"/>
        <v/>
      </c>
      <c r="AG343" s="18" t="str">
        <f t="shared" si="342"/>
        <v/>
      </c>
      <c r="AH343" s="17" t="str">
        <f t="shared" si="434"/>
        <v/>
      </c>
      <c r="AI343" s="297" t="e">
        <f t="shared" si="383"/>
        <v>#VALUE!</v>
      </c>
      <c r="AJ343" s="79" t="e">
        <f t="shared" si="343"/>
        <v>#VALUE!</v>
      </c>
      <c r="AK343" s="17" t="str">
        <f t="shared" si="435"/>
        <v/>
      </c>
      <c r="AL343" s="80" t="e">
        <f t="shared" si="344"/>
        <v>#VALUE!</v>
      </c>
      <c r="AM343" s="139" t="b">
        <f t="shared" si="345"/>
        <v>1</v>
      </c>
      <c r="AN343" s="139" t="b">
        <f>AND(COUNTA(E343)&gt;0,ISNUMBER(F343),OR(COUNT(G343:H343)=0,COUNT(G343:H343)=2,AND(ISNUMBER(G343),ISNUMBER(VALUE(LEFT(H343,SUM(LEN(H343)-LEN(SUBSTITUTE(H343,{"0","1","2","3","4","5","6","7","8","9","."},"")))))))),ISNUMBER(I343),ISTEXT(J343))</f>
        <v>0</v>
      </c>
      <c r="AO343" s="19" t="b">
        <f t="shared" si="346"/>
        <v>0</v>
      </c>
      <c r="AP343" s="19" t="b">
        <f t="shared" si="347"/>
        <v>1</v>
      </c>
      <c r="AQ343" s="19" t="b">
        <f>IF(AND(COUNTBLANK(E343:J343)=6,OR(AN344:AN$523)),NOT(AN343))</f>
        <v>0</v>
      </c>
      <c r="AR343" s="19" t="str">
        <f t="shared" si="348"/>
        <v/>
      </c>
      <c r="AS343" s="19" t="b">
        <f t="shared" si="349"/>
        <v>1</v>
      </c>
      <c r="AT343" s="19" t="str">
        <f t="shared" si="350"/>
        <v/>
      </c>
      <c r="AU343" s="19" t="b">
        <f t="shared" si="351"/>
        <v>1</v>
      </c>
      <c r="AV343" s="140" t="str">
        <f t="shared" si="417"/>
        <v/>
      </c>
      <c r="AW343" s="19" t="str">
        <f t="shared" si="352"/>
        <v/>
      </c>
      <c r="AX343" s="81">
        <f t="shared" si="353"/>
        <v>0</v>
      </c>
      <c r="AY343" s="81" t="str">
        <f t="shared" si="354"/>
        <v/>
      </c>
      <c r="AZ343" s="307" t="str">
        <f t="shared" si="384"/>
        <v/>
      </c>
      <c r="BA343" s="281" t="str">
        <f t="shared" si="418"/>
        <v/>
      </c>
      <c r="BB343" s="281" t="str">
        <f t="shared" si="419"/>
        <v/>
      </c>
      <c r="BC343" s="953"/>
      <c r="BD343" s="955"/>
      <c r="BE343" s="219" t="str">
        <f t="shared" si="355"/>
        <v>n/a</v>
      </c>
      <c r="BF343" s="215" t="b">
        <f t="shared" si="356"/>
        <v>0</v>
      </c>
      <c r="BG343" s="145" t="b">
        <f t="shared" si="357"/>
        <v>0</v>
      </c>
      <c r="BH343" s="145" t="b">
        <f t="shared" si="358"/>
        <v>0</v>
      </c>
      <c r="BI343" s="216" t="b">
        <f t="shared" si="359"/>
        <v>0</v>
      </c>
      <c r="BJ343" s="215" t="b">
        <f t="shared" si="360"/>
        <v>0</v>
      </c>
      <c r="BK343" s="145" t="b">
        <f t="shared" si="361"/>
        <v>0</v>
      </c>
      <c r="BL343" s="216" t="b">
        <f t="shared" si="362"/>
        <v>0</v>
      </c>
      <c r="BM343" s="217" t="str">
        <f t="shared" si="420"/>
        <v/>
      </c>
      <c r="BN343" s="146" t="str">
        <f t="shared" si="421"/>
        <v/>
      </c>
      <c r="BO343" s="147" t="str">
        <f t="shared" si="422"/>
        <v/>
      </c>
      <c r="BP343" s="148" t="str">
        <f t="shared" si="423"/>
        <v/>
      </c>
      <c r="BT343" s="50">
        <f t="shared" si="413"/>
        <v>320</v>
      </c>
      <c r="BU343" s="50" t="str">
        <f t="shared" si="439"/>
        <v>-</v>
      </c>
      <c r="BW343" s="333"/>
      <c r="BX343" s="333"/>
      <c r="BY343" s="333"/>
      <c r="BZ343" s="333"/>
      <c r="CA343" s="333"/>
      <c r="CB343" s="333"/>
      <c r="CC343" s="333"/>
      <c r="CD343" s="333"/>
      <c r="CE343" s="333"/>
      <c r="CF343" s="333"/>
      <c r="CG343" s="354">
        <f t="shared" si="363"/>
        <v>320</v>
      </c>
      <c r="CH343" s="613">
        <f t="shared" si="364"/>
        <v>0</v>
      </c>
      <c r="CI343" s="613">
        <f t="shared" si="365"/>
        <v>0</v>
      </c>
      <c r="CJ343" s="614" t="str">
        <f t="shared" si="366"/>
        <v/>
      </c>
      <c r="CK343" s="615" t="str">
        <f t="shared" si="367"/>
        <v/>
      </c>
      <c r="CL343" s="610" t="str">
        <f>IF(ISBLANK(H343),"",IF(AND(ISNUMBER(F343),ISNUMBER(G343),ISNUMBER(H343)),ROUND(F343/(H343*G343),2),ROUND(F343/(VALUE(LEFT(H343,SUM(LEN(H343)-LEN(SUBSTITUTE(H343,{"0","1","2","3","4","5","6","7","8","9","."},"")))))*G343),2)))</f>
        <v/>
      </c>
      <c r="CM343" s="616" t="str">
        <f t="shared" si="424"/>
        <v/>
      </c>
      <c r="CN343" s="616" t="str">
        <f>IF(ISNUMBER(P343),MAX('Adjustment factors'!$S$16,(0.2+0.8*P343)),IF(ISTEXT(N343),VLOOKUP(N343,Afactors,2,FALSE),""))</f>
        <v/>
      </c>
      <c r="CO343" s="616" t="str">
        <f>IF(ISNUMBER(S343),MAX('Adjustment factors'!$S$16,0.2+0.8*S343),IF(ISTEXT(Q343),VLOOKUP(Q343,Afactors,2,FALSE),""))</f>
        <v/>
      </c>
      <c r="CP343" s="611" t="str">
        <f t="shared" si="385"/>
        <v/>
      </c>
      <c r="CQ343" s="612" t="str">
        <f t="shared" si="386"/>
        <v/>
      </c>
      <c r="CR343" s="340"/>
      <c r="CS343" s="340"/>
      <c r="CT343" s="340"/>
      <c r="CU343" s="340"/>
      <c r="CV343" s="333"/>
      <c r="CW343" s="333"/>
      <c r="CX343" s="333"/>
      <c r="CY343" s="333"/>
      <c r="DA343" s="313" t="str">
        <f t="shared" si="368"/>
        <v>OK</v>
      </c>
      <c r="DB343" s="313" t="str">
        <f t="shared" si="369"/>
        <v>OK</v>
      </c>
      <c r="DC343" s="313" t="str">
        <f t="shared" si="370"/>
        <v>OK</v>
      </c>
      <c r="DD343" s="313" t="str">
        <f t="shared" si="371"/>
        <v>OK</v>
      </c>
      <c r="DE343" s="153" t="str">
        <f t="shared" si="372"/>
        <v>OK</v>
      </c>
      <c r="DF343" s="314" t="str">
        <f t="shared" si="373"/>
        <v>OK</v>
      </c>
      <c r="DG343" s="482" t="str">
        <f t="shared" si="387"/>
        <v>OK</v>
      </c>
      <c r="DH343" s="482" t="str">
        <f>IF(OR(AND(T343='Adjustment factors'!$R$28,'Class 3, 5-9'!U343='Adjustment factors'!$R$29),AND('Class 3, 5-9'!T343='Adjustment factors'!$R$29,'Class 3, 5-9'!U343='Adjustment factors'!$R$28)),"Invalid combination of adjustment factors",IF(AND(T343=U343,NOT(ISBLANK(T343)),NOT(ISBLANK(U343))),"Same colour factor selected twice","OK"))</f>
        <v>OK</v>
      </c>
      <c r="DI343" s="313" t="str">
        <f t="shared" si="374"/>
        <v>OK</v>
      </c>
      <c r="DJ343" s="153" t="str">
        <f t="shared" si="425"/>
        <v>OK</v>
      </c>
      <c r="DK343" s="153" t="str">
        <f t="shared" si="375"/>
        <v>OK</v>
      </c>
      <c r="DL343" s="313" t="str">
        <f t="shared" si="376"/>
        <v>OK</v>
      </c>
      <c r="DM343" s="153" t="str">
        <f t="shared" si="377"/>
        <v>OK</v>
      </c>
      <c r="DN343" s="153" t="str">
        <f t="shared" si="426"/>
        <v>OK</v>
      </c>
      <c r="DO343" s="154" t="str">
        <f t="shared" si="427"/>
        <v>OK</v>
      </c>
      <c r="DP343" s="153" t="str">
        <f t="shared" si="378"/>
        <v>OK</v>
      </c>
      <c r="DQ343" s="313" t="str">
        <f t="shared" si="379"/>
        <v>OK</v>
      </c>
      <c r="DR343" s="153" t="str">
        <f t="shared" si="428"/>
        <v>OK</v>
      </c>
      <c r="DS343" s="153" t="str">
        <f t="shared" si="380"/>
        <v>OK</v>
      </c>
      <c r="DT343" s="313" t="str">
        <f t="shared" si="441"/>
        <v>OK</v>
      </c>
      <c r="DU343" s="153" t="str">
        <f t="shared" si="381"/>
        <v>OK</v>
      </c>
      <c r="DV343" s="153" t="str">
        <f t="shared" si="429"/>
        <v>OK</v>
      </c>
      <c r="DW343" s="154" t="str">
        <f t="shared" si="430"/>
        <v>OK</v>
      </c>
      <c r="DX343" s="157">
        <f t="shared" si="431"/>
        <v>0</v>
      </c>
      <c r="DY343" s="156" t="str">
        <f t="shared" si="432"/>
        <v>OK</v>
      </c>
    </row>
    <row r="344" spans="1:129" ht="13" hidden="1" x14ac:dyDescent="0.3">
      <c r="A344" s="333"/>
      <c r="B344" s="333"/>
      <c r="C344" s="331" t="str">
        <f t="shared" si="440"/>
        <v>-</v>
      </c>
      <c r="D344" s="584">
        <f t="shared" si="412"/>
        <v>321</v>
      </c>
      <c r="E344" s="585"/>
      <c r="F344" s="586"/>
      <c r="G344" s="600"/>
      <c r="H344" s="587"/>
      <c r="I344" s="601"/>
      <c r="J344" s="585"/>
      <c r="K344" s="617"/>
      <c r="L344" s="602"/>
      <c r="M344" s="603"/>
      <c r="N344" s="588"/>
      <c r="O344" s="604"/>
      <c r="P344" s="605"/>
      <c r="Q344" s="588"/>
      <c r="R344" s="604"/>
      <c r="S344" s="605"/>
      <c r="T344" s="606"/>
      <c r="U344" s="606"/>
      <c r="V344" s="429" t="str">
        <f t="shared" si="437"/>
        <v/>
      </c>
      <c r="W344" s="430" t="str">
        <f t="shared" si="436"/>
        <v/>
      </c>
      <c r="X344" s="66" t="str">
        <f>IF(AND(ISNUMBER(P344),N344=FixedDim),MAX('Adjustment factors'!$S$16,0.2+0.8*P344),IF(ISTEXT(N344),VLOOKUP(N344,Afactors,2,TRUE),""))</f>
        <v/>
      </c>
      <c r="Y344" s="17" t="str">
        <f>IF(AND(ISNUMBER(S344),Q344=FixedDim),MAX('Adjustment factors'!$S$16,0.2+0.8*S344),IF(ISTEXT(Q344),VLOOKUP(Q344,Afactors,2,TRUE),""))</f>
        <v/>
      </c>
      <c r="Z344" s="297" t="str">
        <f>IF(ISBLANK(T344),"",VLOOKUP(T344,'Adjustment factors'!$R$27:$S$30,2,TRUE))</f>
        <v/>
      </c>
      <c r="AA344" s="297" t="str">
        <f>IF(ISBLANK(U344),"",VLOOKUP(U344,'Adjustment factors'!$R$27:$S$30,2,TRUE))</f>
        <v/>
      </c>
      <c r="AB344" s="480">
        <f t="shared" si="382"/>
        <v>1</v>
      </c>
      <c r="AC344" s="18" t="b">
        <f t="shared" ref="AC344:AC407" si="442">OR(ISNUMBER(X344),ISNUMBER(Y344))</f>
        <v>0</v>
      </c>
      <c r="AD344" s="18" t="b">
        <f t="shared" ref="AD344:AD407" si="443">AND(ISNUMBER(X344),ISNUMBER(Y344))</f>
        <v>0</v>
      </c>
      <c r="AE344" s="18" t="b">
        <f t="shared" si="433"/>
        <v>0</v>
      </c>
      <c r="AF344" s="17" t="str">
        <f t="shared" ref="AF344:AF407" si="444">IF(OR(ISNUMBER(X344),ISNUMBER(Y344)),SMALL(X344:Y344,1),"")</f>
        <v/>
      </c>
      <c r="AG344" s="18" t="str">
        <f t="shared" ref="AG344:AG407" si="445">IF(AD344,SMALL(X344:Y344,2),"")</f>
        <v/>
      </c>
      <c r="AH344" s="17" t="str">
        <f t="shared" si="434"/>
        <v/>
      </c>
      <c r="AI344" s="297" t="e">
        <f t="shared" si="383"/>
        <v>#VALUE!</v>
      </c>
      <c r="AJ344" s="79" t="e">
        <f t="shared" ref="AJ344:AJ407" si="446">IF(AND(AC344,AE344,AR344),AI344/X344,IF(AE344,AI344,IF(AND(AC344,AR344),AI344/X344,IF(AND(NOT(AC344),NOT(AE344)),CK344/AB344,""))))</f>
        <v>#VALUE!</v>
      </c>
      <c r="AK344" s="17" t="str">
        <f t="shared" si="435"/>
        <v/>
      </c>
      <c r="AL344" s="80" t="e">
        <f t="shared" ref="AL344:AL407" si="447">IF(AND(AD344,AE344),IF(Q344=FixedDim,IF(ISNUMBER(S344),AI344/AK344,""),AI344/AK344),IF(AND(AD344,Q344=FixedDim,ISNUMBER(S344)),CK344/AK344,IF(AND(AD344,Q344=FixedDim,ISBLANK(S344)),"",CK344/(AK344*AB344))))</f>
        <v>#VALUE!</v>
      </c>
      <c r="AM344" s="139" t="b">
        <f t="shared" ref="AM344:AM407" si="448">OR(AND(NOT(ISBLANK(E344)),AN344),COUNTA(E344:J344)+COUNTA(N344:S344)=0)</f>
        <v>1</v>
      </c>
      <c r="AN344" s="139" t="b">
        <f>AND(COUNTA(E344)&gt;0,ISNUMBER(F344),OR(COUNT(G344:H344)=0,COUNT(G344:H344)=2,AND(ISNUMBER(G344),ISNUMBER(VALUE(LEFT(H344,SUM(LEN(H344)-LEN(SUBSTITUTE(H344,{"0","1","2","3","4","5","6","7","8","9","."},"")))))))),ISNUMBER(I344),ISTEXT(J344))</f>
        <v>0</v>
      </c>
      <c r="AO344" s="19" t="b">
        <f t="shared" ref="AO344:AO407" si="449">NOT(COUNTBLANK(E344:J344)=6)</f>
        <v>0</v>
      </c>
      <c r="AP344" s="19" t="b">
        <f t="shared" ref="AP344:AP407" si="450">COUNTBLANK(E344:J344)=6</f>
        <v>1</v>
      </c>
      <c r="AQ344" s="19" t="b">
        <f>IF(AND(COUNTBLANK(E344:J344)=6,OR(AN345:AN$523)),NOT(AN344))</f>
        <v>0</v>
      </c>
      <c r="AR344" s="19" t="str">
        <f t="shared" ref="AR344:AR407" si="451">IF(COUNTBLANK(N344)&lt;=0,OR(AND(VLOOKUP(N344,Afactors,3,TRUE),NOT(ISNUMBER(O344)),NOT(ISNUMBER(P344))),AND(N344=FixedDim,NOT(ISNUMBER(O344)),(ISNUMBER(P344))),AND(N344=ProgDim,NOT(ISNUMBER(P344)),(ISNUMBER(O344)),O344&gt;=0.75)),IF(AS344,"",FALSE))</f>
        <v/>
      </c>
      <c r="AS344" s="19" t="b">
        <f t="shared" ref="AS344:AS407" si="452">AND(ISBLANK(O344),ISBLANK(P344))</f>
        <v>1</v>
      </c>
      <c r="AT344" s="19" t="str">
        <f t="shared" ref="AT344:AT407" si="453">IF(COUNTBLANK(Q344)&lt;=0,OR(AND(VLOOKUP(Q344,Afactors,3,TRUE),NOT(ISNUMBER(R344)),NOT(ISNUMBER(S344))),AND(Q344=FixedDim,NOT(ISNUMBER(R344)),(ISNUMBER(S344))),AND(Q344=ProgDim,NOT(ISNUMBER(S344)),(ISNUMBER(R344)),R344&gt;=0.75)),IF(AU344,"",FALSE))</f>
        <v/>
      </c>
      <c r="AU344" s="19" t="b">
        <f t="shared" ref="AU344:AU407" si="454">AND(ISBLANK(R344),ISBLANK(S344))</f>
        <v>1</v>
      </c>
      <c r="AV344" s="140" t="str">
        <f t="shared" si="417"/>
        <v/>
      </c>
      <c r="AW344" s="19" t="str">
        <f t="shared" ref="AW344:AW407" si="455">IF(AND(AM344,AN344,AR344,AT344),BP344,"")</f>
        <v/>
      </c>
      <c r="AX344" s="81">
        <f t="shared" ref="AX344:AX407" si="456">I344</f>
        <v>0</v>
      </c>
      <c r="AY344" s="81" t="str">
        <f t="shared" ref="AY344:AY407" si="457">V344</f>
        <v/>
      </c>
      <c r="AZ344" s="307" t="str">
        <f t="shared" si="384"/>
        <v/>
      </c>
      <c r="BA344" s="281" t="str">
        <f t="shared" si="418"/>
        <v/>
      </c>
      <c r="BB344" s="281" t="str">
        <f t="shared" si="419"/>
        <v/>
      </c>
      <c r="BC344" s="953"/>
      <c r="BD344" s="955"/>
      <c r="BE344" s="219" t="str">
        <f t="shared" ref="BE344:BE407" si="458">IF(G344=0,"n/a",G344&gt;=2*PI()*(F344/PI())^0.5)</f>
        <v>n/a</v>
      </c>
      <c r="BF344" s="215" t="b">
        <f t="shared" ref="BF344:BF407" si="459">AND(AM344,AN344,I344&gt;CQ344,Passcheck,InputIssuesOne=0,TopInputsOKOne)</f>
        <v>0</v>
      </c>
      <c r="BG344" s="145" t="b">
        <f t="shared" ref="BG344:BG407" si="460">AND(AM344,AN344,AR344,AT344,I344&lt;=CQ344,Passcheck,InputIssuesOne=0,TopInputsOKOne)</f>
        <v>0</v>
      </c>
      <c r="BH344" s="145" t="b">
        <f t="shared" ref="BH344:BH407" si="461">AND(AM344,AN344,AR344,AT344,I344&gt;CQ344,FailCheck,InputIssuesOne=0,TopInputsOKOne)</f>
        <v>0</v>
      </c>
      <c r="BI344" s="216" t="b">
        <f t="shared" ref="BI344:BI407" si="462">AND(AM344,AN344,I344&lt;=CQ344,InputIssuesOne=0,TopInputsOKOne)</f>
        <v>0</v>
      </c>
      <c r="BJ344" s="215" t="b">
        <f t="shared" ref="BJ344:BJ407" si="463">AND(AM344,AN344,AR344,AT344,Passcheck,InputIssuesOne=0,TopInputsOKOne)</f>
        <v>0</v>
      </c>
      <c r="BK344" s="145" t="b">
        <f t="shared" ref="BK344:BK407" si="464">AND(AM344,AN344,AR344,AT344,FailCheck,InputIssuesOne=0,TopInputsOKOne)</f>
        <v>0</v>
      </c>
      <c r="BL344" s="216" t="b">
        <f t="shared" ref="BL344:BL407" si="465">DX344&gt;0</f>
        <v>0</v>
      </c>
      <c r="BM344" s="217" t="str">
        <f t="shared" si="420"/>
        <v/>
      </c>
      <c r="BN344" s="146" t="str">
        <f t="shared" si="421"/>
        <v/>
      </c>
      <c r="BO344" s="147" t="str">
        <f t="shared" si="422"/>
        <v/>
      </c>
      <c r="BP344" s="148" t="str">
        <f t="shared" si="423"/>
        <v/>
      </c>
      <c r="BT344" s="50">
        <f t="shared" si="413"/>
        <v>321</v>
      </c>
      <c r="BU344" s="50" t="str">
        <f t="shared" si="439"/>
        <v>-</v>
      </c>
      <c r="BW344" s="333"/>
      <c r="BX344" s="333"/>
      <c r="BY344" s="333"/>
      <c r="BZ344" s="333"/>
      <c r="CA344" s="333"/>
      <c r="CB344" s="333"/>
      <c r="CC344" s="333"/>
      <c r="CD344" s="333"/>
      <c r="CE344" s="333"/>
      <c r="CF344" s="333"/>
      <c r="CG344" s="354">
        <f t="shared" ref="CG344:CG407" si="466">D344</f>
        <v>321</v>
      </c>
      <c r="CH344" s="613">
        <f t="shared" ref="CH344:CH407" si="467">E344</f>
        <v>0</v>
      </c>
      <c r="CI344" s="613">
        <f t="shared" ref="CI344:CI407" si="468">J344</f>
        <v>0</v>
      </c>
      <c r="CJ344" s="614" t="str">
        <f t="shared" ref="CJ344:CJ407" si="469">IF(ISBLANK(J344),"",VLOOKUP(J344,SpaceS1,5,FALSE))</f>
        <v/>
      </c>
      <c r="CK344" s="615" t="str">
        <f t="shared" ref="CK344:CK407" si="470">IF(ISBLANK(J344),"",ROUND(VLOOKUP(J344,SpaceS1,5,FALSE)*F344,0))</f>
        <v/>
      </c>
      <c r="CL344" s="610" t="str">
        <f>IF(ISBLANK(H344),"",IF(AND(ISNUMBER(F344),ISNUMBER(G344),ISNUMBER(H344)),ROUND(F344/(H344*G344),2),ROUND(F344/(VALUE(LEFT(H344,SUM(LEN(H344)-LEN(SUBSTITUTE(H344,{"0","1","2","3","4","5","6","7","8","9","."},"")))))*G344),2)))</f>
        <v/>
      </c>
      <c r="CM344" s="616" t="str">
        <f t="shared" si="424"/>
        <v/>
      </c>
      <c r="CN344" s="616" t="str">
        <f>IF(ISNUMBER(P344),MAX('Adjustment factors'!$S$16,(0.2+0.8*P344)),IF(ISTEXT(N344),VLOOKUP(N344,Afactors,2,FALSE),""))</f>
        <v/>
      </c>
      <c r="CO344" s="616" t="str">
        <f>IF(ISNUMBER(S344),MAX('Adjustment factors'!$S$16,0.2+0.8*S344),IF(ISTEXT(Q344),VLOOKUP(Q344,Afactors,2,FALSE),""))</f>
        <v/>
      </c>
      <c r="CP344" s="611" t="str">
        <f t="shared" si="385"/>
        <v/>
      </c>
      <c r="CQ344" s="612" t="str">
        <f t="shared" si="386"/>
        <v/>
      </c>
      <c r="CR344" s="340"/>
      <c r="CS344" s="340"/>
      <c r="CT344" s="340"/>
      <c r="CU344" s="340"/>
      <c r="CV344" s="340"/>
      <c r="CW344" s="333"/>
      <c r="CX344" s="333"/>
      <c r="CY344" s="333"/>
      <c r="DA344" s="313" t="str">
        <f t="shared" ref="DA344:DA407" si="471">IF(AND(COUNTA(DescriptionOne,ClassificationOne)=2,ISBLANK(E344),COUNTA(F344:J344)+COUNTA(N344:S344)&gt;0),"Enter Description","OK")</f>
        <v>OK</v>
      </c>
      <c r="DB344" s="313" t="str">
        <f t="shared" ref="DB344:DB407" si="472">IF(AND(COUNTA(DescriptionOne,ClassificationOne)=2,COUNTA(E344:J344)+COUNTA(N344:S344)&gt;0,ISBLANK(F344)),"Enter Floor area of the space","OK")</f>
        <v>OK</v>
      </c>
      <c r="DC344" s="313" t="str">
        <f t="shared" ref="DC344:DC407" si="473">IF(AND(COUNTA(DescriptionOne,ClassificationOne)=2,COUNTA(E344:J344)+COUNTA(N344:S344)&gt;0,ISBLANK(G344),H344&gt;0),"Enter Perimeter or clear height","OK")</f>
        <v>OK</v>
      </c>
      <c r="DD344" s="313" t="str">
        <f t="shared" ref="DD344:DD407" si="474">IF(AND(COUNTA(DescriptionOne,ClassificationOne)=2,COUNTA(E344:J344)+COUNTA(N344:S344)&gt;0,G344&gt;0,ISBLANK(H344)),"Enter Floor to ceiling height","OK")</f>
        <v>OK</v>
      </c>
      <c r="DE344" s="153" t="str">
        <f t="shared" ref="DE344:DE407" si="475">IF(AND(COUNTA(DescriptionOne,ClassificationOne)=2,COUNTA(E344:H344)&gt;1,ISBLANK(I344)),"Enter Design Illumination Power","OK")</f>
        <v>OK</v>
      </c>
      <c r="DF344" s="314" t="str">
        <f t="shared" ref="DF344:DF407" si="476">IF(AND(COUNTA(DescriptionOne,ClassificationOne)=2,COUNTA(E344:J344)+COUNTA(N344:S344)&gt;0,ISBLANK(J344)),"Enter Space","OK")</f>
        <v>OK</v>
      </c>
      <c r="DG344" s="482" t="str">
        <f t="shared" si="387"/>
        <v>OK</v>
      </c>
      <c r="DH344" s="482" t="str">
        <f>IF(OR(AND(T344='Adjustment factors'!$R$28,'Class 3, 5-9'!U344='Adjustment factors'!$R$29),AND('Class 3, 5-9'!T344='Adjustment factors'!$R$29,'Class 3, 5-9'!U344='Adjustment factors'!$R$28)),"Invalid combination of adjustment factors",IF(AND(T344=U344,NOT(ISBLANK(T344)),NOT(ISBLANK(U344))),"Same colour factor selected twice","OK"))</f>
        <v>OK</v>
      </c>
      <c r="DI344" s="313" t="str">
        <f t="shared" ref="DI344:DI407" si="477">IF(AND(COUNTA(DescriptionOne,ClassificationOne)=2,COUNTA(E344:J344)+COUNTA(N344:S344)&gt;0,OR(N344=ProgDim),ISBLANK(O344)),"Enter % of floor area controlled","OK")</f>
        <v>OK</v>
      </c>
      <c r="DJ344" s="153" t="str">
        <f t="shared" si="425"/>
        <v>OK</v>
      </c>
      <c r="DK344" s="153" t="str">
        <f t="shared" ref="DK344:DK407" si="478">IF(AND(COUNTA(O344)&gt;0, NOT(OR(N344=ProgDim))), "Adjustment factor is missing", "OK")</f>
        <v>OK</v>
      </c>
      <c r="DL344" s="313" t="str">
        <f t="shared" ref="DL344:DL407" si="479">IF(AND(ISNUMBER(P344),N344&lt;&gt;FixedDim),"Illuminance turndown is only valid for Fixed Dimming","OK")</f>
        <v>OK</v>
      </c>
      <c r="DM344" s="153" t="str">
        <f t="shared" ref="DM344:DM407" si="480">IF(AND(NOT(ISNUMBER(P344)),N344=FixedDim),"Enter an illuminance factor","OK")</f>
        <v>OK</v>
      </c>
      <c r="DN344" s="153" t="str">
        <f t="shared" si="426"/>
        <v>OK</v>
      </c>
      <c r="DO344" s="154" t="str">
        <f t="shared" si="427"/>
        <v>OK</v>
      </c>
      <c r="DP344" s="153" t="str">
        <f t="shared" ref="DP344:DP407" si="481">IF(AND(ISTEXT(Q344),NOT(ISTEXT(N344))),"Adjustment Factor 1 is missing","OK")</f>
        <v>OK</v>
      </c>
      <c r="DQ344" s="313" t="str">
        <f t="shared" ref="DQ344:DQ407" si="482">IF(AND(COUNTA(DescriptionOne,ClassificationOne)=2,COUNTA(E344:J344)+COUNTA(N344:S344)&gt;0,OR(Q344=ProgDim),ISBLANK(R344)),"Enter % of floor area controlled","OK")</f>
        <v>OK</v>
      </c>
      <c r="DR344" s="153" t="str">
        <f t="shared" si="428"/>
        <v>OK</v>
      </c>
      <c r="DS344" s="153" t="str">
        <f t="shared" ref="DS344:DS407" si="483">IF(AND(COUNTA(R344)&gt;0, NOT(OR(Q344=ProgDim))), "Adjustment factor is missing", "OK")</f>
        <v>OK</v>
      </c>
      <c r="DT344" s="313" t="str">
        <f t="shared" si="441"/>
        <v>OK</v>
      </c>
      <c r="DU344" s="153" t="str">
        <f t="shared" ref="DU344:DU407" si="484">IF(AND(NOT(ISNUMBER(S344)),Q344=FixedDim),"Enter an illuminance factor","OK")</f>
        <v>OK</v>
      </c>
      <c r="DV344" s="153" t="str">
        <f t="shared" si="429"/>
        <v>OK</v>
      </c>
      <c r="DW344" s="154" t="str">
        <f t="shared" si="430"/>
        <v>OK</v>
      </c>
      <c r="DX344" s="157">
        <f t="shared" si="431"/>
        <v>0</v>
      </c>
      <c r="DY344" s="156" t="str">
        <f t="shared" si="432"/>
        <v>OK</v>
      </c>
    </row>
    <row r="345" spans="1:129" ht="13" hidden="1" x14ac:dyDescent="0.3">
      <c r="A345" s="333"/>
      <c r="B345" s="333"/>
      <c r="C345" s="331" t="str">
        <f t="shared" si="440"/>
        <v>-</v>
      </c>
      <c r="D345" s="584">
        <f t="shared" si="412"/>
        <v>322</v>
      </c>
      <c r="E345" s="585"/>
      <c r="F345" s="586"/>
      <c r="G345" s="600"/>
      <c r="H345" s="587"/>
      <c r="I345" s="601"/>
      <c r="J345" s="585"/>
      <c r="K345" s="617"/>
      <c r="L345" s="602"/>
      <c r="M345" s="603"/>
      <c r="N345" s="588"/>
      <c r="O345" s="604"/>
      <c r="P345" s="605"/>
      <c r="Q345" s="588"/>
      <c r="R345" s="604"/>
      <c r="S345" s="605"/>
      <c r="T345" s="606"/>
      <c r="U345" s="606"/>
      <c r="V345" s="429" t="str">
        <f t="shared" si="437"/>
        <v/>
      </c>
      <c r="W345" s="430" t="str">
        <f t="shared" si="436"/>
        <v/>
      </c>
      <c r="X345" s="66" t="str">
        <f>IF(AND(ISNUMBER(P345),N345=FixedDim),MAX('Adjustment factors'!$S$16,0.2+0.8*P345),IF(ISTEXT(N345),VLOOKUP(N345,Afactors,2,TRUE),""))</f>
        <v/>
      </c>
      <c r="Y345" s="17" t="str">
        <f>IF(AND(ISNUMBER(S345),Q345=FixedDim),MAX('Adjustment factors'!$S$16,0.2+0.8*S345),IF(ISTEXT(Q345),VLOOKUP(Q345,Afactors,2,TRUE),""))</f>
        <v/>
      </c>
      <c r="Z345" s="297" t="str">
        <f>IF(ISBLANK(T345),"",VLOOKUP(T345,'Adjustment factors'!$R$27:$S$30,2,TRUE))</f>
        <v/>
      </c>
      <c r="AA345" s="297" t="str">
        <f>IF(ISBLANK(U345),"",VLOOKUP(U345,'Adjustment factors'!$R$27:$S$30,2,TRUE))</f>
        <v/>
      </c>
      <c r="AB345" s="480">
        <f t="shared" ref="AB345:AB408" si="485">IF(Z345="",1,IF(AA345="",Z345,Z345*AA345))</f>
        <v>1</v>
      </c>
      <c r="AC345" s="18" t="b">
        <f t="shared" si="442"/>
        <v>0</v>
      </c>
      <c r="AD345" s="18" t="b">
        <f t="shared" si="443"/>
        <v>0</v>
      </c>
      <c r="AE345" s="18" t="b">
        <f t="shared" si="433"/>
        <v>0</v>
      </c>
      <c r="AF345" s="17" t="str">
        <f t="shared" si="444"/>
        <v/>
      </c>
      <c r="AG345" s="18" t="str">
        <f t="shared" si="445"/>
        <v/>
      </c>
      <c r="AH345" s="17" t="str">
        <f t="shared" si="434"/>
        <v/>
      </c>
      <c r="AI345" s="297" t="e">
        <f t="shared" ref="AI345:AI408" si="486">IF(AND(ISNUMBER(AB345),ISNUMBER(AH345)),AH345/AB345,CK345/AB345)</f>
        <v>#VALUE!</v>
      </c>
      <c r="AJ345" s="79" t="e">
        <f t="shared" si="446"/>
        <v>#VALUE!</v>
      </c>
      <c r="AK345" s="17" t="str">
        <f t="shared" si="435"/>
        <v/>
      </c>
      <c r="AL345" s="80" t="e">
        <f t="shared" si="447"/>
        <v>#VALUE!</v>
      </c>
      <c r="AM345" s="139" t="b">
        <f t="shared" si="448"/>
        <v>1</v>
      </c>
      <c r="AN345" s="139" t="b">
        <f>AND(COUNTA(E345)&gt;0,ISNUMBER(F345),OR(COUNT(G345:H345)=0,COUNT(G345:H345)=2,AND(ISNUMBER(G345),ISNUMBER(VALUE(LEFT(H345,SUM(LEN(H345)-LEN(SUBSTITUTE(H345,{"0","1","2","3","4","5","6","7","8","9","."},"")))))))),ISNUMBER(I345),ISTEXT(J345))</f>
        <v>0</v>
      </c>
      <c r="AO345" s="19" t="b">
        <f t="shared" si="449"/>
        <v>0</v>
      </c>
      <c r="AP345" s="19" t="b">
        <f t="shared" si="450"/>
        <v>1</v>
      </c>
      <c r="AQ345" s="19" t="b">
        <f>IF(AND(COUNTBLANK(E345:J345)=6,OR(AN346:AN$523)),NOT(AN345))</f>
        <v>0</v>
      </c>
      <c r="AR345" s="19" t="str">
        <f t="shared" si="451"/>
        <v/>
      </c>
      <c r="AS345" s="19" t="b">
        <f t="shared" si="452"/>
        <v>1</v>
      </c>
      <c r="AT345" s="19" t="str">
        <f t="shared" si="453"/>
        <v/>
      </c>
      <c r="AU345" s="19" t="b">
        <f t="shared" si="454"/>
        <v>1</v>
      </c>
      <c r="AV345" s="140" t="str">
        <f t="shared" si="417"/>
        <v/>
      </c>
      <c r="AW345" s="19" t="str">
        <f t="shared" si="455"/>
        <v/>
      </c>
      <c r="AX345" s="81">
        <f t="shared" si="456"/>
        <v>0</v>
      </c>
      <c r="AY345" s="81" t="str">
        <f t="shared" si="457"/>
        <v/>
      </c>
      <c r="AZ345" s="307" t="str">
        <f t="shared" ref="AZ345:AZ408" si="487">IF(DA345&lt;&gt;"OK",DA345,IF(DB345&lt;&gt;"OK",DB345,IF(DC345&lt;&gt;"OK",DC345,IF(DD345&lt;&gt;"OK",DD345,IF(DE345&lt;&gt;"OK",DE345,IF(DF345&lt;&gt;"OK",DF345,IF(DG345&lt;&gt;"OK",DG345,IF(DH345&lt;&gt;"OK",DH345,BA345))))))))</f>
        <v/>
      </c>
      <c r="BA345" s="281" t="str">
        <f t="shared" si="418"/>
        <v/>
      </c>
      <c r="BB345" s="281" t="str">
        <f t="shared" si="419"/>
        <v/>
      </c>
      <c r="BC345" s="953"/>
      <c r="BD345" s="955"/>
      <c r="BE345" s="219" t="str">
        <f t="shared" si="458"/>
        <v>n/a</v>
      </c>
      <c r="BF345" s="215" t="b">
        <f t="shared" si="459"/>
        <v>0</v>
      </c>
      <c r="BG345" s="145" t="b">
        <f t="shared" si="460"/>
        <v>0</v>
      </c>
      <c r="BH345" s="145" t="b">
        <f t="shared" si="461"/>
        <v>0</v>
      </c>
      <c r="BI345" s="216" t="b">
        <f t="shared" si="462"/>
        <v>0</v>
      </c>
      <c r="BJ345" s="215" t="b">
        <f t="shared" si="463"/>
        <v>0</v>
      </c>
      <c r="BK345" s="145" t="b">
        <f t="shared" si="464"/>
        <v>0</v>
      </c>
      <c r="BL345" s="216" t="b">
        <f t="shared" si="465"/>
        <v>0</v>
      </c>
      <c r="BM345" s="217" t="str">
        <f t="shared" si="420"/>
        <v/>
      </c>
      <c r="BN345" s="146" t="str">
        <f t="shared" si="421"/>
        <v/>
      </c>
      <c r="BO345" s="147" t="str">
        <f t="shared" si="422"/>
        <v/>
      </c>
      <c r="BP345" s="148" t="str">
        <f t="shared" si="423"/>
        <v/>
      </c>
      <c r="BT345" s="50">
        <f t="shared" si="413"/>
        <v>322</v>
      </c>
      <c r="BU345" s="50" t="str">
        <f t="shared" si="439"/>
        <v>-</v>
      </c>
      <c r="BW345" s="333"/>
      <c r="BX345" s="333"/>
      <c r="BY345" s="333"/>
      <c r="BZ345" s="333"/>
      <c r="CA345" s="333"/>
      <c r="CB345" s="333"/>
      <c r="CC345" s="333"/>
      <c r="CD345" s="333"/>
      <c r="CE345" s="333"/>
      <c r="CF345" s="333"/>
      <c r="CG345" s="354">
        <f t="shared" si="466"/>
        <v>322</v>
      </c>
      <c r="CH345" s="613">
        <f t="shared" si="467"/>
        <v>0</v>
      </c>
      <c r="CI345" s="613">
        <f t="shared" si="468"/>
        <v>0</v>
      </c>
      <c r="CJ345" s="614" t="str">
        <f t="shared" si="469"/>
        <v/>
      </c>
      <c r="CK345" s="615" t="str">
        <f t="shared" si="470"/>
        <v/>
      </c>
      <c r="CL345" s="610" t="str">
        <f>IF(ISBLANK(H345),"",IF(AND(ISNUMBER(F345),ISNUMBER(G345),ISNUMBER(H345)),ROUND(F345/(H345*G345),2),ROUND(F345/(VALUE(LEFT(H345,SUM(LEN(H345)-LEN(SUBSTITUTE(H345,{"0","1","2","3","4","5","6","7","8","9","."},"")))))*G345),2)))</f>
        <v/>
      </c>
      <c r="CM345" s="616" t="str">
        <f t="shared" si="424"/>
        <v/>
      </c>
      <c r="CN345" s="616" t="str">
        <f>IF(ISNUMBER(P345),MAX('Adjustment factors'!$S$16,(0.2+0.8*P345)),IF(ISTEXT(N345),VLOOKUP(N345,Afactors,2,FALSE),""))</f>
        <v/>
      </c>
      <c r="CO345" s="616" t="str">
        <f>IF(ISNUMBER(S345),MAX('Adjustment factors'!$S$16,0.2+0.8*S345),IF(ISTEXT(Q345),VLOOKUP(Q345,Afactors,2,FALSE),""))</f>
        <v/>
      </c>
      <c r="CP345" s="611" t="str">
        <f t="shared" ref="CP345:CP408" si="488">IF(AB345&lt;&gt;1,AB345,"")</f>
        <v/>
      </c>
      <c r="CQ345" s="612" t="str">
        <f t="shared" ref="CQ345:CQ408" si="489">IFERROR(IF(AO345=TRUE,IF(ISNUMBER(AG345),ROUND(AL345,0),ROUND(AJ345,0)),""),"")</f>
        <v/>
      </c>
      <c r="CR345" s="340"/>
      <c r="CS345" s="340"/>
      <c r="CT345" s="340"/>
      <c r="CU345" s="340"/>
      <c r="CV345" s="333"/>
      <c r="CW345" s="333"/>
      <c r="CX345" s="333"/>
      <c r="CY345" s="333"/>
      <c r="DA345" s="313" t="str">
        <f t="shared" si="471"/>
        <v>OK</v>
      </c>
      <c r="DB345" s="313" t="str">
        <f t="shared" si="472"/>
        <v>OK</v>
      </c>
      <c r="DC345" s="313" t="str">
        <f t="shared" si="473"/>
        <v>OK</v>
      </c>
      <c r="DD345" s="313" t="str">
        <f t="shared" si="474"/>
        <v>OK</v>
      </c>
      <c r="DE345" s="153" t="str">
        <f t="shared" si="475"/>
        <v>OK</v>
      </c>
      <c r="DF345" s="314" t="str">
        <f t="shared" si="476"/>
        <v>OK</v>
      </c>
      <c r="DG345" s="482" t="str">
        <f t="shared" ref="DG345:DG408" si="490">IF(AND(COUNTBLANK(T345)=1,COUNTBLANK(U345)=0),"Second Colour Factor entered without First","OK")</f>
        <v>OK</v>
      </c>
      <c r="DH345" s="482" t="str">
        <f>IF(OR(AND(T345='Adjustment factors'!$R$28,'Class 3, 5-9'!U345='Adjustment factors'!$R$29),AND('Class 3, 5-9'!T345='Adjustment factors'!$R$29,'Class 3, 5-9'!U345='Adjustment factors'!$R$28)),"Invalid combination of adjustment factors",IF(AND(T345=U345,NOT(ISBLANK(T345)),NOT(ISBLANK(U345))),"Same colour factor selected twice","OK"))</f>
        <v>OK</v>
      </c>
      <c r="DI345" s="313" t="str">
        <f t="shared" si="477"/>
        <v>OK</v>
      </c>
      <c r="DJ345" s="153" t="str">
        <f t="shared" si="425"/>
        <v>OK</v>
      </c>
      <c r="DK345" s="153" t="str">
        <f t="shared" si="478"/>
        <v>OK</v>
      </c>
      <c r="DL345" s="313" t="str">
        <f t="shared" si="479"/>
        <v>OK</v>
      </c>
      <c r="DM345" s="153" t="str">
        <f t="shared" si="480"/>
        <v>OK</v>
      </c>
      <c r="DN345" s="153" t="str">
        <f t="shared" si="426"/>
        <v>OK</v>
      </c>
      <c r="DO345" s="154" t="str">
        <f t="shared" si="427"/>
        <v>OK</v>
      </c>
      <c r="DP345" s="153" t="str">
        <f t="shared" si="481"/>
        <v>OK</v>
      </c>
      <c r="DQ345" s="313" t="str">
        <f t="shared" si="482"/>
        <v>OK</v>
      </c>
      <c r="DR345" s="153" t="str">
        <f t="shared" si="428"/>
        <v>OK</v>
      </c>
      <c r="DS345" s="153" t="str">
        <f t="shared" si="483"/>
        <v>OK</v>
      </c>
      <c r="DT345" s="313" t="str">
        <f t="shared" si="441"/>
        <v>OK</v>
      </c>
      <c r="DU345" s="153" t="str">
        <f t="shared" si="484"/>
        <v>OK</v>
      </c>
      <c r="DV345" s="153" t="str">
        <f t="shared" si="429"/>
        <v>OK</v>
      </c>
      <c r="DW345" s="154" t="str">
        <f t="shared" si="430"/>
        <v>OK</v>
      </c>
      <c r="DX345" s="157">
        <f t="shared" si="431"/>
        <v>0</v>
      </c>
      <c r="DY345" s="156" t="str">
        <f t="shared" si="432"/>
        <v>OK</v>
      </c>
    </row>
    <row r="346" spans="1:129" ht="13" hidden="1" x14ac:dyDescent="0.3">
      <c r="A346" s="333"/>
      <c r="B346" s="333"/>
      <c r="C346" s="331" t="str">
        <f t="shared" si="440"/>
        <v>-</v>
      </c>
      <c r="D346" s="584">
        <f t="shared" si="412"/>
        <v>323</v>
      </c>
      <c r="E346" s="585"/>
      <c r="F346" s="586"/>
      <c r="G346" s="600"/>
      <c r="H346" s="587"/>
      <c r="I346" s="601"/>
      <c r="J346" s="585"/>
      <c r="K346" s="617"/>
      <c r="L346" s="602"/>
      <c r="M346" s="603"/>
      <c r="N346" s="588"/>
      <c r="O346" s="604"/>
      <c r="P346" s="605"/>
      <c r="Q346" s="588"/>
      <c r="R346" s="604"/>
      <c r="S346" s="605"/>
      <c r="T346" s="606"/>
      <c r="U346" s="606"/>
      <c r="V346" s="429" t="str">
        <f t="shared" si="437"/>
        <v/>
      </c>
      <c r="W346" s="430" t="str">
        <f t="shared" si="436"/>
        <v/>
      </c>
      <c r="X346" s="66" t="str">
        <f>IF(AND(ISNUMBER(P346),N346=FixedDim),MAX('Adjustment factors'!$S$16,0.2+0.8*P346),IF(ISTEXT(N346),VLOOKUP(N346,Afactors,2,TRUE),""))</f>
        <v/>
      </c>
      <c r="Y346" s="17" t="str">
        <f>IF(AND(ISNUMBER(S346),Q346=FixedDim),MAX('Adjustment factors'!$S$16,0.2+0.8*S346),IF(ISTEXT(Q346),VLOOKUP(Q346,Afactors,2,TRUE),""))</f>
        <v/>
      </c>
      <c r="Z346" s="297" t="str">
        <f>IF(ISBLANK(T346),"",VLOOKUP(T346,'Adjustment factors'!$R$27:$S$30,2,TRUE))</f>
        <v/>
      </c>
      <c r="AA346" s="297" t="str">
        <f>IF(ISBLANK(U346),"",VLOOKUP(U346,'Adjustment factors'!$R$27:$S$30,2,TRUE))</f>
        <v/>
      </c>
      <c r="AB346" s="480">
        <f t="shared" si="485"/>
        <v>1</v>
      </c>
      <c r="AC346" s="18" t="b">
        <f t="shared" si="442"/>
        <v>0</v>
      </c>
      <c r="AD346" s="18" t="b">
        <f t="shared" si="443"/>
        <v>0</v>
      </c>
      <c r="AE346" s="18" t="b">
        <f t="shared" si="433"/>
        <v>0</v>
      </c>
      <c r="AF346" s="17" t="str">
        <f t="shared" si="444"/>
        <v/>
      </c>
      <c r="AG346" s="18" t="str">
        <f t="shared" si="445"/>
        <v/>
      </c>
      <c r="AH346" s="17" t="str">
        <f t="shared" si="434"/>
        <v/>
      </c>
      <c r="AI346" s="297" t="e">
        <f t="shared" si="486"/>
        <v>#VALUE!</v>
      </c>
      <c r="AJ346" s="79" t="e">
        <f t="shared" si="446"/>
        <v>#VALUE!</v>
      </c>
      <c r="AK346" s="17" t="str">
        <f t="shared" si="435"/>
        <v/>
      </c>
      <c r="AL346" s="80" t="e">
        <f t="shared" si="447"/>
        <v>#VALUE!</v>
      </c>
      <c r="AM346" s="139" t="b">
        <f t="shared" si="448"/>
        <v>1</v>
      </c>
      <c r="AN346" s="139" t="b">
        <f>AND(COUNTA(E346)&gt;0,ISNUMBER(F346),OR(COUNT(G346:H346)=0,COUNT(G346:H346)=2,AND(ISNUMBER(G346),ISNUMBER(VALUE(LEFT(H346,SUM(LEN(H346)-LEN(SUBSTITUTE(H346,{"0","1","2","3","4","5","6","7","8","9","."},"")))))))),ISNUMBER(I346),ISTEXT(J346))</f>
        <v>0</v>
      </c>
      <c r="AO346" s="19" t="b">
        <f t="shared" si="449"/>
        <v>0</v>
      </c>
      <c r="AP346" s="19" t="b">
        <f t="shared" si="450"/>
        <v>1</v>
      </c>
      <c r="AQ346" s="19" t="b">
        <f>IF(AND(COUNTBLANK(E346:J346)=6,OR(AN347:AN$523)),NOT(AN346))</f>
        <v>0</v>
      </c>
      <c r="AR346" s="19" t="str">
        <f t="shared" si="451"/>
        <v/>
      </c>
      <c r="AS346" s="19" t="b">
        <f t="shared" si="452"/>
        <v>1</v>
      </c>
      <c r="AT346" s="19" t="str">
        <f t="shared" si="453"/>
        <v/>
      </c>
      <c r="AU346" s="19" t="b">
        <f t="shared" si="454"/>
        <v>1</v>
      </c>
      <c r="AV346" s="140" t="str">
        <f t="shared" si="417"/>
        <v/>
      </c>
      <c r="AW346" s="19" t="str">
        <f t="shared" si="455"/>
        <v/>
      </c>
      <c r="AX346" s="81">
        <f t="shared" si="456"/>
        <v>0</v>
      </c>
      <c r="AY346" s="81" t="str">
        <f t="shared" si="457"/>
        <v/>
      </c>
      <c r="AZ346" s="307" t="str">
        <f t="shared" si="487"/>
        <v/>
      </c>
      <c r="BA346" s="281" t="str">
        <f t="shared" si="418"/>
        <v/>
      </c>
      <c r="BB346" s="281" t="str">
        <f t="shared" si="419"/>
        <v/>
      </c>
      <c r="BC346" s="953"/>
      <c r="BD346" s="955"/>
      <c r="BE346" s="219" t="str">
        <f t="shared" si="458"/>
        <v>n/a</v>
      </c>
      <c r="BF346" s="215" t="b">
        <f t="shared" si="459"/>
        <v>0</v>
      </c>
      <c r="BG346" s="145" t="b">
        <f t="shared" si="460"/>
        <v>0</v>
      </c>
      <c r="BH346" s="145" t="b">
        <f t="shared" si="461"/>
        <v>0</v>
      </c>
      <c r="BI346" s="216" t="b">
        <f t="shared" si="462"/>
        <v>0</v>
      </c>
      <c r="BJ346" s="215" t="b">
        <f t="shared" si="463"/>
        <v>0</v>
      </c>
      <c r="BK346" s="145" t="b">
        <f t="shared" si="464"/>
        <v>0</v>
      </c>
      <c r="BL346" s="216" t="b">
        <f t="shared" si="465"/>
        <v>0</v>
      </c>
      <c r="BM346" s="217" t="str">
        <f t="shared" si="420"/>
        <v/>
      </c>
      <c r="BN346" s="146" t="str">
        <f t="shared" si="421"/>
        <v/>
      </c>
      <c r="BO346" s="147" t="str">
        <f t="shared" si="422"/>
        <v/>
      </c>
      <c r="BP346" s="148" t="str">
        <f t="shared" si="423"/>
        <v/>
      </c>
      <c r="BT346" s="50">
        <f t="shared" si="413"/>
        <v>323</v>
      </c>
      <c r="BU346" s="50" t="str">
        <f t="shared" si="439"/>
        <v>-</v>
      </c>
      <c r="BW346" s="333"/>
      <c r="BX346" s="333"/>
      <c r="BY346" s="333"/>
      <c r="BZ346" s="333"/>
      <c r="CA346" s="333"/>
      <c r="CB346" s="333"/>
      <c r="CC346" s="333"/>
      <c r="CD346" s="333"/>
      <c r="CE346" s="333"/>
      <c r="CF346" s="333"/>
      <c r="CG346" s="354">
        <f t="shared" si="466"/>
        <v>323</v>
      </c>
      <c r="CH346" s="613">
        <f t="shared" si="467"/>
        <v>0</v>
      </c>
      <c r="CI346" s="613">
        <f t="shared" si="468"/>
        <v>0</v>
      </c>
      <c r="CJ346" s="614" t="str">
        <f t="shared" si="469"/>
        <v/>
      </c>
      <c r="CK346" s="615" t="str">
        <f t="shared" si="470"/>
        <v/>
      </c>
      <c r="CL346" s="610" t="str">
        <f>IF(ISBLANK(H346),"",IF(AND(ISNUMBER(F346),ISNUMBER(G346),ISNUMBER(H346)),ROUND(F346/(H346*G346),2),ROUND(F346/(VALUE(LEFT(H346,SUM(LEN(H346)-LEN(SUBSTITUTE(H346,{"0","1","2","3","4","5","6","7","8","9","."},"")))))*G346),2)))</f>
        <v/>
      </c>
      <c r="CM346" s="616" t="str">
        <f t="shared" si="424"/>
        <v/>
      </c>
      <c r="CN346" s="616" t="str">
        <f>IF(ISNUMBER(P346),MAX('Adjustment factors'!$S$16,(0.2+0.8*P346)),IF(ISTEXT(N346),VLOOKUP(N346,Afactors,2,FALSE),""))</f>
        <v/>
      </c>
      <c r="CO346" s="616" t="str">
        <f>IF(ISNUMBER(S346),MAX('Adjustment factors'!$S$16,0.2+0.8*S346),IF(ISTEXT(Q346),VLOOKUP(Q346,Afactors,2,FALSE),""))</f>
        <v/>
      </c>
      <c r="CP346" s="611" t="str">
        <f t="shared" si="488"/>
        <v/>
      </c>
      <c r="CQ346" s="612" t="str">
        <f t="shared" si="489"/>
        <v/>
      </c>
      <c r="CR346" s="340"/>
      <c r="CS346" s="340"/>
      <c r="CT346" s="340"/>
      <c r="CU346" s="340"/>
      <c r="CV346" s="333"/>
      <c r="CW346" s="333"/>
      <c r="CX346" s="333"/>
      <c r="CY346" s="333"/>
      <c r="DA346" s="313" t="str">
        <f t="shared" si="471"/>
        <v>OK</v>
      </c>
      <c r="DB346" s="313" t="str">
        <f t="shared" si="472"/>
        <v>OK</v>
      </c>
      <c r="DC346" s="313" t="str">
        <f t="shared" si="473"/>
        <v>OK</v>
      </c>
      <c r="DD346" s="313" t="str">
        <f t="shared" si="474"/>
        <v>OK</v>
      </c>
      <c r="DE346" s="153" t="str">
        <f t="shared" si="475"/>
        <v>OK</v>
      </c>
      <c r="DF346" s="314" t="str">
        <f t="shared" si="476"/>
        <v>OK</v>
      </c>
      <c r="DG346" s="482" t="str">
        <f t="shared" si="490"/>
        <v>OK</v>
      </c>
      <c r="DH346" s="482" t="str">
        <f>IF(OR(AND(T346='Adjustment factors'!$R$28,'Class 3, 5-9'!U346='Adjustment factors'!$R$29),AND('Class 3, 5-9'!T346='Adjustment factors'!$R$29,'Class 3, 5-9'!U346='Adjustment factors'!$R$28)),"Invalid combination of adjustment factors",IF(AND(T346=U346,NOT(ISBLANK(T346)),NOT(ISBLANK(U346))),"Same colour factor selected twice","OK"))</f>
        <v>OK</v>
      </c>
      <c r="DI346" s="313" t="str">
        <f t="shared" si="477"/>
        <v>OK</v>
      </c>
      <c r="DJ346" s="153" t="str">
        <f t="shared" si="425"/>
        <v>OK</v>
      </c>
      <c r="DK346" s="153" t="str">
        <f t="shared" si="478"/>
        <v>OK</v>
      </c>
      <c r="DL346" s="313" t="str">
        <f t="shared" si="479"/>
        <v>OK</v>
      </c>
      <c r="DM346" s="153" t="str">
        <f t="shared" si="480"/>
        <v>OK</v>
      </c>
      <c r="DN346" s="153" t="str">
        <f t="shared" si="426"/>
        <v>OK</v>
      </c>
      <c r="DO346" s="154" t="str">
        <f t="shared" si="427"/>
        <v>OK</v>
      </c>
      <c r="DP346" s="153" t="str">
        <f t="shared" si="481"/>
        <v>OK</v>
      </c>
      <c r="DQ346" s="313" t="str">
        <f t="shared" si="482"/>
        <v>OK</v>
      </c>
      <c r="DR346" s="153" t="str">
        <f t="shared" si="428"/>
        <v>OK</v>
      </c>
      <c r="DS346" s="153" t="str">
        <f t="shared" si="483"/>
        <v>OK</v>
      </c>
      <c r="DT346" s="313" t="str">
        <f t="shared" si="441"/>
        <v>OK</v>
      </c>
      <c r="DU346" s="153" t="str">
        <f t="shared" si="484"/>
        <v>OK</v>
      </c>
      <c r="DV346" s="153" t="str">
        <f t="shared" si="429"/>
        <v>OK</v>
      </c>
      <c r="DW346" s="154" t="str">
        <f t="shared" si="430"/>
        <v>OK</v>
      </c>
      <c r="DX346" s="157">
        <f t="shared" si="431"/>
        <v>0</v>
      </c>
      <c r="DY346" s="156" t="str">
        <f t="shared" si="432"/>
        <v>OK</v>
      </c>
    </row>
    <row r="347" spans="1:129" ht="13" hidden="1" x14ac:dyDescent="0.3">
      <c r="A347" s="333"/>
      <c r="B347" s="333"/>
      <c r="C347" s="331" t="str">
        <f t="shared" si="440"/>
        <v>-</v>
      </c>
      <c r="D347" s="584">
        <f t="shared" si="412"/>
        <v>324</v>
      </c>
      <c r="E347" s="585"/>
      <c r="F347" s="586"/>
      <c r="G347" s="600"/>
      <c r="H347" s="587"/>
      <c r="I347" s="601"/>
      <c r="J347" s="585"/>
      <c r="K347" s="617"/>
      <c r="L347" s="602"/>
      <c r="M347" s="603"/>
      <c r="N347" s="588"/>
      <c r="O347" s="604"/>
      <c r="P347" s="605"/>
      <c r="Q347" s="588"/>
      <c r="R347" s="604"/>
      <c r="S347" s="605"/>
      <c r="T347" s="606"/>
      <c r="U347" s="606"/>
      <c r="V347" s="429" t="str">
        <f t="shared" si="437"/>
        <v/>
      </c>
      <c r="W347" s="430" t="str">
        <f t="shared" si="436"/>
        <v/>
      </c>
      <c r="X347" s="66" t="str">
        <f>IF(AND(ISNUMBER(P347),N347=FixedDim),MAX('Adjustment factors'!$S$16,0.2+0.8*P347),IF(ISTEXT(N347),VLOOKUP(N347,Afactors,2,TRUE),""))</f>
        <v/>
      </c>
      <c r="Y347" s="17" t="str">
        <f>IF(AND(ISNUMBER(S347),Q347=FixedDim),MAX('Adjustment factors'!$S$16,0.2+0.8*S347),IF(ISTEXT(Q347),VLOOKUP(Q347,Afactors,2,TRUE),""))</f>
        <v/>
      </c>
      <c r="Z347" s="297" t="str">
        <f>IF(ISBLANK(T347),"",VLOOKUP(T347,'Adjustment factors'!$R$27:$S$30,2,TRUE))</f>
        <v/>
      </c>
      <c r="AA347" s="297" t="str">
        <f>IF(ISBLANK(U347),"",VLOOKUP(U347,'Adjustment factors'!$R$27:$S$30,2,TRUE))</f>
        <v/>
      </c>
      <c r="AB347" s="480">
        <f t="shared" si="485"/>
        <v>1</v>
      </c>
      <c r="AC347" s="18" t="b">
        <f t="shared" si="442"/>
        <v>0</v>
      </c>
      <c r="AD347" s="18" t="b">
        <f t="shared" si="443"/>
        <v>0</v>
      </c>
      <c r="AE347" s="18" t="b">
        <f t="shared" si="433"/>
        <v>0</v>
      </c>
      <c r="AF347" s="17" t="str">
        <f t="shared" si="444"/>
        <v/>
      </c>
      <c r="AG347" s="18" t="str">
        <f t="shared" si="445"/>
        <v/>
      </c>
      <c r="AH347" s="17" t="str">
        <f t="shared" si="434"/>
        <v/>
      </c>
      <c r="AI347" s="297" t="e">
        <f t="shared" si="486"/>
        <v>#VALUE!</v>
      </c>
      <c r="AJ347" s="79" t="e">
        <f t="shared" si="446"/>
        <v>#VALUE!</v>
      </c>
      <c r="AK347" s="17" t="str">
        <f t="shared" si="435"/>
        <v/>
      </c>
      <c r="AL347" s="80" t="e">
        <f t="shared" si="447"/>
        <v>#VALUE!</v>
      </c>
      <c r="AM347" s="139" t="b">
        <f t="shared" si="448"/>
        <v>1</v>
      </c>
      <c r="AN347" s="139" t="b">
        <f>AND(COUNTA(E347)&gt;0,ISNUMBER(F347),OR(COUNT(G347:H347)=0,COUNT(G347:H347)=2,AND(ISNUMBER(G347),ISNUMBER(VALUE(LEFT(H347,SUM(LEN(H347)-LEN(SUBSTITUTE(H347,{"0","1","2","3","4","5","6","7","8","9","."},"")))))))),ISNUMBER(I347),ISTEXT(J347))</f>
        <v>0</v>
      </c>
      <c r="AO347" s="19" t="b">
        <f t="shared" si="449"/>
        <v>0</v>
      </c>
      <c r="AP347" s="19" t="b">
        <f t="shared" si="450"/>
        <v>1</v>
      </c>
      <c r="AQ347" s="19" t="b">
        <f>IF(AND(COUNTBLANK(E347:J347)=6,OR(AN348:AN$523)),NOT(AN347))</f>
        <v>0</v>
      </c>
      <c r="AR347" s="19" t="str">
        <f t="shared" si="451"/>
        <v/>
      </c>
      <c r="AS347" s="19" t="b">
        <f t="shared" si="452"/>
        <v>1</v>
      </c>
      <c r="AT347" s="19" t="str">
        <f t="shared" si="453"/>
        <v/>
      </c>
      <c r="AU347" s="19" t="b">
        <f t="shared" si="454"/>
        <v>1</v>
      </c>
      <c r="AV347" s="140" t="str">
        <f t="shared" si="417"/>
        <v/>
      </c>
      <c r="AW347" s="19" t="str">
        <f t="shared" si="455"/>
        <v/>
      </c>
      <c r="AX347" s="81">
        <f t="shared" si="456"/>
        <v>0</v>
      </c>
      <c r="AY347" s="81" t="str">
        <f t="shared" si="457"/>
        <v/>
      </c>
      <c r="AZ347" s="307" t="str">
        <f t="shared" si="487"/>
        <v/>
      </c>
      <c r="BA347" s="281" t="str">
        <f t="shared" si="418"/>
        <v/>
      </c>
      <c r="BB347" s="281" t="str">
        <f t="shared" si="419"/>
        <v/>
      </c>
      <c r="BC347" s="953"/>
      <c r="BD347" s="955"/>
      <c r="BE347" s="219" t="str">
        <f t="shared" si="458"/>
        <v>n/a</v>
      </c>
      <c r="BF347" s="215" t="b">
        <f t="shared" si="459"/>
        <v>0</v>
      </c>
      <c r="BG347" s="145" t="b">
        <f t="shared" si="460"/>
        <v>0</v>
      </c>
      <c r="BH347" s="145" t="b">
        <f t="shared" si="461"/>
        <v>0</v>
      </c>
      <c r="BI347" s="216" t="b">
        <f t="shared" si="462"/>
        <v>0</v>
      </c>
      <c r="BJ347" s="215" t="b">
        <f t="shared" si="463"/>
        <v>0</v>
      </c>
      <c r="BK347" s="145" t="b">
        <f t="shared" si="464"/>
        <v>0</v>
      </c>
      <c r="BL347" s="216" t="b">
        <f t="shared" si="465"/>
        <v>0</v>
      </c>
      <c r="BM347" s="217" t="str">
        <f t="shared" si="420"/>
        <v/>
      </c>
      <c r="BN347" s="146" t="str">
        <f t="shared" si="421"/>
        <v/>
      </c>
      <c r="BO347" s="147" t="str">
        <f t="shared" si="422"/>
        <v/>
      </c>
      <c r="BP347" s="148" t="str">
        <f t="shared" si="423"/>
        <v/>
      </c>
      <c r="BT347" s="50">
        <f t="shared" si="413"/>
        <v>324</v>
      </c>
      <c r="BU347" s="50" t="str">
        <f t="shared" si="439"/>
        <v>-</v>
      </c>
      <c r="BW347" s="333"/>
      <c r="BX347" s="333"/>
      <c r="BY347" s="333"/>
      <c r="BZ347" s="333"/>
      <c r="CA347" s="333"/>
      <c r="CB347" s="333"/>
      <c r="CC347" s="333"/>
      <c r="CD347" s="333"/>
      <c r="CE347" s="333"/>
      <c r="CF347" s="333"/>
      <c r="CG347" s="354">
        <f t="shared" si="466"/>
        <v>324</v>
      </c>
      <c r="CH347" s="613">
        <f t="shared" si="467"/>
        <v>0</v>
      </c>
      <c r="CI347" s="613">
        <f t="shared" si="468"/>
        <v>0</v>
      </c>
      <c r="CJ347" s="614" t="str">
        <f t="shared" si="469"/>
        <v/>
      </c>
      <c r="CK347" s="615" t="str">
        <f t="shared" si="470"/>
        <v/>
      </c>
      <c r="CL347" s="610" t="str">
        <f>IF(ISBLANK(H347),"",IF(AND(ISNUMBER(F347),ISNUMBER(G347),ISNUMBER(H347)),ROUND(F347/(H347*G347),2),ROUND(F347/(VALUE(LEFT(H347,SUM(LEN(H347)-LEN(SUBSTITUTE(H347,{"0","1","2","3","4","5","6","7","8","9","."},"")))))*G347),2)))</f>
        <v/>
      </c>
      <c r="CM347" s="616" t="str">
        <f t="shared" si="424"/>
        <v/>
      </c>
      <c r="CN347" s="616" t="str">
        <f>IF(ISNUMBER(P347),MAX('Adjustment factors'!$S$16,(0.2+0.8*P347)),IF(ISTEXT(N347),VLOOKUP(N347,Afactors,2,FALSE),""))</f>
        <v/>
      </c>
      <c r="CO347" s="616" t="str">
        <f>IF(ISNUMBER(S347),MAX('Adjustment factors'!$S$16,0.2+0.8*S347),IF(ISTEXT(Q347),VLOOKUP(Q347,Afactors,2,FALSE),""))</f>
        <v/>
      </c>
      <c r="CP347" s="611" t="str">
        <f t="shared" si="488"/>
        <v/>
      </c>
      <c r="CQ347" s="612" t="str">
        <f t="shared" si="489"/>
        <v/>
      </c>
      <c r="CR347" s="340"/>
      <c r="CS347" s="340"/>
      <c r="CT347" s="340"/>
      <c r="CU347" s="340"/>
      <c r="CV347" s="333"/>
      <c r="CW347" s="333"/>
      <c r="CX347" s="333"/>
      <c r="CY347" s="333"/>
      <c r="DA347" s="313" t="str">
        <f t="shared" si="471"/>
        <v>OK</v>
      </c>
      <c r="DB347" s="313" t="str">
        <f t="shared" si="472"/>
        <v>OK</v>
      </c>
      <c r="DC347" s="313" t="str">
        <f t="shared" si="473"/>
        <v>OK</v>
      </c>
      <c r="DD347" s="313" t="str">
        <f t="shared" si="474"/>
        <v>OK</v>
      </c>
      <c r="DE347" s="153" t="str">
        <f t="shared" si="475"/>
        <v>OK</v>
      </c>
      <c r="DF347" s="314" t="str">
        <f t="shared" si="476"/>
        <v>OK</v>
      </c>
      <c r="DG347" s="482" t="str">
        <f t="shared" si="490"/>
        <v>OK</v>
      </c>
      <c r="DH347" s="482" t="str">
        <f>IF(OR(AND(T347='Adjustment factors'!$R$28,'Class 3, 5-9'!U347='Adjustment factors'!$R$29),AND('Class 3, 5-9'!T347='Adjustment factors'!$R$29,'Class 3, 5-9'!U347='Adjustment factors'!$R$28)),"Invalid combination of adjustment factors",IF(AND(T347=U347,NOT(ISBLANK(T347)),NOT(ISBLANK(U347))),"Same colour factor selected twice","OK"))</f>
        <v>OK</v>
      </c>
      <c r="DI347" s="313" t="str">
        <f t="shared" si="477"/>
        <v>OK</v>
      </c>
      <c r="DJ347" s="153" t="str">
        <f t="shared" si="425"/>
        <v>OK</v>
      </c>
      <c r="DK347" s="153" t="str">
        <f t="shared" si="478"/>
        <v>OK</v>
      </c>
      <c r="DL347" s="313" t="str">
        <f t="shared" si="479"/>
        <v>OK</v>
      </c>
      <c r="DM347" s="153" t="str">
        <f t="shared" si="480"/>
        <v>OK</v>
      </c>
      <c r="DN347" s="153" t="str">
        <f t="shared" si="426"/>
        <v>OK</v>
      </c>
      <c r="DO347" s="154" t="str">
        <f t="shared" si="427"/>
        <v>OK</v>
      </c>
      <c r="DP347" s="153" t="str">
        <f t="shared" si="481"/>
        <v>OK</v>
      </c>
      <c r="DQ347" s="313" t="str">
        <f t="shared" si="482"/>
        <v>OK</v>
      </c>
      <c r="DR347" s="153" t="str">
        <f t="shared" si="428"/>
        <v>OK</v>
      </c>
      <c r="DS347" s="153" t="str">
        <f t="shared" si="483"/>
        <v>OK</v>
      </c>
      <c r="DT347" s="313" t="str">
        <f t="shared" si="441"/>
        <v>OK</v>
      </c>
      <c r="DU347" s="153" t="str">
        <f t="shared" si="484"/>
        <v>OK</v>
      </c>
      <c r="DV347" s="153" t="str">
        <f t="shared" si="429"/>
        <v>OK</v>
      </c>
      <c r="DW347" s="154" t="str">
        <f t="shared" si="430"/>
        <v>OK</v>
      </c>
      <c r="DX347" s="157">
        <f t="shared" si="431"/>
        <v>0</v>
      </c>
      <c r="DY347" s="156" t="str">
        <f t="shared" si="432"/>
        <v>OK</v>
      </c>
    </row>
    <row r="348" spans="1:129" ht="13" hidden="1" x14ac:dyDescent="0.3">
      <c r="A348" s="333"/>
      <c r="B348" s="333"/>
      <c r="C348" s="331" t="str">
        <f t="shared" si="440"/>
        <v>-</v>
      </c>
      <c r="D348" s="584">
        <f t="shared" si="412"/>
        <v>325</v>
      </c>
      <c r="E348" s="585"/>
      <c r="F348" s="586"/>
      <c r="G348" s="600"/>
      <c r="H348" s="587"/>
      <c r="I348" s="601"/>
      <c r="J348" s="585"/>
      <c r="K348" s="617"/>
      <c r="L348" s="602"/>
      <c r="M348" s="603"/>
      <c r="N348" s="588"/>
      <c r="O348" s="604"/>
      <c r="P348" s="605"/>
      <c r="Q348" s="588"/>
      <c r="R348" s="604"/>
      <c r="S348" s="605"/>
      <c r="T348" s="606"/>
      <c r="U348" s="606"/>
      <c r="V348" s="429" t="str">
        <f t="shared" si="437"/>
        <v/>
      </c>
      <c r="W348" s="430" t="str">
        <f t="shared" si="436"/>
        <v/>
      </c>
      <c r="X348" s="66" t="str">
        <f>IF(AND(ISNUMBER(P348),N348=FixedDim),MAX('Adjustment factors'!$S$16,0.2+0.8*P348),IF(ISTEXT(N348),VLOOKUP(N348,Afactors,2,TRUE),""))</f>
        <v/>
      </c>
      <c r="Y348" s="17" t="str">
        <f>IF(AND(ISNUMBER(S348),Q348=FixedDim),MAX('Adjustment factors'!$S$16,0.2+0.8*S348),IF(ISTEXT(Q348),VLOOKUP(Q348,Afactors,2,TRUE),""))</f>
        <v/>
      </c>
      <c r="Z348" s="297" t="str">
        <f>IF(ISBLANK(T348),"",VLOOKUP(T348,'Adjustment factors'!$R$27:$S$30,2,TRUE))</f>
        <v/>
      </c>
      <c r="AA348" s="297" t="str">
        <f>IF(ISBLANK(U348),"",VLOOKUP(U348,'Adjustment factors'!$R$27:$S$30,2,TRUE))</f>
        <v/>
      </c>
      <c r="AB348" s="480">
        <f t="shared" si="485"/>
        <v>1</v>
      </c>
      <c r="AC348" s="18" t="b">
        <f t="shared" si="442"/>
        <v>0</v>
      </c>
      <c r="AD348" s="18" t="b">
        <f t="shared" si="443"/>
        <v>0</v>
      </c>
      <c r="AE348" s="18" t="b">
        <f t="shared" si="433"/>
        <v>0</v>
      </c>
      <c r="AF348" s="17" t="str">
        <f t="shared" si="444"/>
        <v/>
      </c>
      <c r="AG348" s="18" t="str">
        <f t="shared" si="445"/>
        <v/>
      </c>
      <c r="AH348" s="17" t="str">
        <f t="shared" si="434"/>
        <v/>
      </c>
      <c r="AI348" s="297" t="e">
        <f t="shared" si="486"/>
        <v>#VALUE!</v>
      </c>
      <c r="AJ348" s="79" t="e">
        <f t="shared" si="446"/>
        <v>#VALUE!</v>
      </c>
      <c r="AK348" s="17" t="str">
        <f t="shared" si="435"/>
        <v/>
      </c>
      <c r="AL348" s="80" t="e">
        <f t="shared" si="447"/>
        <v>#VALUE!</v>
      </c>
      <c r="AM348" s="139" t="b">
        <f t="shared" si="448"/>
        <v>1</v>
      </c>
      <c r="AN348" s="139" t="b">
        <f>AND(COUNTA(E348)&gt;0,ISNUMBER(F348),OR(COUNT(G348:H348)=0,COUNT(G348:H348)=2,AND(ISNUMBER(G348),ISNUMBER(VALUE(LEFT(H348,SUM(LEN(H348)-LEN(SUBSTITUTE(H348,{"0","1","2","3","4","5","6","7","8","9","."},"")))))))),ISNUMBER(I348),ISTEXT(J348))</f>
        <v>0</v>
      </c>
      <c r="AO348" s="19" t="b">
        <f t="shared" si="449"/>
        <v>0</v>
      </c>
      <c r="AP348" s="19" t="b">
        <f t="shared" si="450"/>
        <v>1</v>
      </c>
      <c r="AQ348" s="19" t="b">
        <f>IF(AND(COUNTBLANK(E348:J348)=6,OR(AN349:AN$523)),NOT(AN348))</f>
        <v>0</v>
      </c>
      <c r="AR348" s="19" t="str">
        <f t="shared" si="451"/>
        <v/>
      </c>
      <c r="AS348" s="19" t="b">
        <f t="shared" si="452"/>
        <v>1</v>
      </c>
      <c r="AT348" s="19" t="str">
        <f t="shared" si="453"/>
        <v/>
      </c>
      <c r="AU348" s="19" t="b">
        <f t="shared" si="454"/>
        <v>1</v>
      </c>
      <c r="AV348" s="140" t="str">
        <f t="shared" si="417"/>
        <v/>
      </c>
      <c r="AW348" s="19" t="str">
        <f t="shared" si="455"/>
        <v/>
      </c>
      <c r="AX348" s="81">
        <f t="shared" si="456"/>
        <v>0</v>
      </c>
      <c r="AY348" s="81" t="str">
        <f t="shared" si="457"/>
        <v/>
      </c>
      <c r="AZ348" s="307" t="str">
        <f t="shared" si="487"/>
        <v/>
      </c>
      <c r="BA348" s="281" t="str">
        <f t="shared" si="418"/>
        <v/>
      </c>
      <c r="BB348" s="281" t="str">
        <f t="shared" si="419"/>
        <v/>
      </c>
      <c r="BC348" s="953"/>
      <c r="BD348" s="955"/>
      <c r="BE348" s="219" t="str">
        <f t="shared" si="458"/>
        <v>n/a</v>
      </c>
      <c r="BF348" s="215" t="b">
        <f t="shared" si="459"/>
        <v>0</v>
      </c>
      <c r="BG348" s="145" t="b">
        <f t="shared" si="460"/>
        <v>0</v>
      </c>
      <c r="BH348" s="145" t="b">
        <f t="shared" si="461"/>
        <v>0</v>
      </c>
      <c r="BI348" s="216" t="b">
        <f t="shared" si="462"/>
        <v>0</v>
      </c>
      <c r="BJ348" s="215" t="b">
        <f t="shared" si="463"/>
        <v>0</v>
      </c>
      <c r="BK348" s="145" t="b">
        <f t="shared" si="464"/>
        <v>0</v>
      </c>
      <c r="BL348" s="216" t="b">
        <f t="shared" si="465"/>
        <v>0</v>
      </c>
      <c r="BM348" s="217" t="str">
        <f t="shared" si="420"/>
        <v/>
      </c>
      <c r="BN348" s="146" t="str">
        <f t="shared" si="421"/>
        <v/>
      </c>
      <c r="BO348" s="147" t="str">
        <f t="shared" si="422"/>
        <v/>
      </c>
      <c r="BP348" s="148" t="str">
        <f t="shared" si="423"/>
        <v/>
      </c>
      <c r="BT348" s="50">
        <f t="shared" si="413"/>
        <v>325</v>
      </c>
      <c r="BU348" s="50" t="str">
        <f t="shared" si="439"/>
        <v>-</v>
      </c>
      <c r="BW348" s="333"/>
      <c r="BX348" s="333"/>
      <c r="BY348" s="333"/>
      <c r="BZ348" s="333"/>
      <c r="CA348" s="333"/>
      <c r="CB348" s="333"/>
      <c r="CC348" s="333"/>
      <c r="CD348" s="333"/>
      <c r="CE348" s="333"/>
      <c r="CF348" s="333"/>
      <c r="CG348" s="354">
        <f t="shared" si="466"/>
        <v>325</v>
      </c>
      <c r="CH348" s="613">
        <f t="shared" si="467"/>
        <v>0</v>
      </c>
      <c r="CI348" s="613">
        <f t="shared" si="468"/>
        <v>0</v>
      </c>
      <c r="CJ348" s="614" t="str">
        <f t="shared" si="469"/>
        <v/>
      </c>
      <c r="CK348" s="615" t="str">
        <f t="shared" si="470"/>
        <v/>
      </c>
      <c r="CL348" s="610" t="str">
        <f>IF(ISBLANK(H348),"",IF(AND(ISNUMBER(F348),ISNUMBER(G348),ISNUMBER(H348)),ROUND(F348/(H348*G348),2),ROUND(F348/(VALUE(LEFT(H348,SUM(LEN(H348)-LEN(SUBSTITUTE(H348,{"0","1","2","3","4","5","6","7","8","9","."},"")))))*G348),2)))</f>
        <v/>
      </c>
      <c r="CM348" s="616" t="str">
        <f t="shared" si="424"/>
        <v/>
      </c>
      <c r="CN348" s="616" t="str">
        <f>IF(ISNUMBER(P348),MAX('Adjustment factors'!$S$16,(0.2+0.8*P348)),IF(ISTEXT(N348),VLOOKUP(N348,Afactors,2,FALSE),""))</f>
        <v/>
      </c>
      <c r="CO348" s="616" t="str">
        <f>IF(ISNUMBER(S348),MAX('Adjustment factors'!$S$16,0.2+0.8*S348),IF(ISTEXT(Q348),VLOOKUP(Q348,Afactors,2,FALSE),""))</f>
        <v/>
      </c>
      <c r="CP348" s="611" t="str">
        <f t="shared" si="488"/>
        <v/>
      </c>
      <c r="CQ348" s="612" t="str">
        <f t="shared" si="489"/>
        <v/>
      </c>
      <c r="CR348" s="340"/>
      <c r="CS348" s="340"/>
      <c r="CT348" s="340"/>
      <c r="CU348" s="340"/>
      <c r="CV348" s="333"/>
      <c r="CW348" s="333"/>
      <c r="CX348" s="333"/>
      <c r="CY348" s="333"/>
      <c r="DA348" s="313" t="str">
        <f t="shared" si="471"/>
        <v>OK</v>
      </c>
      <c r="DB348" s="313" t="str">
        <f t="shared" si="472"/>
        <v>OK</v>
      </c>
      <c r="DC348" s="313" t="str">
        <f t="shared" si="473"/>
        <v>OK</v>
      </c>
      <c r="DD348" s="313" t="str">
        <f t="shared" si="474"/>
        <v>OK</v>
      </c>
      <c r="DE348" s="153" t="str">
        <f t="shared" si="475"/>
        <v>OK</v>
      </c>
      <c r="DF348" s="314" t="str">
        <f t="shared" si="476"/>
        <v>OK</v>
      </c>
      <c r="DG348" s="482" t="str">
        <f t="shared" si="490"/>
        <v>OK</v>
      </c>
      <c r="DH348" s="482" t="str">
        <f>IF(OR(AND(T348='Adjustment factors'!$R$28,'Class 3, 5-9'!U348='Adjustment factors'!$R$29),AND('Class 3, 5-9'!T348='Adjustment factors'!$R$29,'Class 3, 5-9'!U348='Adjustment factors'!$R$28)),"Invalid combination of adjustment factors",IF(AND(T348=U348,NOT(ISBLANK(T348)),NOT(ISBLANK(U348))),"Same colour factor selected twice","OK"))</f>
        <v>OK</v>
      </c>
      <c r="DI348" s="313" t="str">
        <f t="shared" si="477"/>
        <v>OK</v>
      </c>
      <c r="DJ348" s="153" t="str">
        <f t="shared" si="425"/>
        <v>OK</v>
      </c>
      <c r="DK348" s="153" t="str">
        <f t="shared" si="478"/>
        <v>OK</v>
      </c>
      <c r="DL348" s="313" t="str">
        <f t="shared" si="479"/>
        <v>OK</v>
      </c>
      <c r="DM348" s="153" t="str">
        <f t="shared" si="480"/>
        <v>OK</v>
      </c>
      <c r="DN348" s="153" t="str">
        <f t="shared" si="426"/>
        <v>OK</v>
      </c>
      <c r="DO348" s="154" t="str">
        <f t="shared" si="427"/>
        <v>OK</v>
      </c>
      <c r="DP348" s="153" t="str">
        <f t="shared" si="481"/>
        <v>OK</v>
      </c>
      <c r="DQ348" s="313" t="str">
        <f t="shared" si="482"/>
        <v>OK</v>
      </c>
      <c r="DR348" s="153" t="str">
        <f t="shared" si="428"/>
        <v>OK</v>
      </c>
      <c r="DS348" s="153" t="str">
        <f t="shared" si="483"/>
        <v>OK</v>
      </c>
      <c r="DT348" s="313" t="str">
        <f t="shared" si="441"/>
        <v>OK</v>
      </c>
      <c r="DU348" s="153" t="str">
        <f t="shared" si="484"/>
        <v>OK</v>
      </c>
      <c r="DV348" s="153" t="str">
        <f t="shared" si="429"/>
        <v>OK</v>
      </c>
      <c r="DW348" s="154" t="str">
        <f t="shared" si="430"/>
        <v>OK</v>
      </c>
      <c r="DX348" s="157">
        <f t="shared" si="431"/>
        <v>0</v>
      </c>
      <c r="DY348" s="156" t="str">
        <f t="shared" si="432"/>
        <v>OK</v>
      </c>
    </row>
    <row r="349" spans="1:129" ht="13" hidden="1" x14ac:dyDescent="0.3">
      <c r="A349" s="333"/>
      <c r="B349" s="333"/>
      <c r="C349" s="331" t="str">
        <f t="shared" si="440"/>
        <v>-</v>
      </c>
      <c r="D349" s="584">
        <f t="shared" si="412"/>
        <v>326</v>
      </c>
      <c r="E349" s="585"/>
      <c r="F349" s="586"/>
      <c r="G349" s="600"/>
      <c r="H349" s="587"/>
      <c r="I349" s="601"/>
      <c r="J349" s="585"/>
      <c r="K349" s="617"/>
      <c r="L349" s="602"/>
      <c r="M349" s="603"/>
      <c r="N349" s="588"/>
      <c r="O349" s="604"/>
      <c r="P349" s="605"/>
      <c r="Q349" s="588"/>
      <c r="R349" s="604"/>
      <c r="S349" s="605"/>
      <c r="T349" s="606"/>
      <c r="U349" s="606"/>
      <c r="V349" s="429" t="str">
        <f t="shared" si="437"/>
        <v/>
      </c>
      <c r="W349" s="430" t="str">
        <f t="shared" si="436"/>
        <v/>
      </c>
      <c r="X349" s="66" t="str">
        <f>IF(AND(ISNUMBER(P349),N349=FixedDim),MAX('Adjustment factors'!$S$16,0.2+0.8*P349),IF(ISTEXT(N349),VLOOKUP(N349,Afactors,2,TRUE),""))</f>
        <v/>
      </c>
      <c r="Y349" s="17" t="str">
        <f>IF(AND(ISNUMBER(S349),Q349=FixedDim),MAX('Adjustment factors'!$S$16,0.2+0.8*S349),IF(ISTEXT(Q349),VLOOKUP(Q349,Afactors,2,TRUE),""))</f>
        <v/>
      </c>
      <c r="Z349" s="297" t="str">
        <f>IF(ISBLANK(T349),"",VLOOKUP(T349,'Adjustment factors'!$R$27:$S$30,2,TRUE))</f>
        <v/>
      </c>
      <c r="AA349" s="297" t="str">
        <f>IF(ISBLANK(U349),"",VLOOKUP(U349,'Adjustment factors'!$R$27:$S$30,2,TRUE))</f>
        <v/>
      </c>
      <c r="AB349" s="480">
        <f t="shared" si="485"/>
        <v>1</v>
      </c>
      <c r="AC349" s="18" t="b">
        <f t="shared" si="442"/>
        <v>0</v>
      </c>
      <c r="AD349" s="18" t="b">
        <f t="shared" si="443"/>
        <v>0</v>
      </c>
      <c r="AE349" s="18" t="b">
        <f t="shared" si="433"/>
        <v>0</v>
      </c>
      <c r="AF349" s="17" t="str">
        <f t="shared" si="444"/>
        <v/>
      </c>
      <c r="AG349" s="18" t="str">
        <f t="shared" si="445"/>
        <v/>
      </c>
      <c r="AH349" s="17" t="str">
        <f t="shared" si="434"/>
        <v/>
      </c>
      <c r="AI349" s="297" t="e">
        <f t="shared" si="486"/>
        <v>#VALUE!</v>
      </c>
      <c r="AJ349" s="79" t="e">
        <f t="shared" si="446"/>
        <v>#VALUE!</v>
      </c>
      <c r="AK349" s="17" t="str">
        <f t="shared" si="435"/>
        <v/>
      </c>
      <c r="AL349" s="80" t="e">
        <f t="shared" si="447"/>
        <v>#VALUE!</v>
      </c>
      <c r="AM349" s="139" t="b">
        <f t="shared" si="448"/>
        <v>1</v>
      </c>
      <c r="AN349" s="139" t="b">
        <f>AND(COUNTA(E349)&gt;0,ISNUMBER(F349),OR(COUNT(G349:H349)=0,COUNT(G349:H349)=2,AND(ISNUMBER(G349),ISNUMBER(VALUE(LEFT(H349,SUM(LEN(H349)-LEN(SUBSTITUTE(H349,{"0","1","2","3","4","5","6","7","8","9","."},"")))))))),ISNUMBER(I349),ISTEXT(J349))</f>
        <v>0</v>
      </c>
      <c r="AO349" s="19" t="b">
        <f t="shared" si="449"/>
        <v>0</v>
      </c>
      <c r="AP349" s="19" t="b">
        <f t="shared" si="450"/>
        <v>1</v>
      </c>
      <c r="AQ349" s="19" t="b">
        <f>IF(AND(COUNTBLANK(E349:J349)=6,OR(AN350:AN$523)),NOT(AN349))</f>
        <v>0</v>
      </c>
      <c r="AR349" s="19" t="str">
        <f t="shared" si="451"/>
        <v/>
      </c>
      <c r="AS349" s="19" t="b">
        <f t="shared" si="452"/>
        <v>1</v>
      </c>
      <c r="AT349" s="19" t="str">
        <f t="shared" si="453"/>
        <v/>
      </c>
      <c r="AU349" s="19" t="b">
        <f t="shared" si="454"/>
        <v>1</v>
      </c>
      <c r="AV349" s="140" t="str">
        <f t="shared" si="417"/>
        <v/>
      </c>
      <c r="AW349" s="19" t="str">
        <f t="shared" si="455"/>
        <v/>
      </c>
      <c r="AX349" s="81">
        <f t="shared" si="456"/>
        <v>0</v>
      </c>
      <c r="AY349" s="81" t="str">
        <f t="shared" si="457"/>
        <v/>
      </c>
      <c r="AZ349" s="307" t="str">
        <f t="shared" si="487"/>
        <v/>
      </c>
      <c r="BA349" s="281" t="str">
        <f t="shared" si="418"/>
        <v/>
      </c>
      <c r="BB349" s="281" t="str">
        <f t="shared" si="419"/>
        <v/>
      </c>
      <c r="BC349" s="953"/>
      <c r="BD349" s="955"/>
      <c r="BE349" s="219" t="str">
        <f t="shared" si="458"/>
        <v>n/a</v>
      </c>
      <c r="BF349" s="215" t="b">
        <f t="shared" si="459"/>
        <v>0</v>
      </c>
      <c r="BG349" s="145" t="b">
        <f t="shared" si="460"/>
        <v>0</v>
      </c>
      <c r="BH349" s="145" t="b">
        <f t="shared" si="461"/>
        <v>0</v>
      </c>
      <c r="BI349" s="216" t="b">
        <f t="shared" si="462"/>
        <v>0</v>
      </c>
      <c r="BJ349" s="215" t="b">
        <f t="shared" si="463"/>
        <v>0</v>
      </c>
      <c r="BK349" s="145" t="b">
        <f t="shared" si="464"/>
        <v>0</v>
      </c>
      <c r="BL349" s="216" t="b">
        <f t="shared" si="465"/>
        <v>0</v>
      </c>
      <c r="BM349" s="217" t="str">
        <f t="shared" si="420"/>
        <v/>
      </c>
      <c r="BN349" s="146" t="str">
        <f t="shared" si="421"/>
        <v/>
      </c>
      <c r="BO349" s="147" t="str">
        <f t="shared" si="422"/>
        <v/>
      </c>
      <c r="BP349" s="148" t="str">
        <f t="shared" si="423"/>
        <v/>
      </c>
      <c r="BT349" s="50">
        <f t="shared" si="413"/>
        <v>326</v>
      </c>
      <c r="BU349" s="50" t="str">
        <f t="shared" si="439"/>
        <v>-</v>
      </c>
      <c r="BW349" s="333"/>
      <c r="BX349" s="333"/>
      <c r="BY349" s="333"/>
      <c r="BZ349" s="333"/>
      <c r="CA349" s="333"/>
      <c r="CB349" s="333"/>
      <c r="CC349" s="333"/>
      <c r="CD349" s="333"/>
      <c r="CE349" s="333"/>
      <c r="CF349" s="333"/>
      <c r="CG349" s="354">
        <f t="shared" si="466"/>
        <v>326</v>
      </c>
      <c r="CH349" s="613">
        <f t="shared" si="467"/>
        <v>0</v>
      </c>
      <c r="CI349" s="613">
        <f t="shared" si="468"/>
        <v>0</v>
      </c>
      <c r="CJ349" s="614" t="str">
        <f t="shared" si="469"/>
        <v/>
      </c>
      <c r="CK349" s="615" t="str">
        <f t="shared" si="470"/>
        <v/>
      </c>
      <c r="CL349" s="610" t="str">
        <f>IF(ISBLANK(H349),"",IF(AND(ISNUMBER(F349),ISNUMBER(G349),ISNUMBER(H349)),ROUND(F349/(H349*G349),2),ROUND(F349/(VALUE(LEFT(H349,SUM(LEN(H349)-LEN(SUBSTITUTE(H349,{"0","1","2","3","4","5","6","7","8","9","."},"")))))*G349),2)))</f>
        <v/>
      </c>
      <c r="CM349" s="616" t="str">
        <f t="shared" si="424"/>
        <v/>
      </c>
      <c r="CN349" s="616" t="str">
        <f>IF(ISNUMBER(P349),MAX('Adjustment factors'!$S$16,(0.2+0.8*P349)),IF(ISTEXT(N349),VLOOKUP(N349,Afactors,2,FALSE),""))</f>
        <v/>
      </c>
      <c r="CO349" s="616" t="str">
        <f>IF(ISNUMBER(S349),MAX('Adjustment factors'!$S$16,0.2+0.8*S349),IF(ISTEXT(Q349),VLOOKUP(Q349,Afactors,2,FALSE),""))</f>
        <v/>
      </c>
      <c r="CP349" s="611" t="str">
        <f t="shared" si="488"/>
        <v/>
      </c>
      <c r="CQ349" s="612" t="str">
        <f t="shared" si="489"/>
        <v/>
      </c>
      <c r="CR349" s="340"/>
      <c r="CS349" s="340"/>
      <c r="CT349" s="340"/>
      <c r="CU349" s="340"/>
      <c r="CV349" s="333"/>
      <c r="CW349" s="333"/>
      <c r="CX349" s="333"/>
      <c r="CY349" s="333"/>
      <c r="DA349" s="313" t="str">
        <f t="shared" si="471"/>
        <v>OK</v>
      </c>
      <c r="DB349" s="313" t="str">
        <f t="shared" si="472"/>
        <v>OK</v>
      </c>
      <c r="DC349" s="313" t="str">
        <f t="shared" si="473"/>
        <v>OK</v>
      </c>
      <c r="DD349" s="313" t="str">
        <f t="shared" si="474"/>
        <v>OK</v>
      </c>
      <c r="DE349" s="153" t="str">
        <f t="shared" si="475"/>
        <v>OK</v>
      </c>
      <c r="DF349" s="314" t="str">
        <f t="shared" si="476"/>
        <v>OK</v>
      </c>
      <c r="DG349" s="482" t="str">
        <f t="shared" si="490"/>
        <v>OK</v>
      </c>
      <c r="DH349" s="482" t="str">
        <f>IF(OR(AND(T349='Adjustment factors'!$R$28,'Class 3, 5-9'!U349='Adjustment factors'!$R$29),AND('Class 3, 5-9'!T349='Adjustment factors'!$R$29,'Class 3, 5-9'!U349='Adjustment factors'!$R$28)),"Invalid combination of adjustment factors",IF(AND(T349=U349,NOT(ISBLANK(T349)),NOT(ISBLANK(U349))),"Same colour factor selected twice","OK"))</f>
        <v>OK</v>
      </c>
      <c r="DI349" s="313" t="str">
        <f t="shared" si="477"/>
        <v>OK</v>
      </c>
      <c r="DJ349" s="153" t="str">
        <f t="shared" si="425"/>
        <v>OK</v>
      </c>
      <c r="DK349" s="153" t="str">
        <f t="shared" si="478"/>
        <v>OK</v>
      </c>
      <c r="DL349" s="313" t="str">
        <f t="shared" si="479"/>
        <v>OK</v>
      </c>
      <c r="DM349" s="153" t="str">
        <f t="shared" si="480"/>
        <v>OK</v>
      </c>
      <c r="DN349" s="153" t="str">
        <f t="shared" si="426"/>
        <v>OK</v>
      </c>
      <c r="DO349" s="154" t="str">
        <f t="shared" si="427"/>
        <v>OK</v>
      </c>
      <c r="DP349" s="153" t="str">
        <f t="shared" si="481"/>
        <v>OK</v>
      </c>
      <c r="DQ349" s="313" t="str">
        <f t="shared" si="482"/>
        <v>OK</v>
      </c>
      <c r="DR349" s="153" t="str">
        <f t="shared" si="428"/>
        <v>OK</v>
      </c>
      <c r="DS349" s="153" t="str">
        <f t="shared" si="483"/>
        <v>OK</v>
      </c>
      <c r="DT349" s="313" t="str">
        <f t="shared" si="441"/>
        <v>OK</v>
      </c>
      <c r="DU349" s="153" t="str">
        <f t="shared" si="484"/>
        <v>OK</v>
      </c>
      <c r="DV349" s="153" t="str">
        <f t="shared" si="429"/>
        <v>OK</v>
      </c>
      <c r="DW349" s="154" t="str">
        <f t="shared" si="430"/>
        <v>OK</v>
      </c>
      <c r="DX349" s="157">
        <f t="shared" si="431"/>
        <v>0</v>
      </c>
      <c r="DY349" s="156" t="str">
        <f t="shared" si="432"/>
        <v>OK</v>
      </c>
    </row>
    <row r="350" spans="1:129" ht="13" hidden="1" x14ac:dyDescent="0.3">
      <c r="A350" s="333"/>
      <c r="B350" s="333"/>
      <c r="C350" s="331" t="str">
        <f t="shared" si="440"/>
        <v>-</v>
      </c>
      <c r="D350" s="584">
        <f t="shared" si="412"/>
        <v>327</v>
      </c>
      <c r="E350" s="585"/>
      <c r="F350" s="586"/>
      <c r="G350" s="600"/>
      <c r="H350" s="587"/>
      <c r="I350" s="601"/>
      <c r="J350" s="585"/>
      <c r="K350" s="617"/>
      <c r="L350" s="602"/>
      <c r="M350" s="603"/>
      <c r="N350" s="588"/>
      <c r="O350" s="604"/>
      <c r="P350" s="605"/>
      <c r="Q350" s="588"/>
      <c r="R350" s="604"/>
      <c r="S350" s="605"/>
      <c r="T350" s="606"/>
      <c r="U350" s="606"/>
      <c r="V350" s="429" t="str">
        <f t="shared" si="437"/>
        <v/>
      </c>
      <c r="W350" s="430" t="str">
        <f t="shared" si="436"/>
        <v/>
      </c>
      <c r="X350" s="66" t="str">
        <f>IF(AND(ISNUMBER(P350),N350=FixedDim),MAX('Adjustment factors'!$S$16,0.2+0.8*P350),IF(ISTEXT(N350),VLOOKUP(N350,Afactors,2,TRUE),""))</f>
        <v/>
      </c>
      <c r="Y350" s="17" t="str">
        <f>IF(AND(ISNUMBER(S350),Q350=FixedDim),MAX('Adjustment factors'!$S$16,0.2+0.8*S350),IF(ISTEXT(Q350),VLOOKUP(Q350,Afactors,2,TRUE),""))</f>
        <v/>
      </c>
      <c r="Z350" s="297" t="str">
        <f>IF(ISBLANK(T350),"",VLOOKUP(T350,'Adjustment factors'!$R$27:$S$30,2,TRUE))</f>
        <v/>
      </c>
      <c r="AA350" s="297" t="str">
        <f>IF(ISBLANK(U350),"",VLOOKUP(U350,'Adjustment factors'!$R$27:$S$30,2,TRUE))</f>
        <v/>
      </c>
      <c r="AB350" s="480">
        <f t="shared" si="485"/>
        <v>1</v>
      </c>
      <c r="AC350" s="18" t="b">
        <f t="shared" si="442"/>
        <v>0</v>
      </c>
      <c r="AD350" s="18" t="b">
        <f t="shared" si="443"/>
        <v>0</v>
      </c>
      <c r="AE350" s="18" t="b">
        <f t="shared" si="433"/>
        <v>0</v>
      </c>
      <c r="AF350" s="17" t="str">
        <f t="shared" si="444"/>
        <v/>
      </c>
      <c r="AG350" s="18" t="str">
        <f t="shared" si="445"/>
        <v/>
      </c>
      <c r="AH350" s="17" t="str">
        <f t="shared" si="434"/>
        <v/>
      </c>
      <c r="AI350" s="297" t="e">
        <f t="shared" si="486"/>
        <v>#VALUE!</v>
      </c>
      <c r="AJ350" s="79" t="e">
        <f t="shared" si="446"/>
        <v>#VALUE!</v>
      </c>
      <c r="AK350" s="17" t="str">
        <f t="shared" si="435"/>
        <v/>
      </c>
      <c r="AL350" s="80" t="e">
        <f t="shared" si="447"/>
        <v>#VALUE!</v>
      </c>
      <c r="AM350" s="139" t="b">
        <f t="shared" si="448"/>
        <v>1</v>
      </c>
      <c r="AN350" s="139" t="b">
        <f>AND(COUNTA(E350)&gt;0,ISNUMBER(F350),OR(COUNT(G350:H350)=0,COUNT(G350:H350)=2,AND(ISNUMBER(G350),ISNUMBER(VALUE(LEFT(H350,SUM(LEN(H350)-LEN(SUBSTITUTE(H350,{"0","1","2","3","4","5","6","7","8","9","."},"")))))))),ISNUMBER(I350),ISTEXT(J350))</f>
        <v>0</v>
      </c>
      <c r="AO350" s="19" t="b">
        <f t="shared" si="449"/>
        <v>0</v>
      </c>
      <c r="AP350" s="19" t="b">
        <f t="shared" si="450"/>
        <v>1</v>
      </c>
      <c r="AQ350" s="19" t="b">
        <f>IF(AND(COUNTBLANK(E350:J350)=6,OR(AN351:AN$523)),NOT(AN350))</f>
        <v>0</v>
      </c>
      <c r="AR350" s="19" t="str">
        <f t="shared" si="451"/>
        <v/>
      </c>
      <c r="AS350" s="19" t="b">
        <f t="shared" si="452"/>
        <v>1</v>
      </c>
      <c r="AT350" s="19" t="str">
        <f t="shared" si="453"/>
        <v/>
      </c>
      <c r="AU350" s="19" t="b">
        <f t="shared" si="454"/>
        <v>1</v>
      </c>
      <c r="AV350" s="140" t="str">
        <f t="shared" si="417"/>
        <v/>
      </c>
      <c r="AW350" s="19" t="str">
        <f t="shared" si="455"/>
        <v/>
      </c>
      <c r="AX350" s="81">
        <f t="shared" si="456"/>
        <v>0</v>
      </c>
      <c r="AY350" s="81" t="str">
        <f t="shared" si="457"/>
        <v/>
      </c>
      <c r="AZ350" s="307" t="str">
        <f t="shared" si="487"/>
        <v/>
      </c>
      <c r="BA350" s="281" t="str">
        <f t="shared" si="418"/>
        <v/>
      </c>
      <c r="BB350" s="281" t="str">
        <f t="shared" si="419"/>
        <v/>
      </c>
      <c r="BC350" s="953"/>
      <c r="BD350" s="955"/>
      <c r="BE350" s="219" t="str">
        <f t="shared" si="458"/>
        <v>n/a</v>
      </c>
      <c r="BF350" s="215" t="b">
        <f t="shared" si="459"/>
        <v>0</v>
      </c>
      <c r="BG350" s="145" t="b">
        <f t="shared" si="460"/>
        <v>0</v>
      </c>
      <c r="BH350" s="145" t="b">
        <f t="shared" si="461"/>
        <v>0</v>
      </c>
      <c r="BI350" s="216" t="b">
        <f t="shared" si="462"/>
        <v>0</v>
      </c>
      <c r="BJ350" s="215" t="b">
        <f t="shared" si="463"/>
        <v>0</v>
      </c>
      <c r="BK350" s="145" t="b">
        <f t="shared" si="464"/>
        <v>0</v>
      </c>
      <c r="BL350" s="216" t="b">
        <f t="shared" si="465"/>
        <v>0</v>
      </c>
      <c r="BM350" s="217" t="str">
        <f t="shared" si="420"/>
        <v/>
      </c>
      <c r="BN350" s="146" t="str">
        <f t="shared" si="421"/>
        <v/>
      </c>
      <c r="BO350" s="147" t="str">
        <f t="shared" si="422"/>
        <v/>
      </c>
      <c r="BP350" s="148" t="str">
        <f t="shared" si="423"/>
        <v/>
      </c>
      <c r="BT350" s="50">
        <f t="shared" si="413"/>
        <v>327</v>
      </c>
      <c r="BU350" s="50" t="str">
        <f t="shared" si="439"/>
        <v>-</v>
      </c>
      <c r="BW350" s="333"/>
      <c r="BX350" s="333"/>
      <c r="BY350" s="333"/>
      <c r="BZ350" s="333"/>
      <c r="CA350" s="333"/>
      <c r="CB350" s="333"/>
      <c r="CC350" s="333"/>
      <c r="CD350" s="333"/>
      <c r="CE350" s="333"/>
      <c r="CF350" s="333"/>
      <c r="CG350" s="354">
        <f t="shared" si="466"/>
        <v>327</v>
      </c>
      <c r="CH350" s="613">
        <f t="shared" si="467"/>
        <v>0</v>
      </c>
      <c r="CI350" s="613">
        <f t="shared" si="468"/>
        <v>0</v>
      </c>
      <c r="CJ350" s="614" t="str">
        <f t="shared" si="469"/>
        <v/>
      </c>
      <c r="CK350" s="615" t="str">
        <f t="shared" si="470"/>
        <v/>
      </c>
      <c r="CL350" s="610" t="str">
        <f>IF(ISBLANK(H350),"",IF(AND(ISNUMBER(F350),ISNUMBER(G350),ISNUMBER(H350)),ROUND(F350/(H350*G350),2),ROUND(F350/(VALUE(LEFT(H350,SUM(LEN(H350)-LEN(SUBSTITUTE(H350,{"0","1","2","3","4","5","6","7","8","9","."},"")))))*G350),2)))</f>
        <v/>
      </c>
      <c r="CM350" s="616" t="str">
        <f t="shared" si="424"/>
        <v/>
      </c>
      <c r="CN350" s="616" t="str">
        <f>IF(ISNUMBER(P350),MAX('Adjustment factors'!$S$16,(0.2+0.8*P350)),IF(ISTEXT(N350),VLOOKUP(N350,Afactors,2,FALSE),""))</f>
        <v/>
      </c>
      <c r="CO350" s="616" t="str">
        <f>IF(ISNUMBER(S350),MAX('Adjustment factors'!$S$16,0.2+0.8*S350),IF(ISTEXT(Q350),VLOOKUP(Q350,Afactors,2,FALSE),""))</f>
        <v/>
      </c>
      <c r="CP350" s="611" t="str">
        <f t="shared" si="488"/>
        <v/>
      </c>
      <c r="CQ350" s="612" t="str">
        <f t="shared" si="489"/>
        <v/>
      </c>
      <c r="CR350" s="340"/>
      <c r="CS350" s="340"/>
      <c r="CT350" s="340"/>
      <c r="CU350" s="340"/>
      <c r="CV350" s="333"/>
      <c r="CW350" s="333"/>
      <c r="CX350" s="333"/>
      <c r="CY350" s="333"/>
      <c r="DA350" s="313" t="str">
        <f t="shared" si="471"/>
        <v>OK</v>
      </c>
      <c r="DB350" s="313" t="str">
        <f t="shared" si="472"/>
        <v>OK</v>
      </c>
      <c r="DC350" s="313" t="str">
        <f t="shared" si="473"/>
        <v>OK</v>
      </c>
      <c r="DD350" s="313" t="str">
        <f t="shared" si="474"/>
        <v>OK</v>
      </c>
      <c r="DE350" s="153" t="str">
        <f t="shared" si="475"/>
        <v>OK</v>
      </c>
      <c r="DF350" s="314" t="str">
        <f t="shared" si="476"/>
        <v>OK</v>
      </c>
      <c r="DG350" s="482" t="str">
        <f t="shared" si="490"/>
        <v>OK</v>
      </c>
      <c r="DH350" s="482" t="str">
        <f>IF(OR(AND(T350='Adjustment factors'!$R$28,'Class 3, 5-9'!U350='Adjustment factors'!$R$29),AND('Class 3, 5-9'!T350='Adjustment factors'!$R$29,'Class 3, 5-9'!U350='Adjustment factors'!$R$28)),"Invalid combination of adjustment factors",IF(AND(T350=U350,NOT(ISBLANK(T350)),NOT(ISBLANK(U350))),"Same colour factor selected twice","OK"))</f>
        <v>OK</v>
      </c>
      <c r="DI350" s="313" t="str">
        <f t="shared" si="477"/>
        <v>OK</v>
      </c>
      <c r="DJ350" s="153" t="str">
        <f t="shared" si="425"/>
        <v>OK</v>
      </c>
      <c r="DK350" s="153" t="str">
        <f t="shared" si="478"/>
        <v>OK</v>
      </c>
      <c r="DL350" s="313" t="str">
        <f t="shared" si="479"/>
        <v>OK</v>
      </c>
      <c r="DM350" s="153" t="str">
        <f t="shared" si="480"/>
        <v>OK</v>
      </c>
      <c r="DN350" s="153" t="str">
        <f t="shared" si="426"/>
        <v>OK</v>
      </c>
      <c r="DO350" s="154" t="str">
        <f t="shared" si="427"/>
        <v>OK</v>
      </c>
      <c r="DP350" s="153" t="str">
        <f t="shared" si="481"/>
        <v>OK</v>
      </c>
      <c r="DQ350" s="313" t="str">
        <f t="shared" si="482"/>
        <v>OK</v>
      </c>
      <c r="DR350" s="153" t="str">
        <f t="shared" si="428"/>
        <v>OK</v>
      </c>
      <c r="DS350" s="153" t="str">
        <f t="shared" si="483"/>
        <v>OK</v>
      </c>
      <c r="DT350" s="313" t="str">
        <f t="shared" si="441"/>
        <v>OK</v>
      </c>
      <c r="DU350" s="153" t="str">
        <f t="shared" si="484"/>
        <v>OK</v>
      </c>
      <c r="DV350" s="153" t="str">
        <f t="shared" si="429"/>
        <v>OK</v>
      </c>
      <c r="DW350" s="154" t="str">
        <f t="shared" si="430"/>
        <v>OK</v>
      </c>
      <c r="DX350" s="157">
        <f t="shared" si="431"/>
        <v>0</v>
      </c>
      <c r="DY350" s="156" t="str">
        <f t="shared" si="432"/>
        <v>OK</v>
      </c>
    </row>
    <row r="351" spans="1:129" ht="13" hidden="1" x14ac:dyDescent="0.3">
      <c r="A351" s="333"/>
      <c r="B351" s="333"/>
      <c r="C351" s="331" t="str">
        <f t="shared" si="440"/>
        <v>-</v>
      </c>
      <c r="D351" s="584">
        <f t="shared" si="412"/>
        <v>328</v>
      </c>
      <c r="E351" s="585"/>
      <c r="F351" s="586"/>
      <c r="G351" s="600"/>
      <c r="H351" s="587"/>
      <c r="I351" s="601"/>
      <c r="J351" s="585"/>
      <c r="K351" s="617"/>
      <c r="L351" s="602"/>
      <c r="M351" s="603"/>
      <c r="N351" s="588"/>
      <c r="O351" s="604"/>
      <c r="P351" s="605"/>
      <c r="Q351" s="588"/>
      <c r="R351" s="604"/>
      <c r="S351" s="605"/>
      <c r="T351" s="606"/>
      <c r="U351" s="606"/>
      <c r="V351" s="429" t="str">
        <f t="shared" si="437"/>
        <v/>
      </c>
      <c r="W351" s="430" t="str">
        <f t="shared" si="436"/>
        <v/>
      </c>
      <c r="X351" s="66" t="str">
        <f>IF(AND(ISNUMBER(P351),N351=FixedDim),MAX('Adjustment factors'!$S$16,0.2+0.8*P351),IF(ISTEXT(N351),VLOOKUP(N351,Afactors,2,TRUE),""))</f>
        <v/>
      </c>
      <c r="Y351" s="17" t="str">
        <f>IF(AND(ISNUMBER(S351),Q351=FixedDim),MAX('Adjustment factors'!$S$16,0.2+0.8*S351),IF(ISTEXT(Q351),VLOOKUP(Q351,Afactors,2,TRUE),""))</f>
        <v/>
      </c>
      <c r="Z351" s="297" t="str">
        <f>IF(ISBLANK(T351),"",VLOOKUP(T351,'Adjustment factors'!$R$27:$S$30,2,TRUE))</f>
        <v/>
      </c>
      <c r="AA351" s="297" t="str">
        <f>IF(ISBLANK(U351),"",VLOOKUP(U351,'Adjustment factors'!$R$27:$S$30,2,TRUE))</f>
        <v/>
      </c>
      <c r="AB351" s="480">
        <f t="shared" si="485"/>
        <v>1</v>
      </c>
      <c r="AC351" s="18" t="b">
        <f t="shared" si="442"/>
        <v>0</v>
      </c>
      <c r="AD351" s="18" t="b">
        <f t="shared" si="443"/>
        <v>0</v>
      </c>
      <c r="AE351" s="18" t="b">
        <f t="shared" si="433"/>
        <v>0</v>
      </c>
      <c r="AF351" s="17" t="str">
        <f t="shared" si="444"/>
        <v/>
      </c>
      <c r="AG351" s="18" t="str">
        <f t="shared" si="445"/>
        <v/>
      </c>
      <c r="AH351" s="17" t="str">
        <f t="shared" si="434"/>
        <v/>
      </c>
      <c r="AI351" s="297" t="e">
        <f t="shared" si="486"/>
        <v>#VALUE!</v>
      </c>
      <c r="AJ351" s="79" t="e">
        <f t="shared" si="446"/>
        <v>#VALUE!</v>
      </c>
      <c r="AK351" s="17" t="str">
        <f t="shared" si="435"/>
        <v/>
      </c>
      <c r="AL351" s="80" t="e">
        <f t="shared" si="447"/>
        <v>#VALUE!</v>
      </c>
      <c r="AM351" s="139" t="b">
        <f t="shared" si="448"/>
        <v>1</v>
      </c>
      <c r="AN351" s="139" t="b">
        <f>AND(COUNTA(E351)&gt;0,ISNUMBER(F351),OR(COUNT(G351:H351)=0,COUNT(G351:H351)=2,AND(ISNUMBER(G351),ISNUMBER(VALUE(LEFT(H351,SUM(LEN(H351)-LEN(SUBSTITUTE(H351,{"0","1","2","3","4","5","6","7","8","9","."},"")))))))),ISNUMBER(I351),ISTEXT(J351))</f>
        <v>0</v>
      </c>
      <c r="AO351" s="19" t="b">
        <f t="shared" si="449"/>
        <v>0</v>
      </c>
      <c r="AP351" s="19" t="b">
        <f t="shared" si="450"/>
        <v>1</v>
      </c>
      <c r="AQ351" s="19" t="b">
        <f>IF(AND(COUNTBLANK(E351:J351)=6,OR(AN352:AN$523)),NOT(AN351))</f>
        <v>0</v>
      </c>
      <c r="AR351" s="19" t="str">
        <f t="shared" si="451"/>
        <v/>
      </c>
      <c r="AS351" s="19" t="b">
        <f t="shared" si="452"/>
        <v>1</v>
      </c>
      <c r="AT351" s="19" t="str">
        <f t="shared" si="453"/>
        <v/>
      </c>
      <c r="AU351" s="19" t="b">
        <f t="shared" si="454"/>
        <v>1</v>
      </c>
      <c r="AV351" s="140" t="str">
        <f t="shared" si="417"/>
        <v/>
      </c>
      <c r="AW351" s="19" t="str">
        <f t="shared" si="455"/>
        <v/>
      </c>
      <c r="AX351" s="81">
        <f t="shared" si="456"/>
        <v>0</v>
      </c>
      <c r="AY351" s="81" t="str">
        <f t="shared" si="457"/>
        <v/>
      </c>
      <c r="AZ351" s="307" t="str">
        <f t="shared" si="487"/>
        <v/>
      </c>
      <c r="BA351" s="281" t="str">
        <f t="shared" si="418"/>
        <v/>
      </c>
      <c r="BB351" s="281" t="str">
        <f t="shared" si="419"/>
        <v/>
      </c>
      <c r="BC351" s="953"/>
      <c r="BD351" s="955"/>
      <c r="BE351" s="219" t="str">
        <f t="shared" si="458"/>
        <v>n/a</v>
      </c>
      <c r="BF351" s="215" t="b">
        <f t="shared" si="459"/>
        <v>0</v>
      </c>
      <c r="BG351" s="145" t="b">
        <f t="shared" si="460"/>
        <v>0</v>
      </c>
      <c r="BH351" s="145" t="b">
        <f t="shared" si="461"/>
        <v>0</v>
      </c>
      <c r="BI351" s="216" t="b">
        <f t="shared" si="462"/>
        <v>0</v>
      </c>
      <c r="BJ351" s="215" t="b">
        <f t="shared" si="463"/>
        <v>0</v>
      </c>
      <c r="BK351" s="145" t="b">
        <f t="shared" si="464"/>
        <v>0</v>
      </c>
      <c r="BL351" s="216" t="b">
        <f t="shared" si="465"/>
        <v>0</v>
      </c>
      <c r="BM351" s="217" t="str">
        <f t="shared" si="420"/>
        <v/>
      </c>
      <c r="BN351" s="146" t="str">
        <f t="shared" si="421"/>
        <v/>
      </c>
      <c r="BO351" s="147" t="str">
        <f t="shared" si="422"/>
        <v/>
      </c>
      <c r="BP351" s="148" t="str">
        <f t="shared" si="423"/>
        <v/>
      </c>
      <c r="BT351" s="50">
        <f t="shared" si="413"/>
        <v>328</v>
      </c>
      <c r="BU351" s="50" t="str">
        <f t="shared" si="439"/>
        <v>-</v>
      </c>
      <c r="BW351" s="333"/>
      <c r="BX351" s="333"/>
      <c r="BY351" s="333"/>
      <c r="BZ351" s="333"/>
      <c r="CA351" s="333"/>
      <c r="CB351" s="333"/>
      <c r="CC351" s="333"/>
      <c r="CD351" s="333"/>
      <c r="CE351" s="333"/>
      <c r="CF351" s="333"/>
      <c r="CG351" s="354">
        <f t="shared" si="466"/>
        <v>328</v>
      </c>
      <c r="CH351" s="613">
        <f t="shared" si="467"/>
        <v>0</v>
      </c>
      <c r="CI351" s="613">
        <f t="shared" si="468"/>
        <v>0</v>
      </c>
      <c r="CJ351" s="614" t="str">
        <f t="shared" si="469"/>
        <v/>
      </c>
      <c r="CK351" s="615" t="str">
        <f t="shared" si="470"/>
        <v/>
      </c>
      <c r="CL351" s="610" t="str">
        <f>IF(ISBLANK(H351),"",IF(AND(ISNUMBER(F351),ISNUMBER(G351),ISNUMBER(H351)),ROUND(F351/(H351*G351),2),ROUND(F351/(VALUE(LEFT(H351,SUM(LEN(H351)-LEN(SUBSTITUTE(H351,{"0","1","2","3","4","5","6","7","8","9","."},"")))))*G351),2)))</f>
        <v/>
      </c>
      <c r="CM351" s="616" t="str">
        <f t="shared" si="424"/>
        <v/>
      </c>
      <c r="CN351" s="616" t="str">
        <f>IF(ISNUMBER(P351),MAX('Adjustment factors'!$S$16,(0.2+0.8*P351)),IF(ISTEXT(N351),VLOOKUP(N351,Afactors,2,FALSE),""))</f>
        <v/>
      </c>
      <c r="CO351" s="616" t="str">
        <f>IF(ISNUMBER(S351),MAX('Adjustment factors'!$S$16,0.2+0.8*S351),IF(ISTEXT(Q351),VLOOKUP(Q351,Afactors,2,FALSE),""))</f>
        <v/>
      </c>
      <c r="CP351" s="611" t="str">
        <f t="shared" si="488"/>
        <v/>
      </c>
      <c r="CQ351" s="612" t="str">
        <f t="shared" si="489"/>
        <v/>
      </c>
      <c r="CR351" s="340"/>
      <c r="CS351" s="340"/>
      <c r="CT351" s="340"/>
      <c r="CU351" s="340"/>
      <c r="CV351" s="333"/>
      <c r="CW351" s="333"/>
      <c r="CX351" s="333"/>
      <c r="CY351" s="333"/>
      <c r="DA351" s="313" t="str">
        <f t="shared" si="471"/>
        <v>OK</v>
      </c>
      <c r="DB351" s="313" t="str">
        <f t="shared" si="472"/>
        <v>OK</v>
      </c>
      <c r="DC351" s="313" t="str">
        <f t="shared" si="473"/>
        <v>OK</v>
      </c>
      <c r="DD351" s="313" t="str">
        <f t="shared" si="474"/>
        <v>OK</v>
      </c>
      <c r="DE351" s="153" t="str">
        <f t="shared" si="475"/>
        <v>OK</v>
      </c>
      <c r="DF351" s="314" t="str">
        <f t="shared" si="476"/>
        <v>OK</v>
      </c>
      <c r="DG351" s="482" t="str">
        <f t="shared" si="490"/>
        <v>OK</v>
      </c>
      <c r="DH351" s="482" t="str">
        <f>IF(OR(AND(T351='Adjustment factors'!$R$28,'Class 3, 5-9'!U351='Adjustment factors'!$R$29),AND('Class 3, 5-9'!T351='Adjustment factors'!$R$29,'Class 3, 5-9'!U351='Adjustment factors'!$R$28)),"Invalid combination of adjustment factors",IF(AND(T351=U351,NOT(ISBLANK(T351)),NOT(ISBLANK(U351))),"Same colour factor selected twice","OK"))</f>
        <v>OK</v>
      </c>
      <c r="DI351" s="313" t="str">
        <f t="shared" si="477"/>
        <v>OK</v>
      </c>
      <c r="DJ351" s="153" t="str">
        <f t="shared" si="425"/>
        <v>OK</v>
      </c>
      <c r="DK351" s="153" t="str">
        <f t="shared" si="478"/>
        <v>OK</v>
      </c>
      <c r="DL351" s="313" t="str">
        <f t="shared" si="479"/>
        <v>OK</v>
      </c>
      <c r="DM351" s="153" t="str">
        <f t="shared" si="480"/>
        <v>OK</v>
      </c>
      <c r="DN351" s="153" t="str">
        <f t="shared" si="426"/>
        <v>OK</v>
      </c>
      <c r="DO351" s="154" t="str">
        <f t="shared" si="427"/>
        <v>OK</v>
      </c>
      <c r="DP351" s="153" t="str">
        <f t="shared" si="481"/>
        <v>OK</v>
      </c>
      <c r="DQ351" s="313" t="str">
        <f t="shared" si="482"/>
        <v>OK</v>
      </c>
      <c r="DR351" s="153" t="str">
        <f t="shared" si="428"/>
        <v>OK</v>
      </c>
      <c r="DS351" s="153" t="str">
        <f t="shared" si="483"/>
        <v>OK</v>
      </c>
      <c r="DT351" s="313" t="str">
        <f t="shared" si="441"/>
        <v>OK</v>
      </c>
      <c r="DU351" s="153" t="str">
        <f t="shared" si="484"/>
        <v>OK</v>
      </c>
      <c r="DV351" s="153" t="str">
        <f t="shared" si="429"/>
        <v>OK</v>
      </c>
      <c r="DW351" s="154" t="str">
        <f t="shared" si="430"/>
        <v>OK</v>
      </c>
      <c r="DX351" s="157">
        <f t="shared" si="431"/>
        <v>0</v>
      </c>
      <c r="DY351" s="156" t="str">
        <f t="shared" si="432"/>
        <v>OK</v>
      </c>
    </row>
    <row r="352" spans="1:129" ht="13" hidden="1" x14ac:dyDescent="0.3">
      <c r="A352" s="333"/>
      <c r="B352" s="333"/>
      <c r="C352" s="331" t="str">
        <f t="shared" si="440"/>
        <v>-</v>
      </c>
      <c r="D352" s="584">
        <f t="shared" si="412"/>
        <v>329</v>
      </c>
      <c r="E352" s="585"/>
      <c r="F352" s="586"/>
      <c r="G352" s="600"/>
      <c r="H352" s="587"/>
      <c r="I352" s="601"/>
      <c r="J352" s="585"/>
      <c r="K352" s="617"/>
      <c r="L352" s="602"/>
      <c r="M352" s="603"/>
      <c r="N352" s="588"/>
      <c r="O352" s="604"/>
      <c r="P352" s="605"/>
      <c r="Q352" s="588"/>
      <c r="R352" s="604"/>
      <c r="S352" s="605"/>
      <c r="T352" s="606"/>
      <c r="U352" s="606"/>
      <c r="V352" s="429" t="str">
        <f t="shared" si="437"/>
        <v/>
      </c>
      <c r="W352" s="430" t="str">
        <f t="shared" si="436"/>
        <v/>
      </c>
      <c r="X352" s="66" t="str">
        <f>IF(AND(ISNUMBER(P352),N352=FixedDim),MAX('Adjustment factors'!$S$16,0.2+0.8*P352),IF(ISTEXT(N352),VLOOKUP(N352,Afactors,2,TRUE),""))</f>
        <v/>
      </c>
      <c r="Y352" s="17" t="str">
        <f>IF(AND(ISNUMBER(S352),Q352=FixedDim),MAX('Adjustment factors'!$S$16,0.2+0.8*S352),IF(ISTEXT(Q352),VLOOKUP(Q352,Afactors,2,TRUE),""))</f>
        <v/>
      </c>
      <c r="Z352" s="297" t="str">
        <f>IF(ISBLANK(T352),"",VLOOKUP(T352,'Adjustment factors'!$R$27:$S$30,2,TRUE))</f>
        <v/>
      </c>
      <c r="AA352" s="297" t="str">
        <f>IF(ISBLANK(U352),"",VLOOKUP(U352,'Adjustment factors'!$R$27:$S$30,2,TRUE))</f>
        <v/>
      </c>
      <c r="AB352" s="480">
        <f t="shared" si="485"/>
        <v>1</v>
      </c>
      <c r="AC352" s="18" t="b">
        <f t="shared" si="442"/>
        <v>0</v>
      </c>
      <c r="AD352" s="18" t="b">
        <f t="shared" si="443"/>
        <v>0</v>
      </c>
      <c r="AE352" s="18" t="b">
        <f t="shared" si="433"/>
        <v>0</v>
      </c>
      <c r="AF352" s="17" t="str">
        <f t="shared" si="444"/>
        <v/>
      </c>
      <c r="AG352" s="18" t="str">
        <f t="shared" si="445"/>
        <v/>
      </c>
      <c r="AH352" s="17" t="str">
        <f t="shared" si="434"/>
        <v/>
      </c>
      <c r="AI352" s="297" t="e">
        <f t="shared" si="486"/>
        <v>#VALUE!</v>
      </c>
      <c r="AJ352" s="79" t="e">
        <f t="shared" si="446"/>
        <v>#VALUE!</v>
      </c>
      <c r="AK352" s="17" t="str">
        <f t="shared" si="435"/>
        <v/>
      </c>
      <c r="AL352" s="80" t="e">
        <f t="shared" si="447"/>
        <v>#VALUE!</v>
      </c>
      <c r="AM352" s="139" t="b">
        <f t="shared" si="448"/>
        <v>1</v>
      </c>
      <c r="AN352" s="139" t="b">
        <f>AND(COUNTA(E352)&gt;0,ISNUMBER(F352),OR(COUNT(G352:H352)=0,COUNT(G352:H352)=2,AND(ISNUMBER(G352),ISNUMBER(VALUE(LEFT(H352,SUM(LEN(H352)-LEN(SUBSTITUTE(H352,{"0","1","2","3","4","5","6","7","8","9","."},"")))))))),ISNUMBER(I352),ISTEXT(J352))</f>
        <v>0</v>
      </c>
      <c r="AO352" s="19" t="b">
        <f t="shared" si="449"/>
        <v>0</v>
      </c>
      <c r="AP352" s="19" t="b">
        <f t="shared" si="450"/>
        <v>1</v>
      </c>
      <c r="AQ352" s="19" t="b">
        <f>IF(AND(COUNTBLANK(E352:J352)=6,OR(AN353:AN$523)),NOT(AN352))</f>
        <v>0</v>
      </c>
      <c r="AR352" s="19" t="str">
        <f t="shared" si="451"/>
        <v/>
      </c>
      <c r="AS352" s="19" t="b">
        <f t="shared" si="452"/>
        <v>1</v>
      </c>
      <c r="AT352" s="19" t="str">
        <f t="shared" si="453"/>
        <v/>
      </c>
      <c r="AU352" s="19" t="b">
        <f t="shared" si="454"/>
        <v>1</v>
      </c>
      <c r="AV352" s="140" t="str">
        <f t="shared" si="417"/>
        <v/>
      </c>
      <c r="AW352" s="19" t="str">
        <f t="shared" si="455"/>
        <v/>
      </c>
      <c r="AX352" s="81">
        <f t="shared" si="456"/>
        <v>0</v>
      </c>
      <c r="AY352" s="81" t="str">
        <f t="shared" si="457"/>
        <v/>
      </c>
      <c r="AZ352" s="307" t="str">
        <f t="shared" si="487"/>
        <v/>
      </c>
      <c r="BA352" s="281" t="str">
        <f t="shared" si="418"/>
        <v/>
      </c>
      <c r="BB352" s="281" t="str">
        <f t="shared" si="419"/>
        <v/>
      </c>
      <c r="BC352" s="953"/>
      <c r="BD352" s="955"/>
      <c r="BE352" s="219" t="str">
        <f t="shared" si="458"/>
        <v>n/a</v>
      </c>
      <c r="BF352" s="215" t="b">
        <f t="shared" si="459"/>
        <v>0</v>
      </c>
      <c r="BG352" s="145" t="b">
        <f t="shared" si="460"/>
        <v>0</v>
      </c>
      <c r="BH352" s="145" t="b">
        <f t="shared" si="461"/>
        <v>0</v>
      </c>
      <c r="BI352" s="216" t="b">
        <f t="shared" si="462"/>
        <v>0</v>
      </c>
      <c r="BJ352" s="215" t="b">
        <f t="shared" si="463"/>
        <v>0</v>
      </c>
      <c r="BK352" s="145" t="b">
        <f t="shared" si="464"/>
        <v>0</v>
      </c>
      <c r="BL352" s="216" t="b">
        <f t="shared" si="465"/>
        <v>0</v>
      </c>
      <c r="BM352" s="217" t="str">
        <f t="shared" si="420"/>
        <v/>
      </c>
      <c r="BN352" s="146" t="str">
        <f t="shared" si="421"/>
        <v/>
      </c>
      <c r="BO352" s="147" t="str">
        <f t="shared" si="422"/>
        <v/>
      </c>
      <c r="BP352" s="148" t="str">
        <f t="shared" si="423"/>
        <v/>
      </c>
      <c r="BT352" s="50">
        <f t="shared" si="413"/>
        <v>329</v>
      </c>
      <c r="BU352" s="50" t="str">
        <f t="shared" si="439"/>
        <v>-</v>
      </c>
      <c r="BW352" s="333"/>
      <c r="BX352" s="333"/>
      <c r="BY352" s="333"/>
      <c r="BZ352" s="333"/>
      <c r="CA352" s="333"/>
      <c r="CB352" s="333"/>
      <c r="CC352" s="333"/>
      <c r="CD352" s="333"/>
      <c r="CE352" s="333"/>
      <c r="CF352" s="333"/>
      <c r="CG352" s="354">
        <f t="shared" si="466"/>
        <v>329</v>
      </c>
      <c r="CH352" s="613">
        <f t="shared" si="467"/>
        <v>0</v>
      </c>
      <c r="CI352" s="613">
        <f t="shared" si="468"/>
        <v>0</v>
      </c>
      <c r="CJ352" s="614" t="str">
        <f t="shared" si="469"/>
        <v/>
      </c>
      <c r="CK352" s="615" t="str">
        <f t="shared" si="470"/>
        <v/>
      </c>
      <c r="CL352" s="610" t="str">
        <f>IF(ISBLANK(H352),"",IF(AND(ISNUMBER(F352),ISNUMBER(G352),ISNUMBER(H352)),ROUND(F352/(H352*G352),2),ROUND(F352/(VALUE(LEFT(H352,SUM(LEN(H352)-LEN(SUBSTITUTE(H352,{"0","1","2","3","4","5","6","7","8","9","."},"")))))*G352),2)))</f>
        <v/>
      </c>
      <c r="CM352" s="616" t="str">
        <f t="shared" si="424"/>
        <v/>
      </c>
      <c r="CN352" s="616" t="str">
        <f>IF(ISNUMBER(P352),MAX('Adjustment factors'!$S$16,(0.2+0.8*P352)),IF(ISTEXT(N352),VLOOKUP(N352,Afactors,2,FALSE),""))</f>
        <v/>
      </c>
      <c r="CO352" s="616" t="str">
        <f>IF(ISNUMBER(S352),MAX('Adjustment factors'!$S$16,0.2+0.8*S352),IF(ISTEXT(Q352),VLOOKUP(Q352,Afactors,2,FALSE),""))</f>
        <v/>
      </c>
      <c r="CP352" s="611" t="str">
        <f t="shared" si="488"/>
        <v/>
      </c>
      <c r="CQ352" s="612" t="str">
        <f t="shared" si="489"/>
        <v/>
      </c>
      <c r="CR352" s="340"/>
      <c r="CS352" s="340"/>
      <c r="CT352" s="340"/>
      <c r="CU352" s="340"/>
      <c r="CV352" s="333"/>
      <c r="CW352" s="333"/>
      <c r="CX352" s="333"/>
      <c r="CY352" s="333"/>
      <c r="DA352" s="313" t="str">
        <f t="shared" si="471"/>
        <v>OK</v>
      </c>
      <c r="DB352" s="313" t="str">
        <f t="shared" si="472"/>
        <v>OK</v>
      </c>
      <c r="DC352" s="313" t="str">
        <f t="shared" si="473"/>
        <v>OK</v>
      </c>
      <c r="DD352" s="313" t="str">
        <f t="shared" si="474"/>
        <v>OK</v>
      </c>
      <c r="DE352" s="153" t="str">
        <f t="shared" si="475"/>
        <v>OK</v>
      </c>
      <c r="DF352" s="314" t="str">
        <f t="shared" si="476"/>
        <v>OK</v>
      </c>
      <c r="DG352" s="482" t="str">
        <f t="shared" si="490"/>
        <v>OK</v>
      </c>
      <c r="DH352" s="482" t="str">
        <f>IF(OR(AND(T352='Adjustment factors'!$R$28,'Class 3, 5-9'!U352='Adjustment factors'!$R$29),AND('Class 3, 5-9'!T352='Adjustment factors'!$R$29,'Class 3, 5-9'!U352='Adjustment factors'!$R$28)),"Invalid combination of adjustment factors",IF(AND(T352=U352,NOT(ISBLANK(T352)),NOT(ISBLANK(U352))),"Same colour factor selected twice","OK"))</f>
        <v>OK</v>
      </c>
      <c r="DI352" s="313" t="str">
        <f t="shared" si="477"/>
        <v>OK</v>
      </c>
      <c r="DJ352" s="153" t="str">
        <f t="shared" si="425"/>
        <v>OK</v>
      </c>
      <c r="DK352" s="153" t="str">
        <f t="shared" si="478"/>
        <v>OK</v>
      </c>
      <c r="DL352" s="313" t="str">
        <f t="shared" si="479"/>
        <v>OK</v>
      </c>
      <c r="DM352" s="153" t="str">
        <f t="shared" si="480"/>
        <v>OK</v>
      </c>
      <c r="DN352" s="153" t="str">
        <f t="shared" si="426"/>
        <v>OK</v>
      </c>
      <c r="DO352" s="154" t="str">
        <f t="shared" si="427"/>
        <v>OK</v>
      </c>
      <c r="DP352" s="153" t="str">
        <f t="shared" si="481"/>
        <v>OK</v>
      </c>
      <c r="DQ352" s="313" t="str">
        <f t="shared" si="482"/>
        <v>OK</v>
      </c>
      <c r="DR352" s="153" t="str">
        <f t="shared" si="428"/>
        <v>OK</v>
      </c>
      <c r="DS352" s="153" t="str">
        <f t="shared" si="483"/>
        <v>OK</v>
      </c>
      <c r="DT352" s="313" t="str">
        <f t="shared" si="441"/>
        <v>OK</v>
      </c>
      <c r="DU352" s="153" t="str">
        <f t="shared" si="484"/>
        <v>OK</v>
      </c>
      <c r="DV352" s="153" t="str">
        <f t="shared" si="429"/>
        <v>OK</v>
      </c>
      <c r="DW352" s="154" t="str">
        <f t="shared" si="430"/>
        <v>OK</v>
      </c>
      <c r="DX352" s="157">
        <f t="shared" si="431"/>
        <v>0</v>
      </c>
      <c r="DY352" s="156" t="str">
        <f t="shared" si="432"/>
        <v>OK</v>
      </c>
    </row>
    <row r="353" spans="1:129" ht="13" hidden="1" x14ac:dyDescent="0.3">
      <c r="A353" s="333"/>
      <c r="B353" s="333"/>
      <c r="C353" s="331" t="str">
        <f t="shared" si="440"/>
        <v>-</v>
      </c>
      <c r="D353" s="584">
        <f t="shared" si="412"/>
        <v>330</v>
      </c>
      <c r="E353" s="585"/>
      <c r="F353" s="586"/>
      <c r="G353" s="600"/>
      <c r="H353" s="587"/>
      <c r="I353" s="601"/>
      <c r="J353" s="585"/>
      <c r="K353" s="617"/>
      <c r="L353" s="602"/>
      <c r="M353" s="603"/>
      <c r="N353" s="588"/>
      <c r="O353" s="604"/>
      <c r="P353" s="605"/>
      <c r="Q353" s="588"/>
      <c r="R353" s="604"/>
      <c r="S353" s="605"/>
      <c r="T353" s="606"/>
      <c r="U353" s="606"/>
      <c r="V353" s="429" t="str">
        <f t="shared" si="437"/>
        <v/>
      </c>
      <c r="W353" s="430" t="str">
        <f t="shared" si="436"/>
        <v/>
      </c>
      <c r="X353" s="66" t="str">
        <f>IF(AND(ISNUMBER(P353),N353=FixedDim),MAX('Adjustment factors'!$S$16,0.2+0.8*P353),IF(ISTEXT(N353),VLOOKUP(N353,Afactors,2,TRUE),""))</f>
        <v/>
      </c>
      <c r="Y353" s="17" t="str">
        <f>IF(AND(ISNUMBER(S353),Q353=FixedDim),MAX('Adjustment factors'!$S$16,0.2+0.8*S353),IF(ISTEXT(Q353),VLOOKUP(Q353,Afactors,2,TRUE),""))</f>
        <v/>
      </c>
      <c r="Z353" s="297" t="str">
        <f>IF(ISBLANK(T353),"",VLOOKUP(T353,'Adjustment factors'!$R$27:$S$30,2,TRUE))</f>
        <v/>
      </c>
      <c r="AA353" s="297" t="str">
        <f>IF(ISBLANK(U353),"",VLOOKUP(U353,'Adjustment factors'!$R$27:$S$30,2,TRUE))</f>
        <v/>
      </c>
      <c r="AB353" s="480">
        <f t="shared" si="485"/>
        <v>1</v>
      </c>
      <c r="AC353" s="18" t="b">
        <f t="shared" si="442"/>
        <v>0</v>
      </c>
      <c r="AD353" s="18" t="b">
        <f t="shared" si="443"/>
        <v>0</v>
      </c>
      <c r="AE353" s="18" t="b">
        <f t="shared" si="433"/>
        <v>0</v>
      </c>
      <c r="AF353" s="17" t="str">
        <f t="shared" si="444"/>
        <v/>
      </c>
      <c r="AG353" s="18" t="str">
        <f t="shared" si="445"/>
        <v/>
      </c>
      <c r="AH353" s="17" t="str">
        <f t="shared" si="434"/>
        <v/>
      </c>
      <c r="AI353" s="297" t="e">
        <f t="shared" si="486"/>
        <v>#VALUE!</v>
      </c>
      <c r="AJ353" s="79" t="e">
        <f t="shared" si="446"/>
        <v>#VALUE!</v>
      </c>
      <c r="AK353" s="17" t="str">
        <f t="shared" si="435"/>
        <v/>
      </c>
      <c r="AL353" s="80" t="e">
        <f t="shared" si="447"/>
        <v>#VALUE!</v>
      </c>
      <c r="AM353" s="139" t="b">
        <f t="shared" si="448"/>
        <v>1</v>
      </c>
      <c r="AN353" s="139" t="b">
        <f>AND(COUNTA(E353)&gt;0,ISNUMBER(F353),OR(COUNT(G353:H353)=0,COUNT(G353:H353)=2,AND(ISNUMBER(G353),ISNUMBER(VALUE(LEFT(H353,SUM(LEN(H353)-LEN(SUBSTITUTE(H353,{"0","1","2","3","4","5","6","7","8","9","."},"")))))))),ISNUMBER(I353),ISTEXT(J353))</f>
        <v>0</v>
      </c>
      <c r="AO353" s="19" t="b">
        <f t="shared" si="449"/>
        <v>0</v>
      </c>
      <c r="AP353" s="19" t="b">
        <f t="shared" si="450"/>
        <v>1</v>
      </c>
      <c r="AQ353" s="19" t="b">
        <f>IF(AND(COUNTBLANK(E353:J353)=6,OR(AN354:AN$523)),NOT(AN353))</f>
        <v>0</v>
      </c>
      <c r="AR353" s="19" t="str">
        <f t="shared" si="451"/>
        <v/>
      </c>
      <c r="AS353" s="19" t="b">
        <f t="shared" si="452"/>
        <v>1</v>
      </c>
      <c r="AT353" s="19" t="str">
        <f t="shared" si="453"/>
        <v/>
      </c>
      <c r="AU353" s="19" t="b">
        <f t="shared" si="454"/>
        <v>1</v>
      </c>
      <c r="AV353" s="140" t="str">
        <f t="shared" si="417"/>
        <v/>
      </c>
      <c r="AW353" s="19" t="str">
        <f t="shared" si="455"/>
        <v/>
      </c>
      <c r="AX353" s="81">
        <f t="shared" si="456"/>
        <v>0</v>
      </c>
      <c r="AY353" s="81" t="str">
        <f t="shared" si="457"/>
        <v/>
      </c>
      <c r="AZ353" s="307" t="str">
        <f t="shared" si="487"/>
        <v/>
      </c>
      <c r="BA353" s="281" t="str">
        <f t="shared" si="418"/>
        <v/>
      </c>
      <c r="BB353" s="281" t="str">
        <f t="shared" si="419"/>
        <v/>
      </c>
      <c r="BC353" s="953"/>
      <c r="BD353" s="955"/>
      <c r="BE353" s="219" t="str">
        <f t="shared" si="458"/>
        <v>n/a</v>
      </c>
      <c r="BF353" s="215" t="b">
        <f t="shared" si="459"/>
        <v>0</v>
      </c>
      <c r="BG353" s="145" t="b">
        <f t="shared" si="460"/>
        <v>0</v>
      </c>
      <c r="BH353" s="145" t="b">
        <f t="shared" si="461"/>
        <v>0</v>
      </c>
      <c r="BI353" s="216" t="b">
        <f t="shared" si="462"/>
        <v>0</v>
      </c>
      <c r="BJ353" s="215" t="b">
        <f t="shared" si="463"/>
        <v>0</v>
      </c>
      <c r="BK353" s="145" t="b">
        <f t="shared" si="464"/>
        <v>0</v>
      </c>
      <c r="BL353" s="216" t="b">
        <f t="shared" si="465"/>
        <v>0</v>
      </c>
      <c r="BM353" s="217" t="str">
        <f t="shared" si="420"/>
        <v/>
      </c>
      <c r="BN353" s="146" t="str">
        <f t="shared" si="421"/>
        <v/>
      </c>
      <c r="BO353" s="147" t="str">
        <f t="shared" si="422"/>
        <v/>
      </c>
      <c r="BP353" s="148" t="str">
        <f t="shared" si="423"/>
        <v/>
      </c>
      <c r="BT353" s="50">
        <f t="shared" si="413"/>
        <v>330</v>
      </c>
      <c r="BU353" s="50" t="str">
        <f t="shared" si="439"/>
        <v>-</v>
      </c>
      <c r="BW353" s="333"/>
      <c r="BX353" s="333"/>
      <c r="BY353" s="333"/>
      <c r="BZ353" s="333"/>
      <c r="CA353" s="333"/>
      <c r="CB353" s="333"/>
      <c r="CC353" s="333"/>
      <c r="CD353" s="333"/>
      <c r="CE353" s="333"/>
      <c r="CF353" s="333"/>
      <c r="CG353" s="354">
        <f t="shared" si="466"/>
        <v>330</v>
      </c>
      <c r="CH353" s="613">
        <f t="shared" si="467"/>
        <v>0</v>
      </c>
      <c r="CI353" s="613">
        <f t="shared" si="468"/>
        <v>0</v>
      </c>
      <c r="CJ353" s="614" t="str">
        <f t="shared" si="469"/>
        <v/>
      </c>
      <c r="CK353" s="615" t="str">
        <f t="shared" si="470"/>
        <v/>
      </c>
      <c r="CL353" s="610" t="str">
        <f>IF(ISBLANK(H353),"",IF(AND(ISNUMBER(F353),ISNUMBER(G353),ISNUMBER(H353)),ROUND(F353/(H353*G353),2),ROUND(F353/(VALUE(LEFT(H353,SUM(LEN(H353)-LEN(SUBSTITUTE(H353,{"0","1","2","3","4","5","6","7","8","9","."},"")))))*G353),2)))</f>
        <v/>
      </c>
      <c r="CM353" s="616" t="str">
        <f t="shared" si="424"/>
        <v/>
      </c>
      <c r="CN353" s="616" t="str">
        <f>IF(ISNUMBER(P353),MAX('Adjustment factors'!$S$16,(0.2+0.8*P353)),IF(ISTEXT(N353),VLOOKUP(N353,Afactors,2,FALSE),""))</f>
        <v/>
      </c>
      <c r="CO353" s="616" t="str">
        <f>IF(ISNUMBER(S353),MAX('Adjustment factors'!$S$16,0.2+0.8*S353),IF(ISTEXT(Q353),VLOOKUP(Q353,Afactors,2,FALSE),""))</f>
        <v/>
      </c>
      <c r="CP353" s="611" t="str">
        <f t="shared" si="488"/>
        <v/>
      </c>
      <c r="CQ353" s="612" t="str">
        <f t="shared" si="489"/>
        <v/>
      </c>
      <c r="CR353" s="340"/>
      <c r="CS353" s="340"/>
      <c r="CT353" s="340"/>
      <c r="CU353" s="340"/>
      <c r="CV353" s="333"/>
      <c r="CW353" s="333"/>
      <c r="CX353" s="333"/>
      <c r="CY353" s="333"/>
      <c r="DA353" s="313" t="str">
        <f t="shared" si="471"/>
        <v>OK</v>
      </c>
      <c r="DB353" s="313" t="str">
        <f t="shared" si="472"/>
        <v>OK</v>
      </c>
      <c r="DC353" s="313" t="str">
        <f t="shared" si="473"/>
        <v>OK</v>
      </c>
      <c r="DD353" s="313" t="str">
        <f t="shared" si="474"/>
        <v>OK</v>
      </c>
      <c r="DE353" s="153" t="str">
        <f t="shared" si="475"/>
        <v>OK</v>
      </c>
      <c r="DF353" s="314" t="str">
        <f t="shared" si="476"/>
        <v>OK</v>
      </c>
      <c r="DG353" s="482" t="str">
        <f t="shared" si="490"/>
        <v>OK</v>
      </c>
      <c r="DH353" s="482" t="str">
        <f>IF(OR(AND(T353='Adjustment factors'!$R$28,'Class 3, 5-9'!U353='Adjustment factors'!$R$29),AND('Class 3, 5-9'!T353='Adjustment factors'!$R$29,'Class 3, 5-9'!U353='Adjustment factors'!$R$28)),"Invalid combination of adjustment factors",IF(AND(T353=U353,NOT(ISBLANK(T353)),NOT(ISBLANK(U353))),"Same colour factor selected twice","OK"))</f>
        <v>OK</v>
      </c>
      <c r="DI353" s="313" t="str">
        <f t="shared" si="477"/>
        <v>OK</v>
      </c>
      <c r="DJ353" s="153" t="str">
        <f t="shared" si="425"/>
        <v>OK</v>
      </c>
      <c r="DK353" s="153" t="str">
        <f t="shared" si="478"/>
        <v>OK</v>
      </c>
      <c r="DL353" s="313" t="str">
        <f t="shared" si="479"/>
        <v>OK</v>
      </c>
      <c r="DM353" s="153" t="str">
        <f t="shared" si="480"/>
        <v>OK</v>
      </c>
      <c r="DN353" s="153" t="str">
        <f t="shared" si="426"/>
        <v>OK</v>
      </c>
      <c r="DO353" s="154" t="str">
        <f t="shared" si="427"/>
        <v>OK</v>
      </c>
      <c r="DP353" s="153" t="str">
        <f t="shared" si="481"/>
        <v>OK</v>
      </c>
      <c r="DQ353" s="313" t="str">
        <f t="shared" si="482"/>
        <v>OK</v>
      </c>
      <c r="DR353" s="153" t="str">
        <f t="shared" si="428"/>
        <v>OK</v>
      </c>
      <c r="DS353" s="153" t="str">
        <f t="shared" si="483"/>
        <v>OK</v>
      </c>
      <c r="DT353" s="313" t="str">
        <f t="shared" si="441"/>
        <v>OK</v>
      </c>
      <c r="DU353" s="153" t="str">
        <f t="shared" si="484"/>
        <v>OK</v>
      </c>
      <c r="DV353" s="153" t="str">
        <f t="shared" si="429"/>
        <v>OK</v>
      </c>
      <c r="DW353" s="154" t="str">
        <f t="shared" si="430"/>
        <v>OK</v>
      </c>
      <c r="DX353" s="157">
        <f t="shared" si="431"/>
        <v>0</v>
      </c>
      <c r="DY353" s="156" t="str">
        <f t="shared" si="432"/>
        <v>OK</v>
      </c>
    </row>
    <row r="354" spans="1:129" ht="13" hidden="1" x14ac:dyDescent="0.3">
      <c r="A354" s="333"/>
      <c r="B354" s="333"/>
      <c r="C354" s="331" t="str">
        <f t="shared" si="440"/>
        <v>-</v>
      </c>
      <c r="D354" s="584">
        <f t="shared" si="412"/>
        <v>331</v>
      </c>
      <c r="E354" s="585"/>
      <c r="F354" s="586"/>
      <c r="G354" s="600"/>
      <c r="H354" s="587"/>
      <c r="I354" s="601"/>
      <c r="J354" s="585"/>
      <c r="K354" s="617"/>
      <c r="L354" s="602"/>
      <c r="M354" s="603"/>
      <c r="N354" s="588"/>
      <c r="O354" s="604"/>
      <c r="P354" s="605"/>
      <c r="Q354" s="588"/>
      <c r="R354" s="604"/>
      <c r="S354" s="605"/>
      <c r="T354" s="606"/>
      <c r="U354" s="606"/>
      <c r="V354" s="429" t="str">
        <f t="shared" si="437"/>
        <v/>
      </c>
      <c r="W354" s="430" t="str">
        <f t="shared" si="436"/>
        <v/>
      </c>
      <c r="X354" s="66" t="str">
        <f>IF(AND(ISNUMBER(P354),N354=FixedDim),MAX('Adjustment factors'!$S$16,0.2+0.8*P354),IF(ISTEXT(N354),VLOOKUP(N354,Afactors,2,TRUE),""))</f>
        <v/>
      </c>
      <c r="Y354" s="17" t="str">
        <f>IF(AND(ISNUMBER(S354),Q354=FixedDim),MAX('Adjustment factors'!$S$16,0.2+0.8*S354),IF(ISTEXT(Q354),VLOOKUP(Q354,Afactors,2,TRUE),""))</f>
        <v/>
      </c>
      <c r="Z354" s="297" t="str">
        <f>IF(ISBLANK(T354),"",VLOOKUP(T354,'Adjustment factors'!$R$27:$S$30,2,TRUE))</f>
        <v/>
      </c>
      <c r="AA354" s="297" t="str">
        <f>IF(ISBLANK(U354),"",VLOOKUP(U354,'Adjustment factors'!$R$27:$S$30,2,TRUE))</f>
        <v/>
      </c>
      <c r="AB354" s="480">
        <f t="shared" si="485"/>
        <v>1</v>
      </c>
      <c r="AC354" s="18" t="b">
        <f t="shared" si="442"/>
        <v>0</v>
      </c>
      <c r="AD354" s="18" t="b">
        <f t="shared" si="443"/>
        <v>0</v>
      </c>
      <c r="AE354" s="18" t="b">
        <f t="shared" si="433"/>
        <v>0</v>
      </c>
      <c r="AF354" s="17" t="str">
        <f t="shared" si="444"/>
        <v/>
      </c>
      <c r="AG354" s="18" t="str">
        <f t="shared" si="445"/>
        <v/>
      </c>
      <c r="AH354" s="17" t="str">
        <f t="shared" si="434"/>
        <v/>
      </c>
      <c r="AI354" s="297" t="e">
        <f t="shared" si="486"/>
        <v>#VALUE!</v>
      </c>
      <c r="AJ354" s="79" t="e">
        <f t="shared" si="446"/>
        <v>#VALUE!</v>
      </c>
      <c r="AK354" s="17" t="str">
        <f t="shared" si="435"/>
        <v/>
      </c>
      <c r="AL354" s="80" t="e">
        <f t="shared" si="447"/>
        <v>#VALUE!</v>
      </c>
      <c r="AM354" s="139" t="b">
        <f t="shared" si="448"/>
        <v>1</v>
      </c>
      <c r="AN354" s="139" t="b">
        <f>AND(COUNTA(E354)&gt;0,ISNUMBER(F354),OR(COUNT(G354:H354)=0,COUNT(G354:H354)=2,AND(ISNUMBER(G354),ISNUMBER(VALUE(LEFT(H354,SUM(LEN(H354)-LEN(SUBSTITUTE(H354,{"0","1","2","3","4","5","6","7","8","9","."},"")))))))),ISNUMBER(I354),ISTEXT(J354))</f>
        <v>0</v>
      </c>
      <c r="AO354" s="19" t="b">
        <f t="shared" si="449"/>
        <v>0</v>
      </c>
      <c r="AP354" s="19" t="b">
        <f t="shared" si="450"/>
        <v>1</v>
      </c>
      <c r="AQ354" s="19" t="b">
        <f>IF(AND(COUNTBLANK(E354:J354)=6,OR(AN355:AN$523)),NOT(AN354))</f>
        <v>0</v>
      </c>
      <c r="AR354" s="19" t="str">
        <f t="shared" si="451"/>
        <v/>
      </c>
      <c r="AS354" s="19" t="b">
        <f t="shared" si="452"/>
        <v>1</v>
      </c>
      <c r="AT354" s="19" t="str">
        <f t="shared" si="453"/>
        <v/>
      </c>
      <c r="AU354" s="19" t="b">
        <f t="shared" si="454"/>
        <v>1</v>
      </c>
      <c r="AV354" s="140" t="str">
        <f t="shared" si="417"/>
        <v/>
      </c>
      <c r="AW354" s="19" t="str">
        <f t="shared" si="455"/>
        <v/>
      </c>
      <c r="AX354" s="81">
        <f t="shared" si="456"/>
        <v>0</v>
      </c>
      <c r="AY354" s="81" t="str">
        <f t="shared" si="457"/>
        <v/>
      </c>
      <c r="AZ354" s="307" t="str">
        <f t="shared" si="487"/>
        <v/>
      </c>
      <c r="BA354" s="281" t="str">
        <f t="shared" si="418"/>
        <v/>
      </c>
      <c r="BB354" s="281" t="str">
        <f t="shared" si="419"/>
        <v/>
      </c>
      <c r="BC354" s="953"/>
      <c r="BD354" s="955"/>
      <c r="BE354" s="219" t="str">
        <f t="shared" si="458"/>
        <v>n/a</v>
      </c>
      <c r="BF354" s="215" t="b">
        <f t="shared" si="459"/>
        <v>0</v>
      </c>
      <c r="BG354" s="145" t="b">
        <f t="shared" si="460"/>
        <v>0</v>
      </c>
      <c r="BH354" s="145" t="b">
        <f t="shared" si="461"/>
        <v>0</v>
      </c>
      <c r="BI354" s="216" t="b">
        <f t="shared" si="462"/>
        <v>0</v>
      </c>
      <c r="BJ354" s="215" t="b">
        <f t="shared" si="463"/>
        <v>0</v>
      </c>
      <c r="BK354" s="145" t="b">
        <f t="shared" si="464"/>
        <v>0</v>
      </c>
      <c r="BL354" s="216" t="b">
        <f t="shared" si="465"/>
        <v>0</v>
      </c>
      <c r="BM354" s="217" t="str">
        <f t="shared" si="420"/>
        <v/>
      </c>
      <c r="BN354" s="146" t="str">
        <f t="shared" si="421"/>
        <v/>
      </c>
      <c r="BO354" s="147" t="str">
        <f t="shared" si="422"/>
        <v/>
      </c>
      <c r="BP354" s="148" t="str">
        <f t="shared" si="423"/>
        <v/>
      </c>
      <c r="BT354" s="50">
        <f t="shared" si="413"/>
        <v>331</v>
      </c>
      <c r="BU354" s="50" t="str">
        <f t="shared" si="439"/>
        <v>-</v>
      </c>
      <c r="BW354" s="333"/>
      <c r="BX354" s="333"/>
      <c r="BY354" s="333"/>
      <c r="BZ354" s="333"/>
      <c r="CA354" s="333"/>
      <c r="CB354" s="333"/>
      <c r="CC354" s="333"/>
      <c r="CD354" s="333"/>
      <c r="CE354" s="333"/>
      <c r="CF354" s="333"/>
      <c r="CG354" s="354">
        <f t="shared" si="466"/>
        <v>331</v>
      </c>
      <c r="CH354" s="613">
        <f t="shared" si="467"/>
        <v>0</v>
      </c>
      <c r="CI354" s="613">
        <f t="shared" si="468"/>
        <v>0</v>
      </c>
      <c r="CJ354" s="614" t="str">
        <f t="shared" si="469"/>
        <v/>
      </c>
      <c r="CK354" s="615" t="str">
        <f t="shared" si="470"/>
        <v/>
      </c>
      <c r="CL354" s="610" t="str">
        <f>IF(ISBLANK(H354),"",IF(AND(ISNUMBER(F354),ISNUMBER(G354),ISNUMBER(H354)),ROUND(F354/(H354*G354),2),ROUND(F354/(VALUE(LEFT(H354,SUM(LEN(H354)-LEN(SUBSTITUTE(H354,{"0","1","2","3","4","5","6","7","8","9","."},"")))))*G354),2)))</f>
        <v/>
      </c>
      <c r="CM354" s="616" t="str">
        <f t="shared" si="424"/>
        <v/>
      </c>
      <c r="CN354" s="616" t="str">
        <f>IF(ISNUMBER(P354),MAX('Adjustment factors'!$S$16,(0.2+0.8*P354)),IF(ISTEXT(N354),VLOOKUP(N354,Afactors,2,FALSE),""))</f>
        <v/>
      </c>
      <c r="CO354" s="616" t="str">
        <f>IF(ISNUMBER(S354),MAX('Adjustment factors'!$S$16,0.2+0.8*S354),IF(ISTEXT(Q354),VLOOKUP(Q354,Afactors,2,FALSE),""))</f>
        <v/>
      </c>
      <c r="CP354" s="611" t="str">
        <f t="shared" si="488"/>
        <v/>
      </c>
      <c r="CQ354" s="612" t="str">
        <f t="shared" si="489"/>
        <v/>
      </c>
      <c r="CR354" s="340"/>
      <c r="CS354" s="340"/>
      <c r="CT354" s="340"/>
      <c r="CU354" s="340"/>
      <c r="CV354" s="333"/>
      <c r="CW354" s="333"/>
      <c r="CX354" s="333"/>
      <c r="CY354" s="333"/>
      <c r="DA354" s="313" t="str">
        <f t="shared" si="471"/>
        <v>OK</v>
      </c>
      <c r="DB354" s="313" t="str">
        <f t="shared" si="472"/>
        <v>OK</v>
      </c>
      <c r="DC354" s="313" t="str">
        <f t="shared" si="473"/>
        <v>OK</v>
      </c>
      <c r="DD354" s="313" t="str">
        <f t="shared" si="474"/>
        <v>OK</v>
      </c>
      <c r="DE354" s="153" t="str">
        <f t="shared" si="475"/>
        <v>OK</v>
      </c>
      <c r="DF354" s="314" t="str">
        <f t="shared" si="476"/>
        <v>OK</v>
      </c>
      <c r="DG354" s="482" t="str">
        <f t="shared" si="490"/>
        <v>OK</v>
      </c>
      <c r="DH354" s="482" t="str">
        <f>IF(OR(AND(T354='Adjustment factors'!$R$28,'Class 3, 5-9'!U354='Adjustment factors'!$R$29),AND('Class 3, 5-9'!T354='Adjustment factors'!$R$29,'Class 3, 5-9'!U354='Adjustment factors'!$R$28)),"Invalid combination of adjustment factors",IF(AND(T354=U354,NOT(ISBLANK(T354)),NOT(ISBLANK(U354))),"Same colour factor selected twice","OK"))</f>
        <v>OK</v>
      </c>
      <c r="DI354" s="313" t="str">
        <f t="shared" si="477"/>
        <v>OK</v>
      </c>
      <c r="DJ354" s="153" t="str">
        <f t="shared" si="425"/>
        <v>OK</v>
      </c>
      <c r="DK354" s="153" t="str">
        <f t="shared" si="478"/>
        <v>OK</v>
      </c>
      <c r="DL354" s="313" t="str">
        <f t="shared" si="479"/>
        <v>OK</v>
      </c>
      <c r="DM354" s="153" t="str">
        <f t="shared" si="480"/>
        <v>OK</v>
      </c>
      <c r="DN354" s="153" t="str">
        <f t="shared" si="426"/>
        <v>OK</v>
      </c>
      <c r="DO354" s="154" t="str">
        <f t="shared" si="427"/>
        <v>OK</v>
      </c>
      <c r="DP354" s="153" t="str">
        <f t="shared" si="481"/>
        <v>OK</v>
      </c>
      <c r="DQ354" s="313" t="str">
        <f t="shared" si="482"/>
        <v>OK</v>
      </c>
      <c r="DR354" s="153" t="str">
        <f t="shared" si="428"/>
        <v>OK</v>
      </c>
      <c r="DS354" s="153" t="str">
        <f t="shared" si="483"/>
        <v>OK</v>
      </c>
      <c r="DT354" s="313" t="str">
        <f t="shared" si="441"/>
        <v>OK</v>
      </c>
      <c r="DU354" s="153" t="str">
        <f t="shared" si="484"/>
        <v>OK</v>
      </c>
      <c r="DV354" s="153" t="str">
        <f t="shared" si="429"/>
        <v>OK</v>
      </c>
      <c r="DW354" s="154" t="str">
        <f t="shared" si="430"/>
        <v>OK</v>
      </c>
      <c r="DX354" s="157">
        <f t="shared" si="431"/>
        <v>0</v>
      </c>
      <c r="DY354" s="156" t="str">
        <f t="shared" si="432"/>
        <v>OK</v>
      </c>
    </row>
    <row r="355" spans="1:129" ht="13" hidden="1" x14ac:dyDescent="0.3">
      <c r="A355" s="333"/>
      <c r="B355" s="333"/>
      <c r="C355" s="331" t="str">
        <f t="shared" si="440"/>
        <v>-</v>
      </c>
      <c r="D355" s="584">
        <f t="shared" si="412"/>
        <v>332</v>
      </c>
      <c r="E355" s="585"/>
      <c r="F355" s="586"/>
      <c r="G355" s="600"/>
      <c r="H355" s="587"/>
      <c r="I355" s="601"/>
      <c r="J355" s="585"/>
      <c r="K355" s="617"/>
      <c r="L355" s="602"/>
      <c r="M355" s="603"/>
      <c r="N355" s="588"/>
      <c r="O355" s="604"/>
      <c r="P355" s="605"/>
      <c r="Q355" s="588"/>
      <c r="R355" s="604"/>
      <c r="S355" s="605"/>
      <c r="T355" s="606"/>
      <c r="U355" s="606"/>
      <c r="V355" s="429" t="str">
        <f t="shared" si="437"/>
        <v/>
      </c>
      <c r="W355" s="430" t="str">
        <f t="shared" si="436"/>
        <v/>
      </c>
      <c r="X355" s="66" t="str">
        <f>IF(AND(ISNUMBER(P355),N355=FixedDim),MAX('Adjustment factors'!$S$16,0.2+0.8*P355),IF(ISTEXT(N355),VLOOKUP(N355,Afactors,2,TRUE),""))</f>
        <v/>
      </c>
      <c r="Y355" s="17" t="str">
        <f>IF(AND(ISNUMBER(S355),Q355=FixedDim),MAX('Adjustment factors'!$S$16,0.2+0.8*S355),IF(ISTEXT(Q355),VLOOKUP(Q355,Afactors,2,TRUE),""))</f>
        <v/>
      </c>
      <c r="Z355" s="297" t="str">
        <f>IF(ISBLANK(T355),"",VLOOKUP(T355,'Adjustment factors'!$R$27:$S$30,2,TRUE))</f>
        <v/>
      </c>
      <c r="AA355" s="297" t="str">
        <f>IF(ISBLANK(U355),"",VLOOKUP(U355,'Adjustment factors'!$R$27:$S$30,2,TRUE))</f>
        <v/>
      </c>
      <c r="AB355" s="480">
        <f t="shared" si="485"/>
        <v>1</v>
      </c>
      <c r="AC355" s="18" t="b">
        <f t="shared" si="442"/>
        <v>0</v>
      </c>
      <c r="AD355" s="18" t="b">
        <f t="shared" si="443"/>
        <v>0</v>
      </c>
      <c r="AE355" s="18" t="b">
        <f t="shared" si="433"/>
        <v>0</v>
      </c>
      <c r="AF355" s="17" t="str">
        <f t="shared" si="444"/>
        <v/>
      </c>
      <c r="AG355" s="18" t="str">
        <f t="shared" si="445"/>
        <v/>
      </c>
      <c r="AH355" s="17" t="str">
        <f t="shared" si="434"/>
        <v/>
      </c>
      <c r="AI355" s="297" t="e">
        <f t="shared" si="486"/>
        <v>#VALUE!</v>
      </c>
      <c r="AJ355" s="79" t="e">
        <f t="shared" si="446"/>
        <v>#VALUE!</v>
      </c>
      <c r="AK355" s="17" t="str">
        <f t="shared" si="435"/>
        <v/>
      </c>
      <c r="AL355" s="80" t="e">
        <f t="shared" si="447"/>
        <v>#VALUE!</v>
      </c>
      <c r="AM355" s="139" t="b">
        <f t="shared" si="448"/>
        <v>1</v>
      </c>
      <c r="AN355" s="139" t="b">
        <f>AND(COUNTA(E355)&gt;0,ISNUMBER(F355),OR(COUNT(G355:H355)=0,COUNT(G355:H355)=2,AND(ISNUMBER(G355),ISNUMBER(VALUE(LEFT(H355,SUM(LEN(H355)-LEN(SUBSTITUTE(H355,{"0","1","2","3","4","5","6","7","8","9","."},"")))))))),ISNUMBER(I355),ISTEXT(J355))</f>
        <v>0</v>
      </c>
      <c r="AO355" s="19" t="b">
        <f t="shared" si="449"/>
        <v>0</v>
      </c>
      <c r="AP355" s="19" t="b">
        <f t="shared" si="450"/>
        <v>1</v>
      </c>
      <c r="AQ355" s="19" t="b">
        <f>IF(AND(COUNTBLANK(E355:J355)=6,OR(AN356:AN$523)),NOT(AN355))</f>
        <v>0</v>
      </c>
      <c r="AR355" s="19" t="str">
        <f t="shared" si="451"/>
        <v/>
      </c>
      <c r="AS355" s="19" t="b">
        <f t="shared" si="452"/>
        <v>1</v>
      </c>
      <c r="AT355" s="19" t="str">
        <f t="shared" si="453"/>
        <v/>
      </c>
      <c r="AU355" s="19" t="b">
        <f t="shared" si="454"/>
        <v>1</v>
      </c>
      <c r="AV355" s="140" t="str">
        <f t="shared" si="417"/>
        <v/>
      </c>
      <c r="AW355" s="19" t="str">
        <f t="shared" si="455"/>
        <v/>
      </c>
      <c r="AX355" s="81">
        <f t="shared" si="456"/>
        <v>0</v>
      </c>
      <c r="AY355" s="81" t="str">
        <f t="shared" si="457"/>
        <v/>
      </c>
      <c r="AZ355" s="307" t="str">
        <f t="shared" si="487"/>
        <v/>
      </c>
      <c r="BA355" s="281" t="str">
        <f t="shared" si="418"/>
        <v/>
      </c>
      <c r="BB355" s="281" t="str">
        <f t="shared" si="419"/>
        <v/>
      </c>
      <c r="BC355" s="953"/>
      <c r="BD355" s="955"/>
      <c r="BE355" s="219" t="str">
        <f t="shared" si="458"/>
        <v>n/a</v>
      </c>
      <c r="BF355" s="215" t="b">
        <f t="shared" si="459"/>
        <v>0</v>
      </c>
      <c r="BG355" s="145" t="b">
        <f t="shared" si="460"/>
        <v>0</v>
      </c>
      <c r="BH355" s="145" t="b">
        <f t="shared" si="461"/>
        <v>0</v>
      </c>
      <c r="BI355" s="216" t="b">
        <f t="shared" si="462"/>
        <v>0</v>
      </c>
      <c r="BJ355" s="215" t="b">
        <f t="shared" si="463"/>
        <v>0</v>
      </c>
      <c r="BK355" s="145" t="b">
        <f t="shared" si="464"/>
        <v>0</v>
      </c>
      <c r="BL355" s="216" t="b">
        <f t="shared" si="465"/>
        <v>0</v>
      </c>
      <c r="BM355" s="217" t="str">
        <f t="shared" si="420"/>
        <v/>
      </c>
      <c r="BN355" s="146" t="str">
        <f t="shared" si="421"/>
        <v/>
      </c>
      <c r="BO355" s="147" t="str">
        <f t="shared" si="422"/>
        <v/>
      </c>
      <c r="BP355" s="148" t="str">
        <f t="shared" si="423"/>
        <v/>
      </c>
      <c r="BT355" s="50">
        <f t="shared" si="413"/>
        <v>332</v>
      </c>
      <c r="BU355" s="50" t="str">
        <f t="shared" si="439"/>
        <v>-</v>
      </c>
      <c r="BW355" s="333"/>
      <c r="BX355" s="333"/>
      <c r="BY355" s="333"/>
      <c r="BZ355" s="333"/>
      <c r="CA355" s="333"/>
      <c r="CB355" s="333"/>
      <c r="CC355" s="333"/>
      <c r="CD355" s="333"/>
      <c r="CE355" s="333"/>
      <c r="CF355" s="333"/>
      <c r="CG355" s="354">
        <f t="shared" si="466"/>
        <v>332</v>
      </c>
      <c r="CH355" s="613">
        <f t="shared" si="467"/>
        <v>0</v>
      </c>
      <c r="CI355" s="613">
        <f t="shared" si="468"/>
        <v>0</v>
      </c>
      <c r="CJ355" s="614" t="str">
        <f t="shared" si="469"/>
        <v/>
      </c>
      <c r="CK355" s="615" t="str">
        <f t="shared" si="470"/>
        <v/>
      </c>
      <c r="CL355" s="610" t="str">
        <f>IF(ISBLANK(H355),"",IF(AND(ISNUMBER(F355),ISNUMBER(G355),ISNUMBER(H355)),ROUND(F355/(H355*G355),2),ROUND(F355/(VALUE(LEFT(H355,SUM(LEN(H355)-LEN(SUBSTITUTE(H355,{"0","1","2","3","4","5","6","7","8","9","."},"")))))*G355),2)))</f>
        <v/>
      </c>
      <c r="CM355" s="616" t="str">
        <f t="shared" si="424"/>
        <v/>
      </c>
      <c r="CN355" s="616" t="str">
        <f>IF(ISNUMBER(P355),MAX('Adjustment factors'!$S$16,(0.2+0.8*P355)),IF(ISTEXT(N355),VLOOKUP(N355,Afactors,2,FALSE),""))</f>
        <v/>
      </c>
      <c r="CO355" s="616" t="str">
        <f>IF(ISNUMBER(S355),MAX('Adjustment factors'!$S$16,0.2+0.8*S355),IF(ISTEXT(Q355),VLOOKUP(Q355,Afactors,2,FALSE),""))</f>
        <v/>
      </c>
      <c r="CP355" s="611" t="str">
        <f t="shared" si="488"/>
        <v/>
      </c>
      <c r="CQ355" s="612" t="str">
        <f t="shared" si="489"/>
        <v/>
      </c>
      <c r="CR355" s="340"/>
      <c r="CS355" s="340"/>
      <c r="CT355" s="340"/>
      <c r="CU355" s="340"/>
      <c r="CV355" s="333"/>
      <c r="CW355" s="333"/>
      <c r="CX355" s="333"/>
      <c r="CY355" s="333"/>
      <c r="DA355" s="313" t="str">
        <f t="shared" si="471"/>
        <v>OK</v>
      </c>
      <c r="DB355" s="313" t="str">
        <f t="shared" si="472"/>
        <v>OK</v>
      </c>
      <c r="DC355" s="313" t="str">
        <f t="shared" si="473"/>
        <v>OK</v>
      </c>
      <c r="DD355" s="313" t="str">
        <f t="shared" si="474"/>
        <v>OK</v>
      </c>
      <c r="DE355" s="153" t="str">
        <f t="shared" si="475"/>
        <v>OK</v>
      </c>
      <c r="DF355" s="314" t="str">
        <f t="shared" si="476"/>
        <v>OK</v>
      </c>
      <c r="DG355" s="482" t="str">
        <f t="shared" si="490"/>
        <v>OK</v>
      </c>
      <c r="DH355" s="482" t="str">
        <f>IF(OR(AND(T355='Adjustment factors'!$R$28,'Class 3, 5-9'!U355='Adjustment factors'!$R$29),AND('Class 3, 5-9'!T355='Adjustment factors'!$R$29,'Class 3, 5-9'!U355='Adjustment factors'!$R$28)),"Invalid combination of adjustment factors",IF(AND(T355=U355,NOT(ISBLANK(T355)),NOT(ISBLANK(U355))),"Same colour factor selected twice","OK"))</f>
        <v>OK</v>
      </c>
      <c r="DI355" s="313" t="str">
        <f t="shared" si="477"/>
        <v>OK</v>
      </c>
      <c r="DJ355" s="153" t="str">
        <f t="shared" si="425"/>
        <v>OK</v>
      </c>
      <c r="DK355" s="153" t="str">
        <f t="shared" si="478"/>
        <v>OK</v>
      </c>
      <c r="DL355" s="313" t="str">
        <f t="shared" si="479"/>
        <v>OK</v>
      </c>
      <c r="DM355" s="153" t="str">
        <f t="shared" si="480"/>
        <v>OK</v>
      </c>
      <c r="DN355" s="153" t="str">
        <f t="shared" si="426"/>
        <v>OK</v>
      </c>
      <c r="DO355" s="154" t="str">
        <f t="shared" si="427"/>
        <v>OK</v>
      </c>
      <c r="DP355" s="153" t="str">
        <f t="shared" si="481"/>
        <v>OK</v>
      </c>
      <c r="DQ355" s="313" t="str">
        <f t="shared" si="482"/>
        <v>OK</v>
      </c>
      <c r="DR355" s="153" t="str">
        <f t="shared" si="428"/>
        <v>OK</v>
      </c>
      <c r="DS355" s="153" t="str">
        <f t="shared" si="483"/>
        <v>OK</v>
      </c>
      <c r="DT355" s="313" t="str">
        <f t="shared" si="441"/>
        <v>OK</v>
      </c>
      <c r="DU355" s="153" t="str">
        <f t="shared" si="484"/>
        <v>OK</v>
      </c>
      <c r="DV355" s="153" t="str">
        <f t="shared" si="429"/>
        <v>OK</v>
      </c>
      <c r="DW355" s="154" t="str">
        <f t="shared" si="430"/>
        <v>OK</v>
      </c>
      <c r="DX355" s="157">
        <f t="shared" si="431"/>
        <v>0</v>
      </c>
      <c r="DY355" s="156" t="str">
        <f t="shared" si="432"/>
        <v>OK</v>
      </c>
    </row>
    <row r="356" spans="1:129" ht="13" hidden="1" x14ac:dyDescent="0.3">
      <c r="A356" s="333"/>
      <c r="B356" s="333"/>
      <c r="C356" s="331" t="str">
        <f t="shared" si="440"/>
        <v>-</v>
      </c>
      <c r="D356" s="584">
        <f t="shared" si="412"/>
        <v>333</v>
      </c>
      <c r="E356" s="585"/>
      <c r="F356" s="586"/>
      <c r="G356" s="600"/>
      <c r="H356" s="587"/>
      <c r="I356" s="601"/>
      <c r="J356" s="585"/>
      <c r="K356" s="617"/>
      <c r="L356" s="602"/>
      <c r="M356" s="603"/>
      <c r="N356" s="588"/>
      <c r="O356" s="604"/>
      <c r="P356" s="605"/>
      <c r="Q356" s="588"/>
      <c r="R356" s="604"/>
      <c r="S356" s="605"/>
      <c r="T356" s="606"/>
      <c r="U356" s="606"/>
      <c r="V356" s="429" t="str">
        <f t="shared" si="437"/>
        <v/>
      </c>
      <c r="W356" s="430" t="str">
        <f t="shared" si="436"/>
        <v/>
      </c>
      <c r="X356" s="66" t="str">
        <f>IF(AND(ISNUMBER(P356),N356=FixedDim),MAX('Adjustment factors'!$S$16,0.2+0.8*P356),IF(ISTEXT(N356),VLOOKUP(N356,Afactors,2,TRUE),""))</f>
        <v/>
      </c>
      <c r="Y356" s="17" t="str">
        <f>IF(AND(ISNUMBER(S356),Q356=FixedDim),MAX('Adjustment factors'!$S$16,0.2+0.8*S356),IF(ISTEXT(Q356),VLOOKUP(Q356,Afactors,2,TRUE),""))</f>
        <v/>
      </c>
      <c r="Z356" s="297" t="str">
        <f>IF(ISBLANK(T356),"",VLOOKUP(T356,'Adjustment factors'!$R$27:$S$30,2,TRUE))</f>
        <v/>
      </c>
      <c r="AA356" s="297" t="str">
        <f>IF(ISBLANK(U356),"",VLOOKUP(U356,'Adjustment factors'!$R$27:$S$30,2,TRUE))</f>
        <v/>
      </c>
      <c r="AB356" s="480">
        <f t="shared" si="485"/>
        <v>1</v>
      </c>
      <c r="AC356" s="18" t="b">
        <f t="shared" si="442"/>
        <v>0</v>
      </c>
      <c r="AD356" s="18" t="b">
        <f t="shared" si="443"/>
        <v>0</v>
      </c>
      <c r="AE356" s="18" t="b">
        <f t="shared" si="433"/>
        <v>0</v>
      </c>
      <c r="AF356" s="17" t="str">
        <f t="shared" si="444"/>
        <v/>
      </c>
      <c r="AG356" s="18" t="str">
        <f t="shared" si="445"/>
        <v/>
      </c>
      <c r="AH356" s="17" t="str">
        <f t="shared" si="434"/>
        <v/>
      </c>
      <c r="AI356" s="297" t="e">
        <f t="shared" si="486"/>
        <v>#VALUE!</v>
      </c>
      <c r="AJ356" s="79" t="e">
        <f t="shared" si="446"/>
        <v>#VALUE!</v>
      </c>
      <c r="AK356" s="17" t="str">
        <f t="shared" si="435"/>
        <v/>
      </c>
      <c r="AL356" s="80" t="e">
        <f t="shared" si="447"/>
        <v>#VALUE!</v>
      </c>
      <c r="AM356" s="139" t="b">
        <f t="shared" si="448"/>
        <v>1</v>
      </c>
      <c r="AN356" s="139" t="b">
        <f>AND(COUNTA(E356)&gt;0,ISNUMBER(F356),OR(COUNT(G356:H356)=0,COUNT(G356:H356)=2,AND(ISNUMBER(G356),ISNUMBER(VALUE(LEFT(H356,SUM(LEN(H356)-LEN(SUBSTITUTE(H356,{"0","1","2","3","4","5","6","7","8","9","."},"")))))))),ISNUMBER(I356),ISTEXT(J356))</f>
        <v>0</v>
      </c>
      <c r="AO356" s="19" t="b">
        <f t="shared" si="449"/>
        <v>0</v>
      </c>
      <c r="AP356" s="19" t="b">
        <f t="shared" si="450"/>
        <v>1</v>
      </c>
      <c r="AQ356" s="19" t="b">
        <f>IF(AND(COUNTBLANK(E356:J356)=6,OR(AN357:AN$523)),NOT(AN356))</f>
        <v>0</v>
      </c>
      <c r="AR356" s="19" t="str">
        <f t="shared" si="451"/>
        <v/>
      </c>
      <c r="AS356" s="19" t="b">
        <f t="shared" si="452"/>
        <v>1</v>
      </c>
      <c r="AT356" s="19" t="str">
        <f t="shared" si="453"/>
        <v/>
      </c>
      <c r="AU356" s="19" t="b">
        <f t="shared" si="454"/>
        <v>1</v>
      </c>
      <c r="AV356" s="140" t="str">
        <f t="shared" si="417"/>
        <v/>
      </c>
      <c r="AW356" s="19" t="str">
        <f t="shared" si="455"/>
        <v/>
      </c>
      <c r="AX356" s="81">
        <f t="shared" si="456"/>
        <v>0</v>
      </c>
      <c r="AY356" s="81" t="str">
        <f t="shared" si="457"/>
        <v/>
      </c>
      <c r="AZ356" s="307" t="str">
        <f t="shared" si="487"/>
        <v/>
      </c>
      <c r="BA356" s="281" t="str">
        <f t="shared" si="418"/>
        <v/>
      </c>
      <c r="BB356" s="281" t="str">
        <f t="shared" si="419"/>
        <v/>
      </c>
      <c r="BC356" s="953"/>
      <c r="BD356" s="955"/>
      <c r="BE356" s="219" t="str">
        <f t="shared" si="458"/>
        <v>n/a</v>
      </c>
      <c r="BF356" s="215" t="b">
        <f t="shared" si="459"/>
        <v>0</v>
      </c>
      <c r="BG356" s="145" t="b">
        <f t="shared" si="460"/>
        <v>0</v>
      </c>
      <c r="BH356" s="145" t="b">
        <f t="shared" si="461"/>
        <v>0</v>
      </c>
      <c r="BI356" s="216" t="b">
        <f t="shared" si="462"/>
        <v>0</v>
      </c>
      <c r="BJ356" s="215" t="b">
        <f t="shared" si="463"/>
        <v>0</v>
      </c>
      <c r="BK356" s="145" t="b">
        <f t="shared" si="464"/>
        <v>0</v>
      </c>
      <c r="BL356" s="216" t="b">
        <f t="shared" si="465"/>
        <v>0</v>
      </c>
      <c r="BM356" s="217" t="str">
        <f t="shared" si="420"/>
        <v/>
      </c>
      <c r="BN356" s="146" t="str">
        <f t="shared" si="421"/>
        <v/>
      </c>
      <c r="BO356" s="147" t="str">
        <f t="shared" si="422"/>
        <v/>
      </c>
      <c r="BP356" s="148" t="str">
        <f t="shared" si="423"/>
        <v/>
      </c>
      <c r="BT356" s="50">
        <f t="shared" si="413"/>
        <v>333</v>
      </c>
      <c r="BU356" s="50" t="str">
        <f t="shared" si="439"/>
        <v>-</v>
      </c>
      <c r="BW356" s="333"/>
      <c r="BX356" s="333"/>
      <c r="BY356" s="333"/>
      <c r="BZ356" s="333"/>
      <c r="CA356" s="333"/>
      <c r="CB356" s="333"/>
      <c r="CC356" s="333"/>
      <c r="CD356" s="333"/>
      <c r="CE356" s="333"/>
      <c r="CF356" s="333"/>
      <c r="CG356" s="354">
        <f t="shared" si="466"/>
        <v>333</v>
      </c>
      <c r="CH356" s="613">
        <f t="shared" si="467"/>
        <v>0</v>
      </c>
      <c r="CI356" s="613">
        <f t="shared" si="468"/>
        <v>0</v>
      </c>
      <c r="CJ356" s="614" t="str">
        <f t="shared" si="469"/>
        <v/>
      </c>
      <c r="CK356" s="615" t="str">
        <f t="shared" si="470"/>
        <v/>
      </c>
      <c r="CL356" s="610" t="str">
        <f>IF(ISBLANK(H356),"",IF(AND(ISNUMBER(F356),ISNUMBER(G356),ISNUMBER(H356)),ROUND(F356/(H356*G356),2),ROUND(F356/(VALUE(LEFT(H356,SUM(LEN(H356)-LEN(SUBSTITUTE(H356,{"0","1","2","3","4","5","6","7","8","9","."},"")))))*G356),2)))</f>
        <v/>
      </c>
      <c r="CM356" s="616" t="str">
        <f t="shared" si="424"/>
        <v/>
      </c>
      <c r="CN356" s="616" t="str">
        <f>IF(ISNUMBER(P356),MAX('Adjustment factors'!$S$16,(0.2+0.8*P356)),IF(ISTEXT(N356),VLOOKUP(N356,Afactors,2,FALSE),""))</f>
        <v/>
      </c>
      <c r="CO356" s="616" t="str">
        <f>IF(ISNUMBER(S356),MAX('Adjustment factors'!$S$16,0.2+0.8*S356),IF(ISTEXT(Q356),VLOOKUP(Q356,Afactors,2,FALSE),""))</f>
        <v/>
      </c>
      <c r="CP356" s="611" t="str">
        <f t="shared" si="488"/>
        <v/>
      </c>
      <c r="CQ356" s="612" t="str">
        <f t="shared" si="489"/>
        <v/>
      </c>
      <c r="CR356" s="340"/>
      <c r="CS356" s="340"/>
      <c r="CT356" s="340"/>
      <c r="CU356" s="340"/>
      <c r="CV356" s="333"/>
      <c r="CW356" s="333"/>
      <c r="CX356" s="333"/>
      <c r="CY356" s="333"/>
      <c r="DA356" s="313" t="str">
        <f t="shared" si="471"/>
        <v>OK</v>
      </c>
      <c r="DB356" s="313" t="str">
        <f t="shared" si="472"/>
        <v>OK</v>
      </c>
      <c r="DC356" s="313" t="str">
        <f t="shared" si="473"/>
        <v>OK</v>
      </c>
      <c r="DD356" s="313" t="str">
        <f t="shared" si="474"/>
        <v>OK</v>
      </c>
      <c r="DE356" s="153" t="str">
        <f t="shared" si="475"/>
        <v>OK</v>
      </c>
      <c r="DF356" s="314" t="str">
        <f t="shared" si="476"/>
        <v>OK</v>
      </c>
      <c r="DG356" s="482" t="str">
        <f t="shared" si="490"/>
        <v>OK</v>
      </c>
      <c r="DH356" s="482" t="str">
        <f>IF(OR(AND(T356='Adjustment factors'!$R$28,'Class 3, 5-9'!U356='Adjustment factors'!$R$29),AND('Class 3, 5-9'!T356='Adjustment factors'!$R$29,'Class 3, 5-9'!U356='Adjustment factors'!$R$28)),"Invalid combination of adjustment factors",IF(AND(T356=U356,NOT(ISBLANK(T356)),NOT(ISBLANK(U356))),"Same colour factor selected twice","OK"))</f>
        <v>OK</v>
      </c>
      <c r="DI356" s="313" t="str">
        <f t="shared" si="477"/>
        <v>OK</v>
      </c>
      <c r="DJ356" s="153" t="str">
        <f t="shared" si="425"/>
        <v>OK</v>
      </c>
      <c r="DK356" s="153" t="str">
        <f t="shared" si="478"/>
        <v>OK</v>
      </c>
      <c r="DL356" s="313" t="str">
        <f t="shared" si="479"/>
        <v>OK</v>
      </c>
      <c r="DM356" s="153" t="str">
        <f t="shared" si="480"/>
        <v>OK</v>
      </c>
      <c r="DN356" s="153" t="str">
        <f t="shared" si="426"/>
        <v>OK</v>
      </c>
      <c r="DO356" s="154" t="str">
        <f t="shared" si="427"/>
        <v>OK</v>
      </c>
      <c r="DP356" s="153" t="str">
        <f t="shared" si="481"/>
        <v>OK</v>
      </c>
      <c r="DQ356" s="313" t="str">
        <f t="shared" si="482"/>
        <v>OK</v>
      </c>
      <c r="DR356" s="153" t="str">
        <f t="shared" si="428"/>
        <v>OK</v>
      </c>
      <c r="DS356" s="153" t="str">
        <f t="shared" si="483"/>
        <v>OK</v>
      </c>
      <c r="DT356" s="313" t="str">
        <f t="shared" si="441"/>
        <v>OK</v>
      </c>
      <c r="DU356" s="153" t="str">
        <f t="shared" si="484"/>
        <v>OK</v>
      </c>
      <c r="DV356" s="153" t="str">
        <f t="shared" si="429"/>
        <v>OK</v>
      </c>
      <c r="DW356" s="154" t="str">
        <f t="shared" si="430"/>
        <v>OK</v>
      </c>
      <c r="DX356" s="157">
        <f t="shared" si="431"/>
        <v>0</v>
      </c>
      <c r="DY356" s="156" t="str">
        <f t="shared" si="432"/>
        <v>OK</v>
      </c>
    </row>
    <row r="357" spans="1:129" ht="13" hidden="1" x14ac:dyDescent="0.3">
      <c r="A357" s="333"/>
      <c r="B357" s="333"/>
      <c r="C357" s="331" t="str">
        <f t="shared" si="440"/>
        <v>-</v>
      </c>
      <c r="D357" s="584">
        <f t="shared" si="412"/>
        <v>334</v>
      </c>
      <c r="E357" s="585"/>
      <c r="F357" s="586"/>
      <c r="G357" s="600"/>
      <c r="H357" s="587"/>
      <c r="I357" s="601"/>
      <c r="J357" s="585"/>
      <c r="K357" s="617"/>
      <c r="L357" s="602"/>
      <c r="M357" s="603"/>
      <c r="N357" s="588"/>
      <c r="O357" s="604"/>
      <c r="P357" s="605"/>
      <c r="Q357" s="588"/>
      <c r="R357" s="604"/>
      <c r="S357" s="605"/>
      <c r="T357" s="606"/>
      <c r="U357" s="606"/>
      <c r="V357" s="429" t="str">
        <f t="shared" si="437"/>
        <v/>
      </c>
      <c r="W357" s="430" t="str">
        <f t="shared" si="436"/>
        <v/>
      </c>
      <c r="X357" s="66" t="str">
        <f>IF(AND(ISNUMBER(P357),N357=FixedDim),MAX('Adjustment factors'!$S$16,0.2+0.8*P357),IF(ISTEXT(N357),VLOOKUP(N357,Afactors,2,TRUE),""))</f>
        <v/>
      </c>
      <c r="Y357" s="17" t="str">
        <f>IF(AND(ISNUMBER(S357),Q357=FixedDim),MAX('Adjustment factors'!$S$16,0.2+0.8*S357),IF(ISTEXT(Q357),VLOOKUP(Q357,Afactors,2,TRUE),""))</f>
        <v/>
      </c>
      <c r="Z357" s="297" t="str">
        <f>IF(ISBLANK(T357),"",VLOOKUP(T357,'Adjustment factors'!$R$27:$S$30,2,TRUE))</f>
        <v/>
      </c>
      <c r="AA357" s="297" t="str">
        <f>IF(ISBLANK(U357),"",VLOOKUP(U357,'Adjustment factors'!$R$27:$S$30,2,TRUE))</f>
        <v/>
      </c>
      <c r="AB357" s="480">
        <f t="shared" si="485"/>
        <v>1</v>
      </c>
      <c r="AC357" s="18" t="b">
        <f t="shared" si="442"/>
        <v>0</v>
      </c>
      <c r="AD357" s="18" t="b">
        <f t="shared" si="443"/>
        <v>0</v>
      </c>
      <c r="AE357" s="18" t="b">
        <f t="shared" si="433"/>
        <v>0</v>
      </c>
      <c r="AF357" s="17" t="str">
        <f t="shared" si="444"/>
        <v/>
      </c>
      <c r="AG357" s="18" t="str">
        <f t="shared" si="445"/>
        <v/>
      </c>
      <c r="AH357" s="17" t="str">
        <f t="shared" si="434"/>
        <v/>
      </c>
      <c r="AI357" s="297" t="e">
        <f t="shared" si="486"/>
        <v>#VALUE!</v>
      </c>
      <c r="AJ357" s="79" t="e">
        <f t="shared" si="446"/>
        <v>#VALUE!</v>
      </c>
      <c r="AK357" s="17" t="str">
        <f t="shared" si="435"/>
        <v/>
      </c>
      <c r="AL357" s="80" t="e">
        <f t="shared" si="447"/>
        <v>#VALUE!</v>
      </c>
      <c r="AM357" s="139" t="b">
        <f t="shared" si="448"/>
        <v>1</v>
      </c>
      <c r="AN357" s="139" t="b">
        <f>AND(COUNTA(E357)&gt;0,ISNUMBER(F357),OR(COUNT(G357:H357)=0,COUNT(G357:H357)=2,AND(ISNUMBER(G357),ISNUMBER(VALUE(LEFT(H357,SUM(LEN(H357)-LEN(SUBSTITUTE(H357,{"0","1","2","3","4","5","6","7","8","9","."},"")))))))),ISNUMBER(I357),ISTEXT(J357))</f>
        <v>0</v>
      </c>
      <c r="AO357" s="19" t="b">
        <f t="shared" si="449"/>
        <v>0</v>
      </c>
      <c r="AP357" s="19" t="b">
        <f t="shared" si="450"/>
        <v>1</v>
      </c>
      <c r="AQ357" s="19" t="b">
        <f>IF(AND(COUNTBLANK(E357:J357)=6,OR(AN358:AN$523)),NOT(AN357))</f>
        <v>0</v>
      </c>
      <c r="AR357" s="19" t="str">
        <f t="shared" si="451"/>
        <v/>
      </c>
      <c r="AS357" s="19" t="b">
        <f t="shared" si="452"/>
        <v>1</v>
      </c>
      <c r="AT357" s="19" t="str">
        <f t="shared" si="453"/>
        <v/>
      </c>
      <c r="AU357" s="19" t="b">
        <f t="shared" si="454"/>
        <v>1</v>
      </c>
      <c r="AV357" s="140" t="str">
        <f t="shared" si="417"/>
        <v/>
      </c>
      <c r="AW357" s="19" t="str">
        <f t="shared" si="455"/>
        <v/>
      </c>
      <c r="AX357" s="81">
        <f t="shared" si="456"/>
        <v>0</v>
      </c>
      <c r="AY357" s="81" t="str">
        <f t="shared" si="457"/>
        <v/>
      </c>
      <c r="AZ357" s="307" t="str">
        <f t="shared" si="487"/>
        <v/>
      </c>
      <c r="BA357" s="281" t="str">
        <f t="shared" si="418"/>
        <v/>
      </c>
      <c r="BB357" s="281" t="str">
        <f t="shared" si="419"/>
        <v/>
      </c>
      <c r="BC357" s="953"/>
      <c r="BD357" s="955"/>
      <c r="BE357" s="219" t="str">
        <f t="shared" si="458"/>
        <v>n/a</v>
      </c>
      <c r="BF357" s="215" t="b">
        <f t="shared" si="459"/>
        <v>0</v>
      </c>
      <c r="BG357" s="145" t="b">
        <f t="shared" si="460"/>
        <v>0</v>
      </c>
      <c r="BH357" s="145" t="b">
        <f t="shared" si="461"/>
        <v>0</v>
      </c>
      <c r="BI357" s="216" t="b">
        <f t="shared" si="462"/>
        <v>0</v>
      </c>
      <c r="BJ357" s="215" t="b">
        <f t="shared" si="463"/>
        <v>0</v>
      </c>
      <c r="BK357" s="145" t="b">
        <f t="shared" si="464"/>
        <v>0</v>
      </c>
      <c r="BL357" s="216" t="b">
        <f t="shared" si="465"/>
        <v>0</v>
      </c>
      <c r="BM357" s="217" t="str">
        <f t="shared" si="420"/>
        <v/>
      </c>
      <c r="BN357" s="146" t="str">
        <f t="shared" si="421"/>
        <v/>
      </c>
      <c r="BO357" s="147" t="str">
        <f t="shared" si="422"/>
        <v/>
      </c>
      <c r="BP357" s="148" t="str">
        <f t="shared" si="423"/>
        <v/>
      </c>
      <c r="BT357" s="50">
        <f t="shared" si="413"/>
        <v>334</v>
      </c>
      <c r="BU357" s="50" t="str">
        <f t="shared" si="439"/>
        <v>-</v>
      </c>
      <c r="BW357" s="333"/>
      <c r="BX357" s="333"/>
      <c r="BY357" s="333"/>
      <c r="BZ357" s="333"/>
      <c r="CA357" s="333"/>
      <c r="CB357" s="333"/>
      <c r="CC357" s="333"/>
      <c r="CD357" s="333"/>
      <c r="CE357" s="333"/>
      <c r="CF357" s="333"/>
      <c r="CG357" s="354">
        <f t="shared" si="466"/>
        <v>334</v>
      </c>
      <c r="CH357" s="613">
        <f t="shared" si="467"/>
        <v>0</v>
      </c>
      <c r="CI357" s="613">
        <f t="shared" si="468"/>
        <v>0</v>
      </c>
      <c r="CJ357" s="614" t="str">
        <f t="shared" si="469"/>
        <v/>
      </c>
      <c r="CK357" s="615" t="str">
        <f t="shared" si="470"/>
        <v/>
      </c>
      <c r="CL357" s="610" t="str">
        <f>IF(ISBLANK(H357),"",IF(AND(ISNUMBER(F357),ISNUMBER(G357),ISNUMBER(H357)),ROUND(F357/(H357*G357),2),ROUND(F357/(VALUE(LEFT(H357,SUM(LEN(H357)-LEN(SUBSTITUTE(H357,{"0","1","2","3","4","5","6","7","8","9","."},"")))))*G357),2)))</f>
        <v/>
      </c>
      <c r="CM357" s="616" t="str">
        <f t="shared" si="424"/>
        <v/>
      </c>
      <c r="CN357" s="616" t="str">
        <f>IF(ISNUMBER(P357),MAX('Adjustment factors'!$S$16,(0.2+0.8*P357)),IF(ISTEXT(N357),VLOOKUP(N357,Afactors,2,FALSE),""))</f>
        <v/>
      </c>
      <c r="CO357" s="616" t="str">
        <f>IF(ISNUMBER(S357),MAX('Adjustment factors'!$S$16,0.2+0.8*S357),IF(ISTEXT(Q357),VLOOKUP(Q357,Afactors,2,FALSE),""))</f>
        <v/>
      </c>
      <c r="CP357" s="611" t="str">
        <f t="shared" si="488"/>
        <v/>
      </c>
      <c r="CQ357" s="612" t="str">
        <f t="shared" si="489"/>
        <v/>
      </c>
      <c r="CR357" s="340"/>
      <c r="CS357" s="340"/>
      <c r="CT357" s="340"/>
      <c r="CU357" s="340"/>
      <c r="CV357" s="333"/>
      <c r="CW357" s="333"/>
      <c r="CX357" s="333"/>
      <c r="CY357" s="333"/>
      <c r="DA357" s="313" t="str">
        <f t="shared" si="471"/>
        <v>OK</v>
      </c>
      <c r="DB357" s="313" t="str">
        <f t="shared" si="472"/>
        <v>OK</v>
      </c>
      <c r="DC357" s="313" t="str">
        <f t="shared" si="473"/>
        <v>OK</v>
      </c>
      <c r="DD357" s="313" t="str">
        <f t="shared" si="474"/>
        <v>OK</v>
      </c>
      <c r="DE357" s="153" t="str">
        <f t="shared" si="475"/>
        <v>OK</v>
      </c>
      <c r="DF357" s="314" t="str">
        <f t="shared" si="476"/>
        <v>OK</v>
      </c>
      <c r="DG357" s="482" t="str">
        <f t="shared" si="490"/>
        <v>OK</v>
      </c>
      <c r="DH357" s="482" t="str">
        <f>IF(OR(AND(T357='Adjustment factors'!$R$28,'Class 3, 5-9'!U357='Adjustment factors'!$R$29),AND('Class 3, 5-9'!T357='Adjustment factors'!$R$29,'Class 3, 5-9'!U357='Adjustment factors'!$R$28)),"Invalid combination of adjustment factors",IF(AND(T357=U357,NOT(ISBLANK(T357)),NOT(ISBLANK(U357))),"Same colour factor selected twice","OK"))</f>
        <v>OK</v>
      </c>
      <c r="DI357" s="313" t="str">
        <f t="shared" si="477"/>
        <v>OK</v>
      </c>
      <c r="DJ357" s="153" t="str">
        <f t="shared" si="425"/>
        <v>OK</v>
      </c>
      <c r="DK357" s="153" t="str">
        <f t="shared" si="478"/>
        <v>OK</v>
      </c>
      <c r="DL357" s="313" t="str">
        <f t="shared" si="479"/>
        <v>OK</v>
      </c>
      <c r="DM357" s="153" t="str">
        <f t="shared" si="480"/>
        <v>OK</v>
      </c>
      <c r="DN357" s="153" t="str">
        <f t="shared" si="426"/>
        <v>OK</v>
      </c>
      <c r="DO357" s="154" t="str">
        <f t="shared" si="427"/>
        <v>OK</v>
      </c>
      <c r="DP357" s="153" t="str">
        <f t="shared" si="481"/>
        <v>OK</v>
      </c>
      <c r="DQ357" s="313" t="str">
        <f t="shared" si="482"/>
        <v>OK</v>
      </c>
      <c r="DR357" s="153" t="str">
        <f t="shared" si="428"/>
        <v>OK</v>
      </c>
      <c r="DS357" s="153" t="str">
        <f t="shared" si="483"/>
        <v>OK</v>
      </c>
      <c r="DT357" s="313" t="str">
        <f t="shared" si="441"/>
        <v>OK</v>
      </c>
      <c r="DU357" s="153" t="str">
        <f t="shared" si="484"/>
        <v>OK</v>
      </c>
      <c r="DV357" s="153" t="str">
        <f t="shared" si="429"/>
        <v>OK</v>
      </c>
      <c r="DW357" s="154" t="str">
        <f t="shared" si="430"/>
        <v>OK</v>
      </c>
      <c r="DX357" s="157">
        <f t="shared" si="431"/>
        <v>0</v>
      </c>
      <c r="DY357" s="156" t="str">
        <f t="shared" si="432"/>
        <v>OK</v>
      </c>
    </row>
    <row r="358" spans="1:129" ht="13" hidden="1" x14ac:dyDescent="0.3">
      <c r="A358" s="333"/>
      <c r="B358" s="333"/>
      <c r="C358" s="331" t="str">
        <f t="shared" si="440"/>
        <v>-</v>
      </c>
      <c r="D358" s="584">
        <f t="shared" si="412"/>
        <v>335</v>
      </c>
      <c r="E358" s="585"/>
      <c r="F358" s="586"/>
      <c r="G358" s="600"/>
      <c r="H358" s="587"/>
      <c r="I358" s="601"/>
      <c r="J358" s="585"/>
      <c r="K358" s="617"/>
      <c r="L358" s="602"/>
      <c r="M358" s="603"/>
      <c r="N358" s="588"/>
      <c r="O358" s="604"/>
      <c r="P358" s="605"/>
      <c r="Q358" s="588"/>
      <c r="R358" s="604"/>
      <c r="S358" s="605"/>
      <c r="T358" s="606"/>
      <c r="U358" s="606"/>
      <c r="V358" s="429" t="str">
        <f t="shared" si="437"/>
        <v/>
      </c>
      <c r="W358" s="430" t="str">
        <f t="shared" si="436"/>
        <v/>
      </c>
      <c r="X358" s="66" t="str">
        <f>IF(AND(ISNUMBER(P358),N358=FixedDim),MAX('Adjustment factors'!$S$16,0.2+0.8*P358),IF(ISTEXT(N358),VLOOKUP(N358,Afactors,2,TRUE),""))</f>
        <v/>
      </c>
      <c r="Y358" s="17" t="str">
        <f>IF(AND(ISNUMBER(S358),Q358=FixedDim),MAX('Adjustment factors'!$S$16,0.2+0.8*S358),IF(ISTEXT(Q358),VLOOKUP(Q358,Afactors,2,TRUE),""))</f>
        <v/>
      </c>
      <c r="Z358" s="297" t="str">
        <f>IF(ISBLANK(T358),"",VLOOKUP(T358,'Adjustment factors'!$R$27:$S$30,2,TRUE))</f>
        <v/>
      </c>
      <c r="AA358" s="297" t="str">
        <f>IF(ISBLANK(U358),"",VLOOKUP(U358,'Adjustment factors'!$R$27:$S$30,2,TRUE))</f>
        <v/>
      </c>
      <c r="AB358" s="480">
        <f t="shared" si="485"/>
        <v>1</v>
      </c>
      <c r="AC358" s="18" t="b">
        <f t="shared" si="442"/>
        <v>0</v>
      </c>
      <c r="AD358" s="18" t="b">
        <f t="shared" si="443"/>
        <v>0</v>
      </c>
      <c r="AE358" s="18" t="b">
        <f t="shared" si="433"/>
        <v>0</v>
      </c>
      <c r="AF358" s="17" t="str">
        <f t="shared" si="444"/>
        <v/>
      </c>
      <c r="AG358" s="18" t="str">
        <f t="shared" si="445"/>
        <v/>
      </c>
      <c r="AH358" s="17" t="str">
        <f t="shared" si="434"/>
        <v/>
      </c>
      <c r="AI358" s="297" t="e">
        <f t="shared" si="486"/>
        <v>#VALUE!</v>
      </c>
      <c r="AJ358" s="79" t="e">
        <f t="shared" si="446"/>
        <v>#VALUE!</v>
      </c>
      <c r="AK358" s="17" t="str">
        <f t="shared" si="435"/>
        <v/>
      </c>
      <c r="AL358" s="80" t="e">
        <f t="shared" si="447"/>
        <v>#VALUE!</v>
      </c>
      <c r="AM358" s="139" t="b">
        <f t="shared" si="448"/>
        <v>1</v>
      </c>
      <c r="AN358" s="139" t="b">
        <f>AND(COUNTA(E358)&gt;0,ISNUMBER(F358),OR(COUNT(G358:H358)=0,COUNT(G358:H358)=2,AND(ISNUMBER(G358),ISNUMBER(VALUE(LEFT(H358,SUM(LEN(H358)-LEN(SUBSTITUTE(H358,{"0","1","2","3","4","5","6","7","8","9","."},"")))))))),ISNUMBER(I358),ISTEXT(J358))</f>
        <v>0</v>
      </c>
      <c r="AO358" s="19" t="b">
        <f t="shared" si="449"/>
        <v>0</v>
      </c>
      <c r="AP358" s="19" t="b">
        <f t="shared" si="450"/>
        <v>1</v>
      </c>
      <c r="AQ358" s="19" t="b">
        <f>IF(AND(COUNTBLANK(E358:J358)=6,OR(AN359:AN$523)),NOT(AN358))</f>
        <v>0</v>
      </c>
      <c r="AR358" s="19" t="str">
        <f t="shared" si="451"/>
        <v/>
      </c>
      <c r="AS358" s="19" t="b">
        <f t="shared" si="452"/>
        <v>1</v>
      </c>
      <c r="AT358" s="19" t="str">
        <f t="shared" si="453"/>
        <v/>
      </c>
      <c r="AU358" s="19" t="b">
        <f t="shared" si="454"/>
        <v>1</v>
      </c>
      <c r="AV358" s="140" t="str">
        <f t="shared" si="417"/>
        <v/>
      </c>
      <c r="AW358" s="19" t="str">
        <f t="shared" si="455"/>
        <v/>
      </c>
      <c r="AX358" s="81">
        <f t="shared" si="456"/>
        <v>0</v>
      </c>
      <c r="AY358" s="81" t="str">
        <f t="shared" si="457"/>
        <v/>
      </c>
      <c r="AZ358" s="307" t="str">
        <f t="shared" si="487"/>
        <v/>
      </c>
      <c r="BA358" s="281" t="str">
        <f t="shared" si="418"/>
        <v/>
      </c>
      <c r="BB358" s="281" t="str">
        <f t="shared" si="419"/>
        <v/>
      </c>
      <c r="BC358" s="953"/>
      <c r="BD358" s="955"/>
      <c r="BE358" s="219" t="str">
        <f t="shared" si="458"/>
        <v>n/a</v>
      </c>
      <c r="BF358" s="215" t="b">
        <f t="shared" si="459"/>
        <v>0</v>
      </c>
      <c r="BG358" s="145" t="b">
        <f t="shared" si="460"/>
        <v>0</v>
      </c>
      <c r="BH358" s="145" t="b">
        <f t="shared" si="461"/>
        <v>0</v>
      </c>
      <c r="BI358" s="216" t="b">
        <f t="shared" si="462"/>
        <v>0</v>
      </c>
      <c r="BJ358" s="215" t="b">
        <f t="shared" si="463"/>
        <v>0</v>
      </c>
      <c r="BK358" s="145" t="b">
        <f t="shared" si="464"/>
        <v>0</v>
      </c>
      <c r="BL358" s="216" t="b">
        <f t="shared" si="465"/>
        <v>0</v>
      </c>
      <c r="BM358" s="217" t="str">
        <f t="shared" si="420"/>
        <v/>
      </c>
      <c r="BN358" s="146" t="str">
        <f t="shared" si="421"/>
        <v/>
      </c>
      <c r="BO358" s="147" t="str">
        <f t="shared" si="422"/>
        <v/>
      </c>
      <c r="BP358" s="148" t="str">
        <f t="shared" si="423"/>
        <v/>
      </c>
      <c r="BT358" s="50">
        <f t="shared" si="413"/>
        <v>335</v>
      </c>
      <c r="BU358" s="50" t="str">
        <f t="shared" si="439"/>
        <v>-</v>
      </c>
      <c r="BW358" s="333"/>
      <c r="BX358" s="333"/>
      <c r="BY358" s="333"/>
      <c r="BZ358" s="333"/>
      <c r="CA358" s="333"/>
      <c r="CB358" s="333"/>
      <c r="CC358" s="333"/>
      <c r="CD358" s="333"/>
      <c r="CE358" s="333"/>
      <c r="CF358" s="333"/>
      <c r="CG358" s="354">
        <f t="shared" si="466"/>
        <v>335</v>
      </c>
      <c r="CH358" s="613">
        <f t="shared" si="467"/>
        <v>0</v>
      </c>
      <c r="CI358" s="613">
        <f t="shared" si="468"/>
        <v>0</v>
      </c>
      <c r="CJ358" s="614" t="str">
        <f t="shared" si="469"/>
        <v/>
      </c>
      <c r="CK358" s="615" t="str">
        <f t="shared" si="470"/>
        <v/>
      </c>
      <c r="CL358" s="610" t="str">
        <f>IF(ISBLANK(H358),"",IF(AND(ISNUMBER(F358),ISNUMBER(G358),ISNUMBER(H358)),ROUND(F358/(H358*G358),2),ROUND(F358/(VALUE(LEFT(H358,SUM(LEN(H358)-LEN(SUBSTITUTE(H358,{"0","1","2","3","4","5","6","7","8","9","."},"")))))*G358),2)))</f>
        <v/>
      </c>
      <c r="CM358" s="616" t="str">
        <f t="shared" si="424"/>
        <v/>
      </c>
      <c r="CN358" s="616" t="str">
        <f>IF(ISNUMBER(P358),MAX('Adjustment factors'!$S$16,(0.2+0.8*P358)),IF(ISTEXT(N358),VLOOKUP(N358,Afactors,2,FALSE),""))</f>
        <v/>
      </c>
      <c r="CO358" s="616" t="str">
        <f>IF(ISNUMBER(S358),MAX('Adjustment factors'!$S$16,0.2+0.8*S358),IF(ISTEXT(Q358),VLOOKUP(Q358,Afactors,2,FALSE),""))</f>
        <v/>
      </c>
      <c r="CP358" s="611" t="str">
        <f t="shared" si="488"/>
        <v/>
      </c>
      <c r="CQ358" s="612" t="str">
        <f t="shared" si="489"/>
        <v/>
      </c>
      <c r="CR358" s="340"/>
      <c r="CS358" s="340"/>
      <c r="CT358" s="340"/>
      <c r="CU358" s="340"/>
      <c r="CV358" s="333"/>
      <c r="CW358" s="333"/>
      <c r="CX358" s="333"/>
      <c r="CY358" s="333"/>
      <c r="DA358" s="313" t="str">
        <f t="shared" si="471"/>
        <v>OK</v>
      </c>
      <c r="DB358" s="313" t="str">
        <f t="shared" si="472"/>
        <v>OK</v>
      </c>
      <c r="DC358" s="313" t="str">
        <f t="shared" si="473"/>
        <v>OK</v>
      </c>
      <c r="DD358" s="313" t="str">
        <f t="shared" si="474"/>
        <v>OK</v>
      </c>
      <c r="DE358" s="153" t="str">
        <f t="shared" si="475"/>
        <v>OK</v>
      </c>
      <c r="DF358" s="314" t="str">
        <f t="shared" si="476"/>
        <v>OK</v>
      </c>
      <c r="DG358" s="482" t="str">
        <f t="shared" si="490"/>
        <v>OK</v>
      </c>
      <c r="DH358" s="482" t="str">
        <f>IF(OR(AND(T358='Adjustment factors'!$R$28,'Class 3, 5-9'!U358='Adjustment factors'!$R$29),AND('Class 3, 5-9'!T358='Adjustment factors'!$R$29,'Class 3, 5-9'!U358='Adjustment factors'!$R$28)),"Invalid combination of adjustment factors",IF(AND(T358=U358,NOT(ISBLANK(T358)),NOT(ISBLANK(U358))),"Same colour factor selected twice","OK"))</f>
        <v>OK</v>
      </c>
      <c r="DI358" s="313" t="str">
        <f t="shared" si="477"/>
        <v>OK</v>
      </c>
      <c r="DJ358" s="153" t="str">
        <f t="shared" si="425"/>
        <v>OK</v>
      </c>
      <c r="DK358" s="153" t="str">
        <f t="shared" si="478"/>
        <v>OK</v>
      </c>
      <c r="DL358" s="313" t="str">
        <f t="shared" si="479"/>
        <v>OK</v>
      </c>
      <c r="DM358" s="153" t="str">
        <f t="shared" si="480"/>
        <v>OK</v>
      </c>
      <c r="DN358" s="153" t="str">
        <f t="shared" si="426"/>
        <v>OK</v>
      </c>
      <c r="DO358" s="154" t="str">
        <f t="shared" si="427"/>
        <v>OK</v>
      </c>
      <c r="DP358" s="153" t="str">
        <f t="shared" si="481"/>
        <v>OK</v>
      </c>
      <c r="DQ358" s="313" t="str">
        <f t="shared" si="482"/>
        <v>OK</v>
      </c>
      <c r="DR358" s="153" t="str">
        <f t="shared" si="428"/>
        <v>OK</v>
      </c>
      <c r="DS358" s="153" t="str">
        <f t="shared" si="483"/>
        <v>OK</v>
      </c>
      <c r="DT358" s="313" t="str">
        <f t="shared" si="441"/>
        <v>OK</v>
      </c>
      <c r="DU358" s="153" t="str">
        <f t="shared" si="484"/>
        <v>OK</v>
      </c>
      <c r="DV358" s="153" t="str">
        <f t="shared" si="429"/>
        <v>OK</v>
      </c>
      <c r="DW358" s="154" t="str">
        <f t="shared" si="430"/>
        <v>OK</v>
      </c>
      <c r="DX358" s="157">
        <f t="shared" si="431"/>
        <v>0</v>
      </c>
      <c r="DY358" s="156" t="str">
        <f t="shared" si="432"/>
        <v>OK</v>
      </c>
    </row>
    <row r="359" spans="1:129" ht="13" hidden="1" x14ac:dyDescent="0.3">
      <c r="A359" s="333"/>
      <c r="B359" s="333"/>
      <c r="C359" s="331" t="str">
        <f t="shared" si="440"/>
        <v>-</v>
      </c>
      <c r="D359" s="584">
        <f t="shared" si="412"/>
        <v>336</v>
      </c>
      <c r="E359" s="585"/>
      <c r="F359" s="586"/>
      <c r="G359" s="600"/>
      <c r="H359" s="587"/>
      <c r="I359" s="601"/>
      <c r="J359" s="585"/>
      <c r="K359" s="617"/>
      <c r="L359" s="602"/>
      <c r="M359" s="603"/>
      <c r="N359" s="588"/>
      <c r="O359" s="604"/>
      <c r="P359" s="605"/>
      <c r="Q359" s="588"/>
      <c r="R359" s="604"/>
      <c r="S359" s="605"/>
      <c r="T359" s="606"/>
      <c r="U359" s="606"/>
      <c r="V359" s="429" t="str">
        <f t="shared" si="437"/>
        <v/>
      </c>
      <c r="W359" s="430" t="str">
        <f t="shared" si="436"/>
        <v/>
      </c>
      <c r="X359" s="66" t="str">
        <f>IF(AND(ISNUMBER(P359),N359=FixedDim),MAX('Adjustment factors'!$S$16,0.2+0.8*P359),IF(ISTEXT(N359),VLOOKUP(N359,Afactors,2,TRUE),""))</f>
        <v/>
      </c>
      <c r="Y359" s="17" t="str">
        <f>IF(AND(ISNUMBER(S359),Q359=FixedDim),MAX('Adjustment factors'!$S$16,0.2+0.8*S359),IF(ISTEXT(Q359),VLOOKUP(Q359,Afactors,2,TRUE),""))</f>
        <v/>
      </c>
      <c r="Z359" s="297" t="str">
        <f>IF(ISBLANK(T359),"",VLOOKUP(T359,'Adjustment factors'!$R$27:$S$30,2,TRUE))</f>
        <v/>
      </c>
      <c r="AA359" s="297" t="str">
        <f>IF(ISBLANK(U359),"",VLOOKUP(U359,'Adjustment factors'!$R$27:$S$30,2,TRUE))</f>
        <v/>
      </c>
      <c r="AB359" s="480">
        <f t="shared" si="485"/>
        <v>1</v>
      </c>
      <c r="AC359" s="18" t="b">
        <f t="shared" si="442"/>
        <v>0</v>
      </c>
      <c r="AD359" s="18" t="b">
        <f t="shared" si="443"/>
        <v>0</v>
      </c>
      <c r="AE359" s="18" t="b">
        <f t="shared" si="433"/>
        <v>0</v>
      </c>
      <c r="AF359" s="17" t="str">
        <f t="shared" si="444"/>
        <v/>
      </c>
      <c r="AG359" s="18" t="str">
        <f t="shared" si="445"/>
        <v/>
      </c>
      <c r="AH359" s="17" t="str">
        <f t="shared" si="434"/>
        <v/>
      </c>
      <c r="AI359" s="297" t="e">
        <f t="shared" si="486"/>
        <v>#VALUE!</v>
      </c>
      <c r="AJ359" s="79" t="e">
        <f t="shared" si="446"/>
        <v>#VALUE!</v>
      </c>
      <c r="AK359" s="17" t="str">
        <f t="shared" si="435"/>
        <v/>
      </c>
      <c r="AL359" s="80" t="e">
        <f t="shared" si="447"/>
        <v>#VALUE!</v>
      </c>
      <c r="AM359" s="139" t="b">
        <f t="shared" si="448"/>
        <v>1</v>
      </c>
      <c r="AN359" s="139" t="b">
        <f>AND(COUNTA(E359)&gt;0,ISNUMBER(F359),OR(COUNT(G359:H359)=0,COUNT(G359:H359)=2,AND(ISNUMBER(G359),ISNUMBER(VALUE(LEFT(H359,SUM(LEN(H359)-LEN(SUBSTITUTE(H359,{"0","1","2","3","4","5","6","7","8","9","."},"")))))))),ISNUMBER(I359),ISTEXT(J359))</f>
        <v>0</v>
      </c>
      <c r="AO359" s="19" t="b">
        <f t="shared" si="449"/>
        <v>0</v>
      </c>
      <c r="AP359" s="19" t="b">
        <f t="shared" si="450"/>
        <v>1</v>
      </c>
      <c r="AQ359" s="19" t="b">
        <f>IF(AND(COUNTBLANK(E359:J359)=6,OR(AN360:AN$523)),NOT(AN359))</f>
        <v>0</v>
      </c>
      <c r="AR359" s="19" t="str">
        <f t="shared" si="451"/>
        <v/>
      </c>
      <c r="AS359" s="19" t="b">
        <f t="shared" si="452"/>
        <v>1</v>
      </c>
      <c r="AT359" s="19" t="str">
        <f t="shared" si="453"/>
        <v/>
      </c>
      <c r="AU359" s="19" t="b">
        <f t="shared" si="454"/>
        <v>1</v>
      </c>
      <c r="AV359" s="140" t="str">
        <f t="shared" si="417"/>
        <v/>
      </c>
      <c r="AW359" s="19" t="str">
        <f t="shared" si="455"/>
        <v/>
      </c>
      <c r="AX359" s="81">
        <f t="shared" si="456"/>
        <v>0</v>
      </c>
      <c r="AY359" s="81" t="str">
        <f t="shared" si="457"/>
        <v/>
      </c>
      <c r="AZ359" s="307" t="str">
        <f t="shared" si="487"/>
        <v/>
      </c>
      <c r="BA359" s="281" t="str">
        <f t="shared" si="418"/>
        <v/>
      </c>
      <c r="BB359" s="281" t="str">
        <f t="shared" si="419"/>
        <v/>
      </c>
      <c r="BC359" s="953"/>
      <c r="BD359" s="955"/>
      <c r="BE359" s="219" t="str">
        <f t="shared" si="458"/>
        <v>n/a</v>
      </c>
      <c r="BF359" s="215" t="b">
        <f t="shared" si="459"/>
        <v>0</v>
      </c>
      <c r="BG359" s="145" t="b">
        <f t="shared" si="460"/>
        <v>0</v>
      </c>
      <c r="BH359" s="145" t="b">
        <f t="shared" si="461"/>
        <v>0</v>
      </c>
      <c r="BI359" s="216" t="b">
        <f t="shared" si="462"/>
        <v>0</v>
      </c>
      <c r="BJ359" s="215" t="b">
        <f t="shared" si="463"/>
        <v>0</v>
      </c>
      <c r="BK359" s="145" t="b">
        <f t="shared" si="464"/>
        <v>0</v>
      </c>
      <c r="BL359" s="216" t="b">
        <f t="shared" si="465"/>
        <v>0</v>
      </c>
      <c r="BM359" s="217" t="str">
        <f t="shared" si="420"/>
        <v/>
      </c>
      <c r="BN359" s="146" t="str">
        <f t="shared" si="421"/>
        <v/>
      </c>
      <c r="BO359" s="147" t="str">
        <f t="shared" si="422"/>
        <v/>
      </c>
      <c r="BP359" s="148" t="str">
        <f t="shared" si="423"/>
        <v/>
      </c>
      <c r="BT359" s="50">
        <f t="shared" si="413"/>
        <v>336</v>
      </c>
      <c r="BU359" s="50" t="str">
        <f t="shared" si="439"/>
        <v>-</v>
      </c>
      <c r="BW359" s="333"/>
      <c r="BX359" s="333"/>
      <c r="BY359" s="333"/>
      <c r="BZ359" s="333"/>
      <c r="CA359" s="333"/>
      <c r="CB359" s="333"/>
      <c r="CC359" s="333"/>
      <c r="CD359" s="333"/>
      <c r="CE359" s="333"/>
      <c r="CF359" s="333"/>
      <c r="CG359" s="354">
        <f t="shared" si="466"/>
        <v>336</v>
      </c>
      <c r="CH359" s="613">
        <f t="shared" si="467"/>
        <v>0</v>
      </c>
      <c r="CI359" s="613">
        <f t="shared" si="468"/>
        <v>0</v>
      </c>
      <c r="CJ359" s="614" t="str">
        <f t="shared" si="469"/>
        <v/>
      </c>
      <c r="CK359" s="615" t="str">
        <f t="shared" si="470"/>
        <v/>
      </c>
      <c r="CL359" s="610" t="str">
        <f>IF(ISBLANK(H359),"",IF(AND(ISNUMBER(F359),ISNUMBER(G359),ISNUMBER(H359)),ROUND(F359/(H359*G359),2),ROUND(F359/(VALUE(LEFT(H359,SUM(LEN(H359)-LEN(SUBSTITUTE(H359,{"0","1","2","3","4","5","6","7","8","9","."},"")))))*G359),2)))</f>
        <v/>
      </c>
      <c r="CM359" s="616" t="str">
        <f t="shared" si="424"/>
        <v/>
      </c>
      <c r="CN359" s="616" t="str">
        <f>IF(ISNUMBER(P359),MAX('Adjustment factors'!$S$16,(0.2+0.8*P359)),IF(ISTEXT(N359),VLOOKUP(N359,Afactors,2,FALSE),""))</f>
        <v/>
      </c>
      <c r="CO359" s="616" t="str">
        <f>IF(ISNUMBER(S359),MAX('Adjustment factors'!$S$16,0.2+0.8*S359),IF(ISTEXT(Q359),VLOOKUP(Q359,Afactors,2,FALSE),""))</f>
        <v/>
      </c>
      <c r="CP359" s="611" t="str">
        <f t="shared" si="488"/>
        <v/>
      </c>
      <c r="CQ359" s="612" t="str">
        <f t="shared" si="489"/>
        <v/>
      </c>
      <c r="CR359" s="340"/>
      <c r="CS359" s="340"/>
      <c r="CT359" s="340"/>
      <c r="CU359" s="340"/>
      <c r="CV359" s="333"/>
      <c r="CW359" s="333"/>
      <c r="CX359" s="333"/>
      <c r="CY359" s="333"/>
      <c r="DA359" s="313" t="str">
        <f t="shared" si="471"/>
        <v>OK</v>
      </c>
      <c r="DB359" s="313" t="str">
        <f t="shared" si="472"/>
        <v>OK</v>
      </c>
      <c r="DC359" s="313" t="str">
        <f t="shared" si="473"/>
        <v>OK</v>
      </c>
      <c r="DD359" s="313" t="str">
        <f t="shared" si="474"/>
        <v>OK</v>
      </c>
      <c r="DE359" s="153" t="str">
        <f t="shared" si="475"/>
        <v>OK</v>
      </c>
      <c r="DF359" s="314" t="str">
        <f t="shared" si="476"/>
        <v>OK</v>
      </c>
      <c r="DG359" s="482" t="str">
        <f t="shared" si="490"/>
        <v>OK</v>
      </c>
      <c r="DH359" s="482" t="str">
        <f>IF(OR(AND(T359='Adjustment factors'!$R$28,'Class 3, 5-9'!U359='Adjustment factors'!$R$29),AND('Class 3, 5-9'!T359='Adjustment factors'!$R$29,'Class 3, 5-9'!U359='Adjustment factors'!$R$28)),"Invalid combination of adjustment factors",IF(AND(T359=U359,NOT(ISBLANK(T359)),NOT(ISBLANK(U359))),"Same colour factor selected twice","OK"))</f>
        <v>OK</v>
      </c>
      <c r="DI359" s="313" t="str">
        <f t="shared" si="477"/>
        <v>OK</v>
      </c>
      <c r="DJ359" s="153" t="str">
        <f t="shared" si="425"/>
        <v>OK</v>
      </c>
      <c r="DK359" s="153" t="str">
        <f t="shared" si="478"/>
        <v>OK</v>
      </c>
      <c r="DL359" s="313" t="str">
        <f t="shared" si="479"/>
        <v>OK</v>
      </c>
      <c r="DM359" s="153" t="str">
        <f t="shared" si="480"/>
        <v>OK</v>
      </c>
      <c r="DN359" s="153" t="str">
        <f t="shared" si="426"/>
        <v>OK</v>
      </c>
      <c r="DO359" s="154" t="str">
        <f t="shared" si="427"/>
        <v>OK</v>
      </c>
      <c r="DP359" s="153" t="str">
        <f t="shared" si="481"/>
        <v>OK</v>
      </c>
      <c r="DQ359" s="313" t="str">
        <f t="shared" si="482"/>
        <v>OK</v>
      </c>
      <c r="DR359" s="153" t="str">
        <f t="shared" si="428"/>
        <v>OK</v>
      </c>
      <c r="DS359" s="153" t="str">
        <f t="shared" si="483"/>
        <v>OK</v>
      </c>
      <c r="DT359" s="313" t="str">
        <f t="shared" si="441"/>
        <v>OK</v>
      </c>
      <c r="DU359" s="153" t="str">
        <f t="shared" si="484"/>
        <v>OK</v>
      </c>
      <c r="DV359" s="153" t="str">
        <f t="shared" si="429"/>
        <v>OK</v>
      </c>
      <c r="DW359" s="154" t="str">
        <f t="shared" si="430"/>
        <v>OK</v>
      </c>
      <c r="DX359" s="157">
        <f t="shared" si="431"/>
        <v>0</v>
      </c>
      <c r="DY359" s="156" t="str">
        <f t="shared" si="432"/>
        <v>OK</v>
      </c>
    </row>
    <row r="360" spans="1:129" ht="13" hidden="1" x14ac:dyDescent="0.3">
      <c r="A360" s="333"/>
      <c r="B360" s="333"/>
      <c r="C360" s="331" t="str">
        <f t="shared" si="440"/>
        <v>-</v>
      </c>
      <c r="D360" s="584">
        <f t="shared" si="412"/>
        <v>337</v>
      </c>
      <c r="E360" s="585"/>
      <c r="F360" s="586"/>
      <c r="G360" s="600"/>
      <c r="H360" s="587"/>
      <c r="I360" s="601"/>
      <c r="J360" s="585"/>
      <c r="K360" s="617"/>
      <c r="L360" s="602"/>
      <c r="M360" s="603"/>
      <c r="N360" s="588"/>
      <c r="O360" s="604"/>
      <c r="P360" s="605"/>
      <c r="Q360" s="588"/>
      <c r="R360" s="604"/>
      <c r="S360" s="605"/>
      <c r="T360" s="606"/>
      <c r="U360" s="606"/>
      <c r="V360" s="429" t="str">
        <f t="shared" si="437"/>
        <v/>
      </c>
      <c r="W360" s="430" t="str">
        <f t="shared" si="436"/>
        <v/>
      </c>
      <c r="X360" s="66" t="str">
        <f>IF(AND(ISNUMBER(P360),N360=FixedDim),MAX('Adjustment factors'!$S$16,0.2+0.8*P360),IF(ISTEXT(N360),VLOOKUP(N360,Afactors,2,TRUE),""))</f>
        <v/>
      </c>
      <c r="Y360" s="17" t="str">
        <f>IF(AND(ISNUMBER(S360),Q360=FixedDim),MAX('Adjustment factors'!$S$16,0.2+0.8*S360),IF(ISTEXT(Q360),VLOOKUP(Q360,Afactors,2,TRUE),""))</f>
        <v/>
      </c>
      <c r="Z360" s="297" t="str">
        <f>IF(ISBLANK(T360),"",VLOOKUP(T360,'Adjustment factors'!$R$27:$S$30,2,TRUE))</f>
        <v/>
      </c>
      <c r="AA360" s="297" t="str">
        <f>IF(ISBLANK(U360),"",VLOOKUP(U360,'Adjustment factors'!$R$27:$S$30,2,TRUE))</f>
        <v/>
      </c>
      <c r="AB360" s="480">
        <f t="shared" si="485"/>
        <v>1</v>
      </c>
      <c r="AC360" s="18" t="b">
        <f t="shared" si="442"/>
        <v>0</v>
      </c>
      <c r="AD360" s="18" t="b">
        <f t="shared" si="443"/>
        <v>0</v>
      </c>
      <c r="AE360" s="18" t="b">
        <f t="shared" si="433"/>
        <v>0</v>
      </c>
      <c r="AF360" s="17" t="str">
        <f t="shared" si="444"/>
        <v/>
      </c>
      <c r="AG360" s="18" t="str">
        <f t="shared" si="445"/>
        <v/>
      </c>
      <c r="AH360" s="17" t="str">
        <f t="shared" si="434"/>
        <v/>
      </c>
      <c r="AI360" s="297" t="e">
        <f t="shared" si="486"/>
        <v>#VALUE!</v>
      </c>
      <c r="AJ360" s="79" t="e">
        <f t="shared" si="446"/>
        <v>#VALUE!</v>
      </c>
      <c r="AK360" s="17" t="str">
        <f t="shared" si="435"/>
        <v/>
      </c>
      <c r="AL360" s="80" t="e">
        <f t="shared" si="447"/>
        <v>#VALUE!</v>
      </c>
      <c r="AM360" s="139" t="b">
        <f t="shared" si="448"/>
        <v>1</v>
      </c>
      <c r="AN360" s="139" t="b">
        <f>AND(COUNTA(E360)&gt;0,ISNUMBER(F360),OR(COUNT(G360:H360)=0,COUNT(G360:H360)=2,AND(ISNUMBER(G360),ISNUMBER(VALUE(LEFT(H360,SUM(LEN(H360)-LEN(SUBSTITUTE(H360,{"0","1","2","3","4","5","6","7","8","9","."},"")))))))),ISNUMBER(I360),ISTEXT(J360))</f>
        <v>0</v>
      </c>
      <c r="AO360" s="19" t="b">
        <f t="shared" si="449"/>
        <v>0</v>
      </c>
      <c r="AP360" s="19" t="b">
        <f t="shared" si="450"/>
        <v>1</v>
      </c>
      <c r="AQ360" s="19" t="b">
        <f>IF(AND(COUNTBLANK(E360:J360)=6,OR(AN361:AN$523)),NOT(AN360))</f>
        <v>0</v>
      </c>
      <c r="AR360" s="19" t="str">
        <f t="shared" si="451"/>
        <v/>
      </c>
      <c r="AS360" s="19" t="b">
        <f t="shared" si="452"/>
        <v>1</v>
      </c>
      <c r="AT360" s="19" t="str">
        <f t="shared" si="453"/>
        <v/>
      </c>
      <c r="AU360" s="19" t="b">
        <f t="shared" si="454"/>
        <v>1</v>
      </c>
      <c r="AV360" s="140" t="str">
        <f t="shared" si="417"/>
        <v/>
      </c>
      <c r="AW360" s="19" t="str">
        <f t="shared" si="455"/>
        <v/>
      </c>
      <c r="AX360" s="81">
        <f t="shared" si="456"/>
        <v>0</v>
      </c>
      <c r="AY360" s="81" t="str">
        <f t="shared" si="457"/>
        <v/>
      </c>
      <c r="AZ360" s="307" t="str">
        <f t="shared" si="487"/>
        <v/>
      </c>
      <c r="BA360" s="281" t="str">
        <f t="shared" si="418"/>
        <v/>
      </c>
      <c r="BB360" s="281" t="str">
        <f t="shared" si="419"/>
        <v/>
      </c>
      <c r="BC360" s="953"/>
      <c r="BD360" s="955"/>
      <c r="BE360" s="219" t="str">
        <f t="shared" si="458"/>
        <v>n/a</v>
      </c>
      <c r="BF360" s="215" t="b">
        <f t="shared" si="459"/>
        <v>0</v>
      </c>
      <c r="BG360" s="145" t="b">
        <f t="shared" si="460"/>
        <v>0</v>
      </c>
      <c r="BH360" s="145" t="b">
        <f t="shared" si="461"/>
        <v>0</v>
      </c>
      <c r="BI360" s="216" t="b">
        <f t="shared" si="462"/>
        <v>0</v>
      </c>
      <c r="BJ360" s="215" t="b">
        <f t="shared" si="463"/>
        <v>0</v>
      </c>
      <c r="BK360" s="145" t="b">
        <f t="shared" si="464"/>
        <v>0</v>
      </c>
      <c r="BL360" s="216" t="b">
        <f t="shared" si="465"/>
        <v>0</v>
      </c>
      <c r="BM360" s="217" t="str">
        <f t="shared" si="420"/>
        <v/>
      </c>
      <c r="BN360" s="146" t="str">
        <f t="shared" si="421"/>
        <v/>
      </c>
      <c r="BO360" s="147" t="str">
        <f t="shared" si="422"/>
        <v/>
      </c>
      <c r="BP360" s="148" t="str">
        <f t="shared" si="423"/>
        <v/>
      </c>
      <c r="BT360" s="50">
        <f t="shared" si="413"/>
        <v>337</v>
      </c>
      <c r="BU360" s="50" t="str">
        <f t="shared" si="439"/>
        <v>-</v>
      </c>
      <c r="BW360" s="333"/>
      <c r="BX360" s="333"/>
      <c r="BY360" s="333"/>
      <c r="BZ360" s="333"/>
      <c r="CA360" s="333"/>
      <c r="CB360" s="333"/>
      <c r="CC360" s="333"/>
      <c r="CD360" s="333"/>
      <c r="CE360" s="333"/>
      <c r="CF360" s="333"/>
      <c r="CG360" s="354">
        <f t="shared" si="466"/>
        <v>337</v>
      </c>
      <c r="CH360" s="613">
        <f t="shared" si="467"/>
        <v>0</v>
      </c>
      <c r="CI360" s="613">
        <f t="shared" si="468"/>
        <v>0</v>
      </c>
      <c r="CJ360" s="614" t="str">
        <f t="shared" si="469"/>
        <v/>
      </c>
      <c r="CK360" s="615" t="str">
        <f t="shared" si="470"/>
        <v/>
      </c>
      <c r="CL360" s="610" t="str">
        <f>IF(ISBLANK(H360),"",IF(AND(ISNUMBER(F360),ISNUMBER(G360),ISNUMBER(H360)),ROUND(F360/(H360*G360),2),ROUND(F360/(VALUE(LEFT(H360,SUM(LEN(H360)-LEN(SUBSTITUTE(H360,{"0","1","2","3","4","5","6","7","8","9","."},"")))))*G360),2)))</f>
        <v/>
      </c>
      <c r="CM360" s="616" t="str">
        <f t="shared" si="424"/>
        <v/>
      </c>
      <c r="CN360" s="616" t="str">
        <f>IF(ISNUMBER(P360),MAX('Adjustment factors'!$S$16,(0.2+0.8*P360)),IF(ISTEXT(N360),VLOOKUP(N360,Afactors,2,FALSE),""))</f>
        <v/>
      </c>
      <c r="CO360" s="616" t="str">
        <f>IF(ISNUMBER(S360),MAX('Adjustment factors'!$S$16,0.2+0.8*S360),IF(ISTEXT(Q360),VLOOKUP(Q360,Afactors,2,FALSE),""))</f>
        <v/>
      </c>
      <c r="CP360" s="611" t="str">
        <f t="shared" si="488"/>
        <v/>
      </c>
      <c r="CQ360" s="612" t="str">
        <f t="shared" si="489"/>
        <v/>
      </c>
      <c r="CR360" s="340"/>
      <c r="CS360" s="340"/>
      <c r="CT360" s="340"/>
      <c r="CU360" s="340"/>
      <c r="CV360" s="333"/>
      <c r="CW360" s="333"/>
      <c r="CX360" s="333"/>
      <c r="CY360" s="333"/>
      <c r="DA360" s="313" t="str">
        <f t="shared" si="471"/>
        <v>OK</v>
      </c>
      <c r="DB360" s="313" t="str">
        <f t="shared" si="472"/>
        <v>OK</v>
      </c>
      <c r="DC360" s="313" t="str">
        <f t="shared" si="473"/>
        <v>OK</v>
      </c>
      <c r="DD360" s="313" t="str">
        <f t="shared" si="474"/>
        <v>OK</v>
      </c>
      <c r="DE360" s="153" t="str">
        <f t="shared" si="475"/>
        <v>OK</v>
      </c>
      <c r="DF360" s="314" t="str">
        <f t="shared" si="476"/>
        <v>OK</v>
      </c>
      <c r="DG360" s="482" t="str">
        <f t="shared" si="490"/>
        <v>OK</v>
      </c>
      <c r="DH360" s="482" t="str">
        <f>IF(OR(AND(T360='Adjustment factors'!$R$28,'Class 3, 5-9'!U360='Adjustment factors'!$R$29),AND('Class 3, 5-9'!T360='Adjustment factors'!$R$29,'Class 3, 5-9'!U360='Adjustment factors'!$R$28)),"Invalid combination of adjustment factors",IF(AND(T360=U360,NOT(ISBLANK(T360)),NOT(ISBLANK(U360))),"Same colour factor selected twice","OK"))</f>
        <v>OK</v>
      </c>
      <c r="DI360" s="313" t="str">
        <f t="shared" si="477"/>
        <v>OK</v>
      </c>
      <c r="DJ360" s="153" t="str">
        <f t="shared" si="425"/>
        <v>OK</v>
      </c>
      <c r="DK360" s="153" t="str">
        <f t="shared" si="478"/>
        <v>OK</v>
      </c>
      <c r="DL360" s="313" t="str">
        <f t="shared" si="479"/>
        <v>OK</v>
      </c>
      <c r="DM360" s="153" t="str">
        <f t="shared" si="480"/>
        <v>OK</v>
      </c>
      <c r="DN360" s="153" t="str">
        <f t="shared" si="426"/>
        <v>OK</v>
      </c>
      <c r="DO360" s="154" t="str">
        <f t="shared" si="427"/>
        <v>OK</v>
      </c>
      <c r="DP360" s="153" t="str">
        <f t="shared" si="481"/>
        <v>OK</v>
      </c>
      <c r="DQ360" s="313" t="str">
        <f t="shared" si="482"/>
        <v>OK</v>
      </c>
      <c r="DR360" s="153" t="str">
        <f t="shared" si="428"/>
        <v>OK</v>
      </c>
      <c r="DS360" s="153" t="str">
        <f t="shared" si="483"/>
        <v>OK</v>
      </c>
      <c r="DT360" s="313" t="str">
        <f t="shared" si="441"/>
        <v>OK</v>
      </c>
      <c r="DU360" s="153" t="str">
        <f t="shared" si="484"/>
        <v>OK</v>
      </c>
      <c r="DV360" s="153" t="str">
        <f t="shared" si="429"/>
        <v>OK</v>
      </c>
      <c r="DW360" s="154" t="str">
        <f t="shared" si="430"/>
        <v>OK</v>
      </c>
      <c r="DX360" s="157">
        <f t="shared" si="431"/>
        <v>0</v>
      </c>
      <c r="DY360" s="156" t="str">
        <f t="shared" si="432"/>
        <v>OK</v>
      </c>
    </row>
    <row r="361" spans="1:129" ht="13" hidden="1" x14ac:dyDescent="0.3">
      <c r="A361" s="333"/>
      <c r="B361" s="333"/>
      <c r="C361" s="331" t="str">
        <f t="shared" si="440"/>
        <v>-</v>
      </c>
      <c r="D361" s="584">
        <f t="shared" si="412"/>
        <v>338</v>
      </c>
      <c r="E361" s="585"/>
      <c r="F361" s="586"/>
      <c r="G361" s="600"/>
      <c r="H361" s="587"/>
      <c r="I361" s="601"/>
      <c r="J361" s="585"/>
      <c r="K361" s="617"/>
      <c r="L361" s="602"/>
      <c r="M361" s="603"/>
      <c r="N361" s="588"/>
      <c r="O361" s="604"/>
      <c r="P361" s="605"/>
      <c r="Q361" s="588"/>
      <c r="R361" s="604"/>
      <c r="S361" s="605"/>
      <c r="T361" s="606"/>
      <c r="U361" s="606"/>
      <c r="V361" s="429" t="str">
        <f t="shared" si="437"/>
        <v/>
      </c>
      <c r="W361" s="430" t="str">
        <f t="shared" si="436"/>
        <v/>
      </c>
      <c r="X361" s="66" t="str">
        <f>IF(AND(ISNUMBER(P361),N361=FixedDim),MAX('Adjustment factors'!$S$16,0.2+0.8*P361),IF(ISTEXT(N361),VLOOKUP(N361,Afactors,2,TRUE),""))</f>
        <v/>
      </c>
      <c r="Y361" s="17" t="str">
        <f>IF(AND(ISNUMBER(S361),Q361=FixedDim),MAX('Adjustment factors'!$S$16,0.2+0.8*S361),IF(ISTEXT(Q361),VLOOKUP(Q361,Afactors,2,TRUE),""))</f>
        <v/>
      </c>
      <c r="Z361" s="297" t="str">
        <f>IF(ISBLANK(T361),"",VLOOKUP(T361,'Adjustment factors'!$R$27:$S$30,2,TRUE))</f>
        <v/>
      </c>
      <c r="AA361" s="297" t="str">
        <f>IF(ISBLANK(U361),"",VLOOKUP(U361,'Adjustment factors'!$R$27:$S$30,2,TRUE))</f>
        <v/>
      </c>
      <c r="AB361" s="480">
        <f t="shared" si="485"/>
        <v>1</v>
      </c>
      <c r="AC361" s="18" t="b">
        <f t="shared" si="442"/>
        <v>0</v>
      </c>
      <c r="AD361" s="18" t="b">
        <f t="shared" si="443"/>
        <v>0</v>
      </c>
      <c r="AE361" s="18" t="b">
        <f t="shared" si="433"/>
        <v>0</v>
      </c>
      <c r="AF361" s="17" t="str">
        <f t="shared" si="444"/>
        <v/>
      </c>
      <c r="AG361" s="18" t="str">
        <f t="shared" si="445"/>
        <v/>
      </c>
      <c r="AH361" s="17" t="str">
        <f t="shared" si="434"/>
        <v/>
      </c>
      <c r="AI361" s="297" t="e">
        <f t="shared" si="486"/>
        <v>#VALUE!</v>
      </c>
      <c r="AJ361" s="79" t="e">
        <f t="shared" si="446"/>
        <v>#VALUE!</v>
      </c>
      <c r="AK361" s="17" t="str">
        <f t="shared" si="435"/>
        <v/>
      </c>
      <c r="AL361" s="80" t="e">
        <f t="shared" si="447"/>
        <v>#VALUE!</v>
      </c>
      <c r="AM361" s="139" t="b">
        <f t="shared" si="448"/>
        <v>1</v>
      </c>
      <c r="AN361" s="139" t="b">
        <f>AND(COUNTA(E361)&gt;0,ISNUMBER(F361),OR(COUNT(G361:H361)=0,COUNT(G361:H361)=2,AND(ISNUMBER(G361),ISNUMBER(VALUE(LEFT(H361,SUM(LEN(H361)-LEN(SUBSTITUTE(H361,{"0","1","2","3","4","5","6","7","8","9","."},"")))))))),ISNUMBER(I361),ISTEXT(J361))</f>
        <v>0</v>
      </c>
      <c r="AO361" s="19" t="b">
        <f t="shared" si="449"/>
        <v>0</v>
      </c>
      <c r="AP361" s="19" t="b">
        <f t="shared" si="450"/>
        <v>1</v>
      </c>
      <c r="AQ361" s="19" t="b">
        <f>IF(AND(COUNTBLANK(E361:J361)=6,OR(AN362:AN$523)),NOT(AN361))</f>
        <v>0</v>
      </c>
      <c r="AR361" s="19" t="str">
        <f t="shared" si="451"/>
        <v/>
      </c>
      <c r="AS361" s="19" t="b">
        <f t="shared" si="452"/>
        <v>1</v>
      </c>
      <c r="AT361" s="19" t="str">
        <f t="shared" si="453"/>
        <v/>
      </c>
      <c r="AU361" s="19" t="b">
        <f t="shared" si="454"/>
        <v>1</v>
      </c>
      <c r="AV361" s="140" t="str">
        <f t="shared" si="417"/>
        <v/>
      </c>
      <c r="AW361" s="19" t="str">
        <f t="shared" si="455"/>
        <v/>
      </c>
      <c r="AX361" s="81">
        <f t="shared" si="456"/>
        <v>0</v>
      </c>
      <c r="AY361" s="81" t="str">
        <f t="shared" si="457"/>
        <v/>
      </c>
      <c r="AZ361" s="307" t="str">
        <f t="shared" si="487"/>
        <v/>
      </c>
      <c r="BA361" s="281" t="str">
        <f t="shared" si="418"/>
        <v/>
      </c>
      <c r="BB361" s="281" t="str">
        <f t="shared" si="419"/>
        <v/>
      </c>
      <c r="BC361" s="953"/>
      <c r="BD361" s="955"/>
      <c r="BE361" s="219" t="str">
        <f t="shared" si="458"/>
        <v>n/a</v>
      </c>
      <c r="BF361" s="215" t="b">
        <f t="shared" si="459"/>
        <v>0</v>
      </c>
      <c r="BG361" s="145" t="b">
        <f t="shared" si="460"/>
        <v>0</v>
      </c>
      <c r="BH361" s="145" t="b">
        <f t="shared" si="461"/>
        <v>0</v>
      </c>
      <c r="BI361" s="216" t="b">
        <f t="shared" si="462"/>
        <v>0</v>
      </c>
      <c r="BJ361" s="215" t="b">
        <f t="shared" si="463"/>
        <v>0</v>
      </c>
      <c r="BK361" s="145" t="b">
        <f t="shared" si="464"/>
        <v>0</v>
      </c>
      <c r="BL361" s="216" t="b">
        <f t="shared" si="465"/>
        <v>0</v>
      </c>
      <c r="BM361" s="217" t="str">
        <f t="shared" si="420"/>
        <v/>
      </c>
      <c r="BN361" s="146" t="str">
        <f t="shared" si="421"/>
        <v/>
      </c>
      <c r="BO361" s="147" t="str">
        <f t="shared" si="422"/>
        <v/>
      </c>
      <c r="BP361" s="148" t="str">
        <f t="shared" si="423"/>
        <v/>
      </c>
      <c r="BT361" s="50">
        <f t="shared" si="413"/>
        <v>338</v>
      </c>
      <c r="BU361" s="50" t="str">
        <f t="shared" si="439"/>
        <v>-</v>
      </c>
      <c r="BW361" s="333"/>
      <c r="BX361" s="333"/>
      <c r="BY361" s="333"/>
      <c r="BZ361" s="333"/>
      <c r="CA361" s="333"/>
      <c r="CB361" s="333"/>
      <c r="CC361" s="333"/>
      <c r="CD361" s="333"/>
      <c r="CE361" s="333"/>
      <c r="CF361" s="333"/>
      <c r="CG361" s="354">
        <f t="shared" si="466"/>
        <v>338</v>
      </c>
      <c r="CH361" s="613">
        <f t="shared" si="467"/>
        <v>0</v>
      </c>
      <c r="CI361" s="613">
        <f t="shared" si="468"/>
        <v>0</v>
      </c>
      <c r="CJ361" s="614" t="str">
        <f t="shared" si="469"/>
        <v/>
      </c>
      <c r="CK361" s="615" t="str">
        <f t="shared" si="470"/>
        <v/>
      </c>
      <c r="CL361" s="610" t="str">
        <f>IF(ISBLANK(H361),"",IF(AND(ISNUMBER(F361),ISNUMBER(G361),ISNUMBER(H361)),ROUND(F361/(H361*G361),2),ROUND(F361/(VALUE(LEFT(H361,SUM(LEN(H361)-LEN(SUBSTITUTE(H361,{"0","1","2","3","4","5","6","7","8","9","."},"")))))*G361),2)))</f>
        <v/>
      </c>
      <c r="CM361" s="616" t="str">
        <f t="shared" si="424"/>
        <v/>
      </c>
      <c r="CN361" s="616" t="str">
        <f>IF(ISNUMBER(P361),MAX('Adjustment factors'!$S$16,(0.2+0.8*P361)),IF(ISTEXT(N361),VLOOKUP(N361,Afactors,2,FALSE),""))</f>
        <v/>
      </c>
      <c r="CO361" s="616" t="str">
        <f>IF(ISNUMBER(S361),MAX('Adjustment factors'!$S$16,0.2+0.8*S361),IF(ISTEXT(Q361),VLOOKUP(Q361,Afactors,2,FALSE),""))</f>
        <v/>
      </c>
      <c r="CP361" s="611" t="str">
        <f t="shared" si="488"/>
        <v/>
      </c>
      <c r="CQ361" s="612" t="str">
        <f t="shared" si="489"/>
        <v/>
      </c>
      <c r="CR361" s="340"/>
      <c r="CS361" s="340"/>
      <c r="CT361" s="340"/>
      <c r="CU361" s="340"/>
      <c r="CV361" s="333"/>
      <c r="CW361" s="333"/>
      <c r="CX361" s="333"/>
      <c r="CY361" s="333"/>
      <c r="DA361" s="313" t="str">
        <f t="shared" si="471"/>
        <v>OK</v>
      </c>
      <c r="DB361" s="313" t="str">
        <f t="shared" si="472"/>
        <v>OK</v>
      </c>
      <c r="DC361" s="313" t="str">
        <f t="shared" si="473"/>
        <v>OK</v>
      </c>
      <c r="DD361" s="313" t="str">
        <f t="shared" si="474"/>
        <v>OK</v>
      </c>
      <c r="DE361" s="153" t="str">
        <f t="shared" si="475"/>
        <v>OK</v>
      </c>
      <c r="DF361" s="314" t="str">
        <f t="shared" si="476"/>
        <v>OK</v>
      </c>
      <c r="DG361" s="482" t="str">
        <f t="shared" si="490"/>
        <v>OK</v>
      </c>
      <c r="DH361" s="482" t="str">
        <f>IF(OR(AND(T361='Adjustment factors'!$R$28,'Class 3, 5-9'!U361='Adjustment factors'!$R$29),AND('Class 3, 5-9'!T361='Adjustment factors'!$R$29,'Class 3, 5-9'!U361='Adjustment factors'!$R$28)),"Invalid combination of adjustment factors",IF(AND(T361=U361,NOT(ISBLANK(T361)),NOT(ISBLANK(U361))),"Same colour factor selected twice","OK"))</f>
        <v>OK</v>
      </c>
      <c r="DI361" s="313" t="str">
        <f t="shared" si="477"/>
        <v>OK</v>
      </c>
      <c r="DJ361" s="153" t="str">
        <f t="shared" si="425"/>
        <v>OK</v>
      </c>
      <c r="DK361" s="153" t="str">
        <f t="shared" si="478"/>
        <v>OK</v>
      </c>
      <c r="DL361" s="313" t="str">
        <f t="shared" si="479"/>
        <v>OK</v>
      </c>
      <c r="DM361" s="153" t="str">
        <f t="shared" si="480"/>
        <v>OK</v>
      </c>
      <c r="DN361" s="153" t="str">
        <f t="shared" si="426"/>
        <v>OK</v>
      </c>
      <c r="DO361" s="154" t="str">
        <f t="shared" si="427"/>
        <v>OK</v>
      </c>
      <c r="DP361" s="153" t="str">
        <f t="shared" si="481"/>
        <v>OK</v>
      </c>
      <c r="DQ361" s="313" t="str">
        <f t="shared" si="482"/>
        <v>OK</v>
      </c>
      <c r="DR361" s="153" t="str">
        <f t="shared" si="428"/>
        <v>OK</v>
      </c>
      <c r="DS361" s="153" t="str">
        <f t="shared" si="483"/>
        <v>OK</v>
      </c>
      <c r="DT361" s="313" t="str">
        <f t="shared" si="441"/>
        <v>OK</v>
      </c>
      <c r="DU361" s="153" t="str">
        <f t="shared" si="484"/>
        <v>OK</v>
      </c>
      <c r="DV361" s="153" t="str">
        <f t="shared" si="429"/>
        <v>OK</v>
      </c>
      <c r="DW361" s="154" t="str">
        <f t="shared" si="430"/>
        <v>OK</v>
      </c>
      <c r="DX361" s="157">
        <f t="shared" si="431"/>
        <v>0</v>
      </c>
      <c r="DY361" s="156" t="str">
        <f t="shared" si="432"/>
        <v>OK</v>
      </c>
    </row>
    <row r="362" spans="1:129" ht="13" hidden="1" x14ac:dyDescent="0.3">
      <c r="A362" s="333"/>
      <c r="B362" s="333"/>
      <c r="C362" s="331" t="str">
        <f t="shared" si="440"/>
        <v>-</v>
      </c>
      <c r="D362" s="584">
        <f t="shared" si="412"/>
        <v>339</v>
      </c>
      <c r="E362" s="585"/>
      <c r="F362" s="586"/>
      <c r="G362" s="600"/>
      <c r="H362" s="587"/>
      <c r="I362" s="601"/>
      <c r="J362" s="585"/>
      <c r="K362" s="617"/>
      <c r="L362" s="602"/>
      <c r="M362" s="603"/>
      <c r="N362" s="588"/>
      <c r="O362" s="604"/>
      <c r="P362" s="605"/>
      <c r="Q362" s="588"/>
      <c r="R362" s="604"/>
      <c r="S362" s="605"/>
      <c r="T362" s="606"/>
      <c r="U362" s="606"/>
      <c r="V362" s="429" t="str">
        <f t="shared" si="437"/>
        <v/>
      </c>
      <c r="W362" s="430" t="str">
        <f t="shared" si="436"/>
        <v/>
      </c>
      <c r="X362" s="66" t="str">
        <f>IF(AND(ISNUMBER(P362),N362=FixedDim),MAX('Adjustment factors'!$S$16,0.2+0.8*P362),IF(ISTEXT(N362),VLOOKUP(N362,Afactors,2,TRUE),""))</f>
        <v/>
      </c>
      <c r="Y362" s="17" t="str">
        <f>IF(AND(ISNUMBER(S362),Q362=FixedDim),MAX('Adjustment factors'!$S$16,0.2+0.8*S362),IF(ISTEXT(Q362),VLOOKUP(Q362,Afactors,2,TRUE),""))</f>
        <v/>
      </c>
      <c r="Z362" s="297" t="str">
        <f>IF(ISBLANK(T362),"",VLOOKUP(T362,'Adjustment factors'!$R$27:$S$30,2,TRUE))</f>
        <v/>
      </c>
      <c r="AA362" s="297" t="str">
        <f>IF(ISBLANK(U362),"",VLOOKUP(U362,'Adjustment factors'!$R$27:$S$30,2,TRUE))</f>
        <v/>
      </c>
      <c r="AB362" s="480">
        <f t="shared" si="485"/>
        <v>1</v>
      </c>
      <c r="AC362" s="18" t="b">
        <f t="shared" si="442"/>
        <v>0</v>
      </c>
      <c r="AD362" s="18" t="b">
        <f t="shared" si="443"/>
        <v>0</v>
      </c>
      <c r="AE362" s="18" t="b">
        <f t="shared" si="433"/>
        <v>0</v>
      </c>
      <c r="AF362" s="17" t="str">
        <f t="shared" si="444"/>
        <v/>
      </c>
      <c r="AG362" s="18" t="str">
        <f t="shared" si="445"/>
        <v/>
      </c>
      <c r="AH362" s="17" t="str">
        <f t="shared" si="434"/>
        <v/>
      </c>
      <c r="AI362" s="297" t="e">
        <f t="shared" si="486"/>
        <v>#VALUE!</v>
      </c>
      <c r="AJ362" s="79" t="e">
        <f t="shared" si="446"/>
        <v>#VALUE!</v>
      </c>
      <c r="AK362" s="17" t="str">
        <f t="shared" si="435"/>
        <v/>
      </c>
      <c r="AL362" s="80" t="e">
        <f t="shared" si="447"/>
        <v>#VALUE!</v>
      </c>
      <c r="AM362" s="139" t="b">
        <f t="shared" si="448"/>
        <v>1</v>
      </c>
      <c r="AN362" s="139" t="b">
        <f>AND(COUNTA(E362)&gt;0,ISNUMBER(F362),OR(COUNT(G362:H362)=0,COUNT(G362:H362)=2,AND(ISNUMBER(G362),ISNUMBER(VALUE(LEFT(H362,SUM(LEN(H362)-LEN(SUBSTITUTE(H362,{"0","1","2","3","4","5","6","7","8","9","."},"")))))))),ISNUMBER(I362),ISTEXT(J362))</f>
        <v>0</v>
      </c>
      <c r="AO362" s="19" t="b">
        <f t="shared" si="449"/>
        <v>0</v>
      </c>
      <c r="AP362" s="19" t="b">
        <f t="shared" si="450"/>
        <v>1</v>
      </c>
      <c r="AQ362" s="19" t="b">
        <f>IF(AND(COUNTBLANK(E362:J362)=6,OR(AN363:AN$523)),NOT(AN362))</f>
        <v>0</v>
      </c>
      <c r="AR362" s="19" t="str">
        <f t="shared" si="451"/>
        <v/>
      </c>
      <c r="AS362" s="19" t="b">
        <f t="shared" si="452"/>
        <v>1</v>
      </c>
      <c r="AT362" s="19" t="str">
        <f t="shared" si="453"/>
        <v/>
      </c>
      <c r="AU362" s="19" t="b">
        <f t="shared" si="454"/>
        <v>1</v>
      </c>
      <c r="AV362" s="140" t="str">
        <f t="shared" si="417"/>
        <v/>
      </c>
      <c r="AW362" s="19" t="str">
        <f t="shared" si="455"/>
        <v/>
      </c>
      <c r="AX362" s="81">
        <f t="shared" si="456"/>
        <v>0</v>
      </c>
      <c r="AY362" s="81" t="str">
        <f t="shared" si="457"/>
        <v/>
      </c>
      <c r="AZ362" s="307" t="str">
        <f t="shared" si="487"/>
        <v/>
      </c>
      <c r="BA362" s="281" t="str">
        <f t="shared" si="418"/>
        <v/>
      </c>
      <c r="BB362" s="281" t="str">
        <f t="shared" si="419"/>
        <v/>
      </c>
      <c r="BC362" s="953"/>
      <c r="BD362" s="955"/>
      <c r="BE362" s="219" t="str">
        <f t="shared" si="458"/>
        <v>n/a</v>
      </c>
      <c r="BF362" s="215" t="b">
        <f t="shared" si="459"/>
        <v>0</v>
      </c>
      <c r="BG362" s="145" t="b">
        <f t="shared" si="460"/>
        <v>0</v>
      </c>
      <c r="BH362" s="145" t="b">
        <f t="shared" si="461"/>
        <v>0</v>
      </c>
      <c r="BI362" s="216" t="b">
        <f t="shared" si="462"/>
        <v>0</v>
      </c>
      <c r="BJ362" s="215" t="b">
        <f t="shared" si="463"/>
        <v>0</v>
      </c>
      <c r="BK362" s="145" t="b">
        <f t="shared" si="464"/>
        <v>0</v>
      </c>
      <c r="BL362" s="216" t="b">
        <f t="shared" si="465"/>
        <v>0</v>
      </c>
      <c r="BM362" s="217" t="str">
        <f t="shared" si="420"/>
        <v/>
      </c>
      <c r="BN362" s="146" t="str">
        <f t="shared" si="421"/>
        <v/>
      </c>
      <c r="BO362" s="147" t="str">
        <f t="shared" si="422"/>
        <v/>
      </c>
      <c r="BP362" s="148" t="str">
        <f t="shared" si="423"/>
        <v/>
      </c>
      <c r="BT362" s="50">
        <f t="shared" si="413"/>
        <v>339</v>
      </c>
      <c r="BU362" s="50" t="str">
        <f t="shared" si="439"/>
        <v>-</v>
      </c>
      <c r="BW362" s="333"/>
      <c r="BX362" s="333"/>
      <c r="BY362" s="333"/>
      <c r="BZ362" s="333"/>
      <c r="CA362" s="333"/>
      <c r="CB362" s="333"/>
      <c r="CC362" s="333"/>
      <c r="CD362" s="333"/>
      <c r="CE362" s="333"/>
      <c r="CF362" s="333"/>
      <c r="CG362" s="354">
        <f t="shared" si="466"/>
        <v>339</v>
      </c>
      <c r="CH362" s="613">
        <f t="shared" si="467"/>
        <v>0</v>
      </c>
      <c r="CI362" s="613">
        <f t="shared" si="468"/>
        <v>0</v>
      </c>
      <c r="CJ362" s="614" t="str">
        <f t="shared" si="469"/>
        <v/>
      </c>
      <c r="CK362" s="615" t="str">
        <f t="shared" si="470"/>
        <v/>
      </c>
      <c r="CL362" s="610" t="str">
        <f>IF(ISBLANK(H362),"",IF(AND(ISNUMBER(F362),ISNUMBER(G362),ISNUMBER(H362)),ROUND(F362/(H362*G362),2),ROUND(F362/(VALUE(LEFT(H362,SUM(LEN(H362)-LEN(SUBSTITUTE(H362,{"0","1","2","3","4","5","6","7","8","9","."},"")))))*G362),2)))</f>
        <v/>
      </c>
      <c r="CM362" s="616" t="str">
        <f t="shared" si="424"/>
        <v/>
      </c>
      <c r="CN362" s="616" t="str">
        <f>IF(ISNUMBER(P362),MAX('Adjustment factors'!$S$16,(0.2+0.8*P362)),IF(ISTEXT(N362),VLOOKUP(N362,Afactors,2,FALSE),""))</f>
        <v/>
      </c>
      <c r="CO362" s="616" t="str">
        <f>IF(ISNUMBER(S362),MAX('Adjustment factors'!$S$16,0.2+0.8*S362),IF(ISTEXT(Q362),VLOOKUP(Q362,Afactors,2,FALSE),""))</f>
        <v/>
      </c>
      <c r="CP362" s="611" t="str">
        <f t="shared" si="488"/>
        <v/>
      </c>
      <c r="CQ362" s="612" t="str">
        <f t="shared" si="489"/>
        <v/>
      </c>
      <c r="CR362" s="340"/>
      <c r="CS362" s="340"/>
      <c r="CT362" s="340"/>
      <c r="CU362" s="340"/>
      <c r="CV362" s="333"/>
      <c r="CW362" s="333"/>
      <c r="CX362" s="333"/>
      <c r="CY362" s="333"/>
      <c r="DA362" s="313" t="str">
        <f t="shared" si="471"/>
        <v>OK</v>
      </c>
      <c r="DB362" s="313" t="str">
        <f t="shared" si="472"/>
        <v>OK</v>
      </c>
      <c r="DC362" s="313" t="str">
        <f t="shared" si="473"/>
        <v>OK</v>
      </c>
      <c r="DD362" s="313" t="str">
        <f t="shared" si="474"/>
        <v>OK</v>
      </c>
      <c r="DE362" s="153" t="str">
        <f t="shared" si="475"/>
        <v>OK</v>
      </c>
      <c r="DF362" s="314" t="str">
        <f t="shared" si="476"/>
        <v>OK</v>
      </c>
      <c r="DG362" s="482" t="str">
        <f t="shared" si="490"/>
        <v>OK</v>
      </c>
      <c r="DH362" s="482" t="str">
        <f>IF(OR(AND(T362='Adjustment factors'!$R$28,'Class 3, 5-9'!U362='Adjustment factors'!$R$29),AND('Class 3, 5-9'!T362='Adjustment factors'!$R$29,'Class 3, 5-9'!U362='Adjustment factors'!$R$28)),"Invalid combination of adjustment factors",IF(AND(T362=U362,NOT(ISBLANK(T362)),NOT(ISBLANK(U362))),"Same colour factor selected twice","OK"))</f>
        <v>OK</v>
      </c>
      <c r="DI362" s="313" t="str">
        <f t="shared" si="477"/>
        <v>OK</v>
      </c>
      <c r="DJ362" s="153" t="str">
        <f t="shared" si="425"/>
        <v>OK</v>
      </c>
      <c r="DK362" s="153" t="str">
        <f t="shared" si="478"/>
        <v>OK</v>
      </c>
      <c r="DL362" s="313" t="str">
        <f t="shared" si="479"/>
        <v>OK</v>
      </c>
      <c r="DM362" s="153" t="str">
        <f t="shared" si="480"/>
        <v>OK</v>
      </c>
      <c r="DN362" s="153" t="str">
        <f t="shared" si="426"/>
        <v>OK</v>
      </c>
      <c r="DO362" s="154" t="str">
        <f t="shared" si="427"/>
        <v>OK</v>
      </c>
      <c r="DP362" s="153" t="str">
        <f t="shared" si="481"/>
        <v>OK</v>
      </c>
      <c r="DQ362" s="313" t="str">
        <f t="shared" si="482"/>
        <v>OK</v>
      </c>
      <c r="DR362" s="153" t="str">
        <f t="shared" si="428"/>
        <v>OK</v>
      </c>
      <c r="DS362" s="153" t="str">
        <f t="shared" si="483"/>
        <v>OK</v>
      </c>
      <c r="DT362" s="313" t="str">
        <f t="shared" si="441"/>
        <v>OK</v>
      </c>
      <c r="DU362" s="153" t="str">
        <f t="shared" si="484"/>
        <v>OK</v>
      </c>
      <c r="DV362" s="153" t="str">
        <f t="shared" si="429"/>
        <v>OK</v>
      </c>
      <c r="DW362" s="154" t="str">
        <f t="shared" si="430"/>
        <v>OK</v>
      </c>
      <c r="DX362" s="157">
        <f t="shared" si="431"/>
        <v>0</v>
      </c>
      <c r="DY362" s="156" t="str">
        <f t="shared" si="432"/>
        <v>OK</v>
      </c>
    </row>
    <row r="363" spans="1:129" ht="13" hidden="1" x14ac:dyDescent="0.3">
      <c r="A363" s="333"/>
      <c r="B363" s="333"/>
      <c r="C363" s="332" t="str">
        <f t="shared" si="440"/>
        <v>-</v>
      </c>
      <c r="D363" s="584">
        <f t="shared" si="412"/>
        <v>340</v>
      </c>
      <c r="E363" s="585"/>
      <c r="F363" s="586"/>
      <c r="G363" s="600"/>
      <c r="H363" s="587"/>
      <c r="I363" s="601"/>
      <c r="J363" s="585"/>
      <c r="K363" s="617"/>
      <c r="L363" s="602"/>
      <c r="M363" s="603"/>
      <c r="N363" s="588"/>
      <c r="O363" s="604"/>
      <c r="P363" s="605"/>
      <c r="Q363" s="588"/>
      <c r="R363" s="604"/>
      <c r="S363" s="605"/>
      <c r="T363" s="606"/>
      <c r="U363" s="606"/>
      <c r="V363" s="429" t="str">
        <f t="shared" si="437"/>
        <v/>
      </c>
      <c r="W363" s="430" t="str">
        <f t="shared" si="436"/>
        <v/>
      </c>
      <c r="X363" s="66" t="str">
        <f>IF(AND(ISNUMBER(P363),N363=FixedDim),MAX('Adjustment factors'!$S$16,0.2+0.8*P363),IF(ISTEXT(N363),VLOOKUP(N363,Afactors,2,TRUE),""))</f>
        <v/>
      </c>
      <c r="Y363" s="17" t="str">
        <f>IF(AND(ISNUMBER(S363),Q363=FixedDim),MAX('Adjustment factors'!$S$16,0.2+0.8*S363),IF(ISTEXT(Q363),VLOOKUP(Q363,Afactors,2,TRUE),""))</f>
        <v/>
      </c>
      <c r="Z363" s="297" t="str">
        <f>IF(ISBLANK(T363),"",VLOOKUP(T363,'Adjustment factors'!$R$27:$S$30,2,TRUE))</f>
        <v/>
      </c>
      <c r="AA363" s="297" t="str">
        <f>IF(ISBLANK(U363),"",VLOOKUP(U363,'Adjustment factors'!$R$27:$S$30,2,TRUE))</f>
        <v/>
      </c>
      <c r="AB363" s="480">
        <f t="shared" si="485"/>
        <v>1</v>
      </c>
      <c r="AC363" s="18" t="b">
        <f t="shared" si="442"/>
        <v>0</v>
      </c>
      <c r="AD363" s="18" t="b">
        <f t="shared" si="443"/>
        <v>0</v>
      </c>
      <c r="AE363" s="18" t="b">
        <f t="shared" si="433"/>
        <v>0</v>
      </c>
      <c r="AF363" s="17" t="str">
        <f t="shared" si="444"/>
        <v/>
      </c>
      <c r="AG363" s="18" t="str">
        <f t="shared" si="445"/>
        <v/>
      </c>
      <c r="AH363" s="17" t="str">
        <f t="shared" si="434"/>
        <v/>
      </c>
      <c r="AI363" s="297" t="e">
        <f t="shared" si="486"/>
        <v>#VALUE!</v>
      </c>
      <c r="AJ363" s="79" t="e">
        <f t="shared" si="446"/>
        <v>#VALUE!</v>
      </c>
      <c r="AK363" s="17" t="str">
        <f t="shared" si="435"/>
        <v/>
      </c>
      <c r="AL363" s="80" t="e">
        <f t="shared" si="447"/>
        <v>#VALUE!</v>
      </c>
      <c r="AM363" s="139" t="b">
        <f t="shared" si="448"/>
        <v>1</v>
      </c>
      <c r="AN363" s="139" t="b">
        <f>AND(COUNTA(E363)&gt;0,ISNUMBER(F363),OR(COUNT(G363:H363)=0,COUNT(G363:H363)=2,AND(ISNUMBER(G363),ISNUMBER(VALUE(LEFT(H363,SUM(LEN(H363)-LEN(SUBSTITUTE(H363,{"0","1","2","3","4","5","6","7","8","9","."},"")))))))),ISNUMBER(I363),ISTEXT(J363))</f>
        <v>0</v>
      </c>
      <c r="AO363" s="19" t="b">
        <f t="shared" si="449"/>
        <v>0</v>
      </c>
      <c r="AP363" s="19" t="b">
        <f t="shared" si="450"/>
        <v>1</v>
      </c>
      <c r="AQ363" s="19" t="b">
        <f>IF(AND(COUNTBLANK(E363:J363)=6,OR(AN364:AN$523)),NOT(AN363))</f>
        <v>0</v>
      </c>
      <c r="AR363" s="19" t="str">
        <f t="shared" si="451"/>
        <v/>
      </c>
      <c r="AS363" s="19" t="b">
        <f t="shared" si="452"/>
        <v>1</v>
      </c>
      <c r="AT363" s="19" t="str">
        <f t="shared" si="453"/>
        <v/>
      </c>
      <c r="AU363" s="19" t="b">
        <f t="shared" si="454"/>
        <v>1</v>
      </c>
      <c r="AV363" s="140" t="str">
        <f t="shared" si="417"/>
        <v/>
      </c>
      <c r="AW363" s="19" t="str">
        <f t="shared" si="455"/>
        <v/>
      </c>
      <c r="AX363" s="81">
        <f t="shared" si="456"/>
        <v>0</v>
      </c>
      <c r="AY363" s="81" t="str">
        <f t="shared" si="457"/>
        <v/>
      </c>
      <c r="AZ363" s="307" t="str">
        <f t="shared" si="487"/>
        <v/>
      </c>
      <c r="BA363" s="281" t="str">
        <f t="shared" si="418"/>
        <v/>
      </c>
      <c r="BB363" s="281" t="str">
        <f t="shared" si="419"/>
        <v/>
      </c>
      <c r="BC363" s="953"/>
      <c r="BD363" s="955"/>
      <c r="BE363" s="219" t="str">
        <f t="shared" si="458"/>
        <v>n/a</v>
      </c>
      <c r="BF363" s="215" t="b">
        <f t="shared" si="459"/>
        <v>0</v>
      </c>
      <c r="BG363" s="145" t="b">
        <f t="shared" si="460"/>
        <v>0</v>
      </c>
      <c r="BH363" s="145" t="b">
        <f t="shared" si="461"/>
        <v>0</v>
      </c>
      <c r="BI363" s="216" t="b">
        <f t="shared" si="462"/>
        <v>0</v>
      </c>
      <c r="BJ363" s="215" t="b">
        <f t="shared" si="463"/>
        <v>0</v>
      </c>
      <c r="BK363" s="145" t="b">
        <f t="shared" si="464"/>
        <v>0</v>
      </c>
      <c r="BL363" s="216" t="b">
        <f t="shared" si="465"/>
        <v>0</v>
      </c>
      <c r="BM363" s="217" t="str">
        <f t="shared" si="420"/>
        <v/>
      </c>
      <c r="BN363" s="146" t="str">
        <f t="shared" si="421"/>
        <v/>
      </c>
      <c r="BO363" s="147" t="str">
        <f t="shared" si="422"/>
        <v/>
      </c>
      <c r="BP363" s="148" t="str">
        <f t="shared" si="423"/>
        <v/>
      </c>
      <c r="BT363" s="50">
        <f t="shared" si="413"/>
        <v>340</v>
      </c>
      <c r="BU363" s="50" t="str">
        <f t="shared" si="439"/>
        <v>-</v>
      </c>
      <c r="BW363" s="333"/>
      <c r="BX363" s="333"/>
      <c r="BY363" s="333"/>
      <c r="BZ363" s="333"/>
      <c r="CA363" s="333"/>
      <c r="CB363" s="333"/>
      <c r="CC363" s="333"/>
      <c r="CD363" s="333"/>
      <c r="CE363" s="333"/>
      <c r="CF363" s="333"/>
      <c r="CG363" s="354">
        <f t="shared" si="466"/>
        <v>340</v>
      </c>
      <c r="CH363" s="613">
        <f t="shared" si="467"/>
        <v>0</v>
      </c>
      <c r="CI363" s="613">
        <f t="shared" si="468"/>
        <v>0</v>
      </c>
      <c r="CJ363" s="614" t="str">
        <f t="shared" si="469"/>
        <v/>
      </c>
      <c r="CK363" s="615" t="str">
        <f t="shared" si="470"/>
        <v/>
      </c>
      <c r="CL363" s="610" t="str">
        <f>IF(ISBLANK(H363),"",IF(AND(ISNUMBER(F363),ISNUMBER(G363),ISNUMBER(H363)),ROUND(F363/(H363*G363),2),ROUND(F363/(VALUE(LEFT(H363,SUM(LEN(H363)-LEN(SUBSTITUTE(H363,{"0","1","2","3","4","5","6","7","8","9","."},"")))))*G363),2)))</f>
        <v/>
      </c>
      <c r="CM363" s="616" t="str">
        <f t="shared" si="424"/>
        <v/>
      </c>
      <c r="CN363" s="616" t="str">
        <f>IF(ISNUMBER(P363),MAX('Adjustment factors'!$S$16,(0.2+0.8*P363)),IF(ISTEXT(N363),VLOOKUP(N363,Afactors,2,FALSE),""))</f>
        <v/>
      </c>
      <c r="CO363" s="616" t="str">
        <f>IF(ISNUMBER(S363),MAX('Adjustment factors'!$S$16,0.2+0.8*S363),IF(ISTEXT(Q363),VLOOKUP(Q363,Afactors,2,FALSE),""))</f>
        <v/>
      </c>
      <c r="CP363" s="611" t="str">
        <f t="shared" si="488"/>
        <v/>
      </c>
      <c r="CQ363" s="612" t="str">
        <f t="shared" si="489"/>
        <v/>
      </c>
      <c r="CR363" s="340"/>
      <c r="CS363" s="340"/>
      <c r="CT363" s="340"/>
      <c r="CU363" s="340"/>
      <c r="CV363" s="333"/>
      <c r="CW363" s="333"/>
      <c r="CX363" s="333"/>
      <c r="CY363" s="333"/>
      <c r="DA363" s="313" t="str">
        <f t="shared" si="471"/>
        <v>OK</v>
      </c>
      <c r="DB363" s="313" t="str">
        <f t="shared" si="472"/>
        <v>OK</v>
      </c>
      <c r="DC363" s="313" t="str">
        <f t="shared" si="473"/>
        <v>OK</v>
      </c>
      <c r="DD363" s="313" t="str">
        <f t="shared" si="474"/>
        <v>OK</v>
      </c>
      <c r="DE363" s="153" t="str">
        <f t="shared" si="475"/>
        <v>OK</v>
      </c>
      <c r="DF363" s="314" t="str">
        <f t="shared" si="476"/>
        <v>OK</v>
      </c>
      <c r="DG363" s="482" t="str">
        <f t="shared" si="490"/>
        <v>OK</v>
      </c>
      <c r="DH363" s="482" t="str">
        <f>IF(OR(AND(T363='Adjustment factors'!$R$28,'Class 3, 5-9'!U363='Adjustment factors'!$R$29),AND('Class 3, 5-9'!T363='Adjustment factors'!$R$29,'Class 3, 5-9'!U363='Adjustment factors'!$R$28)),"Invalid combination of adjustment factors",IF(AND(T363=U363,NOT(ISBLANK(T363)),NOT(ISBLANK(U363))),"Same colour factor selected twice","OK"))</f>
        <v>OK</v>
      </c>
      <c r="DI363" s="313" t="str">
        <f t="shared" si="477"/>
        <v>OK</v>
      </c>
      <c r="DJ363" s="153" t="str">
        <f t="shared" si="425"/>
        <v>OK</v>
      </c>
      <c r="DK363" s="153" t="str">
        <f t="shared" si="478"/>
        <v>OK</v>
      </c>
      <c r="DL363" s="313" t="str">
        <f t="shared" si="479"/>
        <v>OK</v>
      </c>
      <c r="DM363" s="153" t="str">
        <f t="shared" si="480"/>
        <v>OK</v>
      </c>
      <c r="DN363" s="153" t="str">
        <f t="shared" si="426"/>
        <v>OK</v>
      </c>
      <c r="DO363" s="154" t="str">
        <f t="shared" si="427"/>
        <v>OK</v>
      </c>
      <c r="DP363" s="153" t="str">
        <f t="shared" si="481"/>
        <v>OK</v>
      </c>
      <c r="DQ363" s="313" t="str">
        <f t="shared" si="482"/>
        <v>OK</v>
      </c>
      <c r="DR363" s="153" t="str">
        <f t="shared" si="428"/>
        <v>OK</v>
      </c>
      <c r="DS363" s="153" t="str">
        <f t="shared" si="483"/>
        <v>OK</v>
      </c>
      <c r="DT363" s="313" t="str">
        <f t="shared" si="441"/>
        <v>OK</v>
      </c>
      <c r="DU363" s="153" t="str">
        <f t="shared" si="484"/>
        <v>OK</v>
      </c>
      <c r="DV363" s="153" t="str">
        <f t="shared" si="429"/>
        <v>OK</v>
      </c>
      <c r="DW363" s="154" t="str">
        <f t="shared" si="430"/>
        <v>OK</v>
      </c>
      <c r="DX363" s="157">
        <f t="shared" si="431"/>
        <v>0</v>
      </c>
      <c r="DY363" s="156" t="str">
        <f t="shared" si="432"/>
        <v>OK</v>
      </c>
    </row>
    <row r="364" spans="1:129" ht="13" hidden="1" x14ac:dyDescent="0.3">
      <c r="A364" s="333"/>
      <c r="B364" s="333"/>
      <c r="C364" s="332" t="str">
        <f t="shared" si="440"/>
        <v>-</v>
      </c>
      <c r="D364" s="584">
        <f t="shared" si="412"/>
        <v>341</v>
      </c>
      <c r="E364" s="585"/>
      <c r="F364" s="586"/>
      <c r="G364" s="600"/>
      <c r="H364" s="587"/>
      <c r="I364" s="601"/>
      <c r="J364" s="585"/>
      <c r="K364" s="617"/>
      <c r="L364" s="602"/>
      <c r="M364" s="603"/>
      <c r="N364" s="588"/>
      <c r="O364" s="604"/>
      <c r="P364" s="605"/>
      <c r="Q364" s="588"/>
      <c r="R364" s="604"/>
      <c r="S364" s="605"/>
      <c r="T364" s="606"/>
      <c r="U364" s="606"/>
      <c r="V364" s="429" t="str">
        <f t="shared" si="437"/>
        <v/>
      </c>
      <c r="W364" s="430" t="str">
        <f t="shared" si="436"/>
        <v/>
      </c>
      <c r="X364" s="66" t="str">
        <f>IF(AND(ISNUMBER(P364),N364=FixedDim),MAX('Adjustment factors'!$S$16,0.2+0.8*P364),IF(ISTEXT(N364),VLOOKUP(N364,Afactors,2,TRUE),""))</f>
        <v/>
      </c>
      <c r="Y364" s="17" t="str">
        <f>IF(AND(ISNUMBER(S364),Q364=FixedDim),MAX('Adjustment factors'!$S$16,0.2+0.8*S364),IF(ISTEXT(Q364),VLOOKUP(Q364,Afactors,2,TRUE),""))</f>
        <v/>
      </c>
      <c r="Z364" s="297" t="str">
        <f>IF(ISBLANK(T364),"",VLOOKUP(T364,'Adjustment factors'!$R$27:$S$30,2,TRUE))</f>
        <v/>
      </c>
      <c r="AA364" s="297" t="str">
        <f>IF(ISBLANK(U364),"",VLOOKUP(U364,'Adjustment factors'!$R$27:$S$30,2,TRUE))</f>
        <v/>
      </c>
      <c r="AB364" s="480">
        <f t="shared" si="485"/>
        <v>1</v>
      </c>
      <c r="AC364" s="18" t="b">
        <f t="shared" si="442"/>
        <v>0</v>
      </c>
      <c r="AD364" s="18" t="b">
        <f t="shared" si="443"/>
        <v>0</v>
      </c>
      <c r="AE364" s="18" t="b">
        <f t="shared" si="433"/>
        <v>0</v>
      </c>
      <c r="AF364" s="17" t="str">
        <f t="shared" si="444"/>
        <v/>
      </c>
      <c r="AG364" s="18" t="str">
        <f t="shared" si="445"/>
        <v/>
      </c>
      <c r="AH364" s="17" t="str">
        <f t="shared" si="434"/>
        <v/>
      </c>
      <c r="AI364" s="297" t="e">
        <f t="shared" si="486"/>
        <v>#VALUE!</v>
      </c>
      <c r="AJ364" s="79" t="e">
        <f t="shared" si="446"/>
        <v>#VALUE!</v>
      </c>
      <c r="AK364" s="17" t="str">
        <f t="shared" si="435"/>
        <v/>
      </c>
      <c r="AL364" s="80" t="e">
        <f t="shared" si="447"/>
        <v>#VALUE!</v>
      </c>
      <c r="AM364" s="139" t="b">
        <f t="shared" si="448"/>
        <v>1</v>
      </c>
      <c r="AN364" s="139" t="b">
        <f>AND(COUNTA(E364)&gt;0,ISNUMBER(F364),OR(COUNT(G364:H364)=0,COUNT(G364:H364)=2,AND(ISNUMBER(G364),ISNUMBER(VALUE(LEFT(H364,SUM(LEN(H364)-LEN(SUBSTITUTE(H364,{"0","1","2","3","4","5","6","7","8","9","."},"")))))))),ISNUMBER(I364),ISTEXT(J364))</f>
        <v>0</v>
      </c>
      <c r="AO364" s="19" t="b">
        <f t="shared" si="449"/>
        <v>0</v>
      </c>
      <c r="AP364" s="19" t="b">
        <f t="shared" si="450"/>
        <v>1</v>
      </c>
      <c r="AQ364" s="19" t="b">
        <f>IF(AND(COUNTBLANK(E364:J364)=6,OR(AN365:AN$523)),NOT(AN364))</f>
        <v>0</v>
      </c>
      <c r="AR364" s="19" t="str">
        <f t="shared" si="451"/>
        <v/>
      </c>
      <c r="AS364" s="19" t="b">
        <f t="shared" si="452"/>
        <v>1</v>
      </c>
      <c r="AT364" s="19" t="str">
        <f t="shared" si="453"/>
        <v/>
      </c>
      <c r="AU364" s="19" t="b">
        <f t="shared" si="454"/>
        <v>1</v>
      </c>
      <c r="AV364" s="140" t="str">
        <f t="shared" si="417"/>
        <v/>
      </c>
      <c r="AW364" s="19" t="str">
        <f t="shared" si="455"/>
        <v/>
      </c>
      <c r="AX364" s="81">
        <f t="shared" si="456"/>
        <v>0</v>
      </c>
      <c r="AY364" s="81" t="str">
        <f t="shared" si="457"/>
        <v/>
      </c>
      <c r="AZ364" s="307" t="str">
        <f t="shared" si="487"/>
        <v/>
      </c>
      <c r="BA364" s="281" t="str">
        <f t="shared" si="418"/>
        <v/>
      </c>
      <c r="BB364" s="281" t="str">
        <f t="shared" si="419"/>
        <v/>
      </c>
      <c r="BC364" s="953"/>
      <c r="BD364" s="955"/>
      <c r="BE364" s="219" t="str">
        <f t="shared" si="458"/>
        <v>n/a</v>
      </c>
      <c r="BF364" s="215" t="b">
        <f t="shared" si="459"/>
        <v>0</v>
      </c>
      <c r="BG364" s="145" t="b">
        <f t="shared" si="460"/>
        <v>0</v>
      </c>
      <c r="BH364" s="145" t="b">
        <f t="shared" si="461"/>
        <v>0</v>
      </c>
      <c r="BI364" s="216" t="b">
        <f t="shared" si="462"/>
        <v>0</v>
      </c>
      <c r="BJ364" s="215" t="b">
        <f t="shared" si="463"/>
        <v>0</v>
      </c>
      <c r="BK364" s="145" t="b">
        <f t="shared" si="464"/>
        <v>0</v>
      </c>
      <c r="BL364" s="216" t="b">
        <f t="shared" si="465"/>
        <v>0</v>
      </c>
      <c r="BM364" s="217" t="str">
        <f t="shared" si="420"/>
        <v/>
      </c>
      <c r="BN364" s="146" t="str">
        <f t="shared" si="421"/>
        <v/>
      </c>
      <c r="BO364" s="147" t="str">
        <f t="shared" si="422"/>
        <v/>
      </c>
      <c r="BP364" s="148" t="str">
        <f t="shared" si="423"/>
        <v/>
      </c>
      <c r="BT364" s="50">
        <f t="shared" si="413"/>
        <v>341</v>
      </c>
      <c r="BU364" s="50" t="str">
        <f t="shared" si="439"/>
        <v>-</v>
      </c>
      <c r="BW364" s="340"/>
      <c r="BX364" s="333"/>
      <c r="BY364" s="333"/>
      <c r="BZ364" s="333"/>
      <c r="CA364" s="333"/>
      <c r="CB364" s="333"/>
      <c r="CC364" s="333"/>
      <c r="CD364" s="333"/>
      <c r="CE364" s="333"/>
      <c r="CF364" s="333"/>
      <c r="CG364" s="354">
        <f t="shared" si="466"/>
        <v>341</v>
      </c>
      <c r="CH364" s="613">
        <f t="shared" si="467"/>
        <v>0</v>
      </c>
      <c r="CI364" s="613">
        <f t="shared" si="468"/>
        <v>0</v>
      </c>
      <c r="CJ364" s="614" t="str">
        <f t="shared" si="469"/>
        <v/>
      </c>
      <c r="CK364" s="615" t="str">
        <f t="shared" si="470"/>
        <v/>
      </c>
      <c r="CL364" s="610" t="str">
        <f>IF(ISBLANK(H364),"",IF(AND(ISNUMBER(F364),ISNUMBER(G364),ISNUMBER(H364)),ROUND(F364/(H364*G364),2),ROUND(F364/(VALUE(LEFT(H364,SUM(LEN(H364)-LEN(SUBSTITUTE(H364,{"0","1","2","3","4","5","6","7","8","9","."},"")))))*G364),2)))</f>
        <v/>
      </c>
      <c r="CM364" s="616" t="str">
        <f t="shared" si="424"/>
        <v/>
      </c>
      <c r="CN364" s="616" t="str">
        <f>IF(ISNUMBER(P364),MAX('Adjustment factors'!$S$16,(0.2+0.8*P364)),IF(ISTEXT(N364),VLOOKUP(N364,Afactors,2,FALSE),""))</f>
        <v/>
      </c>
      <c r="CO364" s="616" t="str">
        <f>IF(ISNUMBER(S364),MAX('Adjustment factors'!$S$16,0.2+0.8*S364),IF(ISTEXT(Q364),VLOOKUP(Q364,Afactors,2,FALSE),""))</f>
        <v/>
      </c>
      <c r="CP364" s="611" t="str">
        <f t="shared" si="488"/>
        <v/>
      </c>
      <c r="CQ364" s="612" t="str">
        <f t="shared" si="489"/>
        <v/>
      </c>
      <c r="CR364" s="340"/>
      <c r="CS364" s="340"/>
      <c r="CT364" s="340"/>
      <c r="CU364" s="340"/>
      <c r="CV364" s="333"/>
      <c r="CW364" s="333"/>
      <c r="CX364" s="333"/>
      <c r="CY364" s="333"/>
      <c r="DA364" s="313" t="str">
        <f t="shared" si="471"/>
        <v>OK</v>
      </c>
      <c r="DB364" s="313" t="str">
        <f t="shared" si="472"/>
        <v>OK</v>
      </c>
      <c r="DC364" s="313" t="str">
        <f t="shared" si="473"/>
        <v>OK</v>
      </c>
      <c r="DD364" s="313" t="str">
        <f t="shared" si="474"/>
        <v>OK</v>
      </c>
      <c r="DE364" s="153" t="str">
        <f t="shared" si="475"/>
        <v>OK</v>
      </c>
      <c r="DF364" s="314" t="str">
        <f t="shared" si="476"/>
        <v>OK</v>
      </c>
      <c r="DG364" s="482" t="str">
        <f t="shared" si="490"/>
        <v>OK</v>
      </c>
      <c r="DH364" s="482" t="str">
        <f>IF(OR(AND(T364='Adjustment factors'!$R$28,'Class 3, 5-9'!U364='Adjustment factors'!$R$29),AND('Class 3, 5-9'!T364='Adjustment factors'!$R$29,'Class 3, 5-9'!U364='Adjustment factors'!$R$28)),"Invalid combination of adjustment factors",IF(AND(T364=U364,NOT(ISBLANK(T364)),NOT(ISBLANK(U364))),"Same colour factor selected twice","OK"))</f>
        <v>OK</v>
      </c>
      <c r="DI364" s="313" t="str">
        <f t="shared" si="477"/>
        <v>OK</v>
      </c>
      <c r="DJ364" s="153" t="str">
        <f t="shared" si="425"/>
        <v>OK</v>
      </c>
      <c r="DK364" s="153" t="str">
        <f t="shared" si="478"/>
        <v>OK</v>
      </c>
      <c r="DL364" s="313" t="str">
        <f t="shared" si="479"/>
        <v>OK</v>
      </c>
      <c r="DM364" s="153" t="str">
        <f t="shared" si="480"/>
        <v>OK</v>
      </c>
      <c r="DN364" s="153" t="str">
        <f t="shared" si="426"/>
        <v>OK</v>
      </c>
      <c r="DO364" s="154" t="str">
        <f t="shared" si="427"/>
        <v>OK</v>
      </c>
      <c r="DP364" s="153" t="str">
        <f t="shared" si="481"/>
        <v>OK</v>
      </c>
      <c r="DQ364" s="313" t="str">
        <f t="shared" si="482"/>
        <v>OK</v>
      </c>
      <c r="DR364" s="153" t="str">
        <f t="shared" si="428"/>
        <v>OK</v>
      </c>
      <c r="DS364" s="153" t="str">
        <f t="shared" si="483"/>
        <v>OK</v>
      </c>
      <c r="DT364" s="313" t="str">
        <f t="shared" si="441"/>
        <v>OK</v>
      </c>
      <c r="DU364" s="153" t="str">
        <f t="shared" si="484"/>
        <v>OK</v>
      </c>
      <c r="DV364" s="153" t="str">
        <f t="shared" si="429"/>
        <v>OK</v>
      </c>
      <c r="DW364" s="154" t="str">
        <f t="shared" si="430"/>
        <v>OK</v>
      </c>
      <c r="DX364" s="157">
        <f t="shared" si="431"/>
        <v>0</v>
      </c>
      <c r="DY364" s="156" t="str">
        <f t="shared" si="432"/>
        <v>OK</v>
      </c>
    </row>
    <row r="365" spans="1:129" ht="13" hidden="1" x14ac:dyDescent="0.3">
      <c r="A365" s="333"/>
      <c r="B365" s="333"/>
      <c r="C365" s="332" t="str">
        <f t="shared" si="440"/>
        <v>-</v>
      </c>
      <c r="D365" s="584">
        <f t="shared" si="412"/>
        <v>342</v>
      </c>
      <c r="E365" s="585"/>
      <c r="F365" s="586"/>
      <c r="G365" s="600"/>
      <c r="H365" s="587"/>
      <c r="I365" s="601"/>
      <c r="J365" s="585"/>
      <c r="K365" s="617"/>
      <c r="L365" s="602"/>
      <c r="M365" s="603"/>
      <c r="N365" s="588"/>
      <c r="O365" s="604"/>
      <c r="P365" s="605"/>
      <c r="Q365" s="588"/>
      <c r="R365" s="604"/>
      <c r="S365" s="605"/>
      <c r="T365" s="606"/>
      <c r="U365" s="606"/>
      <c r="V365" s="429" t="str">
        <f t="shared" si="437"/>
        <v/>
      </c>
      <c r="W365" s="430" t="str">
        <f t="shared" si="436"/>
        <v/>
      </c>
      <c r="X365" s="66" t="str">
        <f>IF(AND(ISNUMBER(P365),N365=FixedDim),MAX('Adjustment factors'!$S$16,0.2+0.8*P365),IF(ISTEXT(N365),VLOOKUP(N365,Afactors,2,TRUE),""))</f>
        <v/>
      </c>
      <c r="Y365" s="17" t="str">
        <f>IF(AND(ISNUMBER(S365),Q365=FixedDim),MAX('Adjustment factors'!$S$16,0.2+0.8*S365),IF(ISTEXT(Q365),VLOOKUP(Q365,Afactors,2,TRUE),""))</f>
        <v/>
      </c>
      <c r="Z365" s="297" t="str">
        <f>IF(ISBLANK(T365),"",VLOOKUP(T365,'Adjustment factors'!$R$27:$S$30,2,TRUE))</f>
        <v/>
      </c>
      <c r="AA365" s="297" t="str">
        <f>IF(ISBLANK(U365),"",VLOOKUP(U365,'Adjustment factors'!$R$27:$S$30,2,TRUE))</f>
        <v/>
      </c>
      <c r="AB365" s="480">
        <f t="shared" si="485"/>
        <v>1</v>
      </c>
      <c r="AC365" s="18" t="b">
        <f t="shared" si="442"/>
        <v>0</v>
      </c>
      <c r="AD365" s="18" t="b">
        <f t="shared" si="443"/>
        <v>0</v>
      </c>
      <c r="AE365" s="18" t="b">
        <f t="shared" si="433"/>
        <v>0</v>
      </c>
      <c r="AF365" s="17" t="str">
        <f t="shared" si="444"/>
        <v/>
      </c>
      <c r="AG365" s="18" t="str">
        <f t="shared" si="445"/>
        <v/>
      </c>
      <c r="AH365" s="17" t="str">
        <f t="shared" si="434"/>
        <v/>
      </c>
      <c r="AI365" s="297" t="e">
        <f t="shared" si="486"/>
        <v>#VALUE!</v>
      </c>
      <c r="AJ365" s="79" t="e">
        <f t="shared" si="446"/>
        <v>#VALUE!</v>
      </c>
      <c r="AK365" s="17" t="str">
        <f t="shared" si="435"/>
        <v/>
      </c>
      <c r="AL365" s="80" t="e">
        <f t="shared" si="447"/>
        <v>#VALUE!</v>
      </c>
      <c r="AM365" s="139" t="b">
        <f t="shared" si="448"/>
        <v>1</v>
      </c>
      <c r="AN365" s="139" t="b">
        <f>AND(COUNTA(E365)&gt;0,ISNUMBER(F365),OR(COUNT(G365:H365)=0,COUNT(G365:H365)=2,AND(ISNUMBER(G365),ISNUMBER(VALUE(LEFT(H365,SUM(LEN(H365)-LEN(SUBSTITUTE(H365,{"0","1","2","3","4","5","6","7","8","9","."},"")))))))),ISNUMBER(I365),ISTEXT(J365))</f>
        <v>0</v>
      </c>
      <c r="AO365" s="19" t="b">
        <f t="shared" si="449"/>
        <v>0</v>
      </c>
      <c r="AP365" s="19" t="b">
        <f t="shared" si="450"/>
        <v>1</v>
      </c>
      <c r="AQ365" s="19" t="b">
        <f>IF(AND(COUNTBLANK(E365:J365)=6,OR(AN366:AN$523)),NOT(AN365))</f>
        <v>0</v>
      </c>
      <c r="AR365" s="19" t="str">
        <f t="shared" si="451"/>
        <v/>
      </c>
      <c r="AS365" s="19" t="b">
        <f t="shared" si="452"/>
        <v>1</v>
      </c>
      <c r="AT365" s="19" t="str">
        <f t="shared" si="453"/>
        <v/>
      </c>
      <c r="AU365" s="19" t="b">
        <f t="shared" si="454"/>
        <v>1</v>
      </c>
      <c r="AV365" s="140" t="str">
        <f t="shared" si="417"/>
        <v/>
      </c>
      <c r="AW365" s="19" t="str">
        <f t="shared" si="455"/>
        <v/>
      </c>
      <c r="AX365" s="81">
        <f t="shared" si="456"/>
        <v>0</v>
      </c>
      <c r="AY365" s="81" t="str">
        <f t="shared" si="457"/>
        <v/>
      </c>
      <c r="AZ365" s="307" t="str">
        <f t="shared" si="487"/>
        <v/>
      </c>
      <c r="BA365" s="281" t="str">
        <f t="shared" si="418"/>
        <v/>
      </c>
      <c r="BB365" s="281" t="str">
        <f t="shared" si="419"/>
        <v/>
      </c>
      <c r="BC365" s="953"/>
      <c r="BD365" s="955"/>
      <c r="BE365" s="219" t="str">
        <f t="shared" si="458"/>
        <v>n/a</v>
      </c>
      <c r="BF365" s="215" t="b">
        <f t="shared" si="459"/>
        <v>0</v>
      </c>
      <c r="BG365" s="145" t="b">
        <f t="shared" si="460"/>
        <v>0</v>
      </c>
      <c r="BH365" s="145" t="b">
        <f t="shared" si="461"/>
        <v>0</v>
      </c>
      <c r="BI365" s="216" t="b">
        <f t="shared" si="462"/>
        <v>0</v>
      </c>
      <c r="BJ365" s="215" t="b">
        <f t="shared" si="463"/>
        <v>0</v>
      </c>
      <c r="BK365" s="145" t="b">
        <f t="shared" si="464"/>
        <v>0</v>
      </c>
      <c r="BL365" s="216" t="b">
        <f t="shared" si="465"/>
        <v>0</v>
      </c>
      <c r="BM365" s="217" t="str">
        <f t="shared" si="420"/>
        <v/>
      </c>
      <c r="BN365" s="146" t="str">
        <f t="shared" si="421"/>
        <v/>
      </c>
      <c r="BO365" s="147" t="str">
        <f t="shared" si="422"/>
        <v/>
      </c>
      <c r="BP365" s="148" t="str">
        <f t="shared" si="423"/>
        <v/>
      </c>
      <c r="BT365" s="50">
        <f t="shared" si="413"/>
        <v>342</v>
      </c>
      <c r="BU365" s="50" t="str">
        <f t="shared" si="439"/>
        <v>-</v>
      </c>
      <c r="BW365" s="340"/>
      <c r="BX365" s="333"/>
      <c r="BY365" s="333"/>
      <c r="BZ365" s="333"/>
      <c r="CA365" s="333"/>
      <c r="CB365" s="333"/>
      <c r="CC365" s="333"/>
      <c r="CD365" s="333"/>
      <c r="CE365" s="333"/>
      <c r="CF365" s="333"/>
      <c r="CG365" s="354">
        <f t="shared" si="466"/>
        <v>342</v>
      </c>
      <c r="CH365" s="613">
        <f t="shared" si="467"/>
        <v>0</v>
      </c>
      <c r="CI365" s="613">
        <f t="shared" si="468"/>
        <v>0</v>
      </c>
      <c r="CJ365" s="614" t="str">
        <f t="shared" si="469"/>
        <v/>
      </c>
      <c r="CK365" s="615" t="str">
        <f t="shared" si="470"/>
        <v/>
      </c>
      <c r="CL365" s="610" t="str">
        <f>IF(ISBLANK(H365),"",IF(AND(ISNUMBER(F365),ISNUMBER(G365),ISNUMBER(H365)),ROUND(F365/(H365*G365),2),ROUND(F365/(VALUE(LEFT(H365,SUM(LEN(H365)-LEN(SUBSTITUTE(H365,{"0","1","2","3","4","5","6","7","8","9","."},"")))))*G365),2)))</f>
        <v/>
      </c>
      <c r="CM365" s="616" t="str">
        <f t="shared" si="424"/>
        <v/>
      </c>
      <c r="CN365" s="616" t="str">
        <f>IF(ISNUMBER(P365),MAX('Adjustment factors'!$S$16,(0.2+0.8*P365)),IF(ISTEXT(N365),VLOOKUP(N365,Afactors,2,FALSE),""))</f>
        <v/>
      </c>
      <c r="CO365" s="616" t="str">
        <f>IF(ISNUMBER(S365),MAX('Adjustment factors'!$S$16,0.2+0.8*S365),IF(ISTEXT(Q365),VLOOKUP(Q365,Afactors,2,FALSE),""))</f>
        <v/>
      </c>
      <c r="CP365" s="611" t="str">
        <f t="shared" si="488"/>
        <v/>
      </c>
      <c r="CQ365" s="612" t="str">
        <f t="shared" si="489"/>
        <v/>
      </c>
      <c r="CR365" s="340"/>
      <c r="CS365" s="340"/>
      <c r="CT365" s="340"/>
      <c r="CU365" s="340"/>
      <c r="CV365" s="333"/>
      <c r="CW365" s="333"/>
      <c r="CX365" s="333"/>
      <c r="CY365" s="333"/>
      <c r="DA365" s="313" t="str">
        <f t="shared" si="471"/>
        <v>OK</v>
      </c>
      <c r="DB365" s="313" t="str">
        <f t="shared" si="472"/>
        <v>OK</v>
      </c>
      <c r="DC365" s="313" t="str">
        <f t="shared" si="473"/>
        <v>OK</v>
      </c>
      <c r="DD365" s="313" t="str">
        <f t="shared" si="474"/>
        <v>OK</v>
      </c>
      <c r="DE365" s="153" t="str">
        <f t="shared" si="475"/>
        <v>OK</v>
      </c>
      <c r="DF365" s="314" t="str">
        <f t="shared" si="476"/>
        <v>OK</v>
      </c>
      <c r="DG365" s="482" t="str">
        <f t="shared" si="490"/>
        <v>OK</v>
      </c>
      <c r="DH365" s="482" t="str">
        <f>IF(OR(AND(T365='Adjustment factors'!$R$28,'Class 3, 5-9'!U365='Adjustment factors'!$R$29),AND('Class 3, 5-9'!T365='Adjustment factors'!$R$29,'Class 3, 5-9'!U365='Adjustment factors'!$R$28)),"Invalid combination of adjustment factors",IF(AND(T365=U365,NOT(ISBLANK(T365)),NOT(ISBLANK(U365))),"Same colour factor selected twice","OK"))</f>
        <v>OK</v>
      </c>
      <c r="DI365" s="313" t="str">
        <f t="shared" si="477"/>
        <v>OK</v>
      </c>
      <c r="DJ365" s="153" t="str">
        <f t="shared" si="425"/>
        <v>OK</v>
      </c>
      <c r="DK365" s="153" t="str">
        <f t="shared" si="478"/>
        <v>OK</v>
      </c>
      <c r="DL365" s="313" t="str">
        <f t="shared" si="479"/>
        <v>OK</v>
      </c>
      <c r="DM365" s="153" t="str">
        <f t="shared" si="480"/>
        <v>OK</v>
      </c>
      <c r="DN365" s="153" t="str">
        <f t="shared" si="426"/>
        <v>OK</v>
      </c>
      <c r="DO365" s="154" t="str">
        <f t="shared" si="427"/>
        <v>OK</v>
      </c>
      <c r="DP365" s="153" t="str">
        <f t="shared" si="481"/>
        <v>OK</v>
      </c>
      <c r="DQ365" s="313" t="str">
        <f t="shared" si="482"/>
        <v>OK</v>
      </c>
      <c r="DR365" s="153" t="str">
        <f t="shared" si="428"/>
        <v>OK</v>
      </c>
      <c r="DS365" s="153" t="str">
        <f t="shared" si="483"/>
        <v>OK</v>
      </c>
      <c r="DT365" s="313" t="str">
        <f t="shared" si="441"/>
        <v>OK</v>
      </c>
      <c r="DU365" s="153" t="str">
        <f t="shared" si="484"/>
        <v>OK</v>
      </c>
      <c r="DV365" s="153" t="str">
        <f t="shared" si="429"/>
        <v>OK</v>
      </c>
      <c r="DW365" s="154" t="str">
        <f t="shared" si="430"/>
        <v>OK</v>
      </c>
      <c r="DX365" s="157">
        <f t="shared" si="431"/>
        <v>0</v>
      </c>
      <c r="DY365" s="156" t="str">
        <f t="shared" si="432"/>
        <v>OK</v>
      </c>
    </row>
    <row r="366" spans="1:129" ht="13" hidden="1" x14ac:dyDescent="0.3">
      <c r="A366" s="333"/>
      <c r="B366" s="333"/>
      <c r="C366" s="332" t="str">
        <f t="shared" si="440"/>
        <v>-</v>
      </c>
      <c r="D366" s="584">
        <f t="shared" si="412"/>
        <v>343</v>
      </c>
      <c r="E366" s="585"/>
      <c r="F366" s="586"/>
      <c r="G366" s="600"/>
      <c r="H366" s="587"/>
      <c r="I366" s="601"/>
      <c r="J366" s="585"/>
      <c r="K366" s="617"/>
      <c r="L366" s="602"/>
      <c r="M366" s="603"/>
      <c r="N366" s="588"/>
      <c r="O366" s="604"/>
      <c r="P366" s="605"/>
      <c r="Q366" s="588"/>
      <c r="R366" s="604"/>
      <c r="S366" s="605"/>
      <c r="T366" s="606"/>
      <c r="U366" s="606"/>
      <c r="V366" s="429" t="str">
        <f t="shared" si="437"/>
        <v/>
      </c>
      <c r="W366" s="430" t="str">
        <f t="shared" si="436"/>
        <v/>
      </c>
      <c r="X366" s="66" t="str">
        <f>IF(AND(ISNUMBER(P366),N366=FixedDim),MAX('Adjustment factors'!$S$16,0.2+0.8*P366),IF(ISTEXT(N366),VLOOKUP(N366,Afactors,2,TRUE),""))</f>
        <v/>
      </c>
      <c r="Y366" s="17" t="str">
        <f>IF(AND(ISNUMBER(S366),Q366=FixedDim),MAX('Adjustment factors'!$S$16,0.2+0.8*S366),IF(ISTEXT(Q366),VLOOKUP(Q366,Afactors,2,TRUE),""))</f>
        <v/>
      </c>
      <c r="Z366" s="297" t="str">
        <f>IF(ISBLANK(T366),"",VLOOKUP(T366,'Adjustment factors'!$R$27:$S$30,2,TRUE))</f>
        <v/>
      </c>
      <c r="AA366" s="297" t="str">
        <f>IF(ISBLANK(U366),"",VLOOKUP(U366,'Adjustment factors'!$R$27:$S$30,2,TRUE))</f>
        <v/>
      </c>
      <c r="AB366" s="480">
        <f t="shared" si="485"/>
        <v>1</v>
      </c>
      <c r="AC366" s="18" t="b">
        <f t="shared" si="442"/>
        <v>0</v>
      </c>
      <c r="AD366" s="18" t="b">
        <f t="shared" si="443"/>
        <v>0</v>
      </c>
      <c r="AE366" s="18" t="b">
        <f t="shared" si="433"/>
        <v>0</v>
      </c>
      <c r="AF366" s="17" t="str">
        <f t="shared" si="444"/>
        <v/>
      </c>
      <c r="AG366" s="18" t="str">
        <f t="shared" si="445"/>
        <v/>
      </c>
      <c r="AH366" s="17" t="str">
        <f t="shared" si="434"/>
        <v/>
      </c>
      <c r="AI366" s="297" t="e">
        <f t="shared" si="486"/>
        <v>#VALUE!</v>
      </c>
      <c r="AJ366" s="79" t="e">
        <f t="shared" si="446"/>
        <v>#VALUE!</v>
      </c>
      <c r="AK366" s="17" t="str">
        <f t="shared" si="435"/>
        <v/>
      </c>
      <c r="AL366" s="80" t="e">
        <f t="shared" si="447"/>
        <v>#VALUE!</v>
      </c>
      <c r="AM366" s="139" t="b">
        <f t="shared" si="448"/>
        <v>1</v>
      </c>
      <c r="AN366" s="139" t="b">
        <f>AND(COUNTA(E366)&gt;0,ISNUMBER(F366),OR(COUNT(G366:H366)=0,COUNT(G366:H366)=2,AND(ISNUMBER(G366),ISNUMBER(VALUE(LEFT(H366,SUM(LEN(H366)-LEN(SUBSTITUTE(H366,{"0","1","2","3","4","5","6","7","8","9","."},"")))))))),ISNUMBER(I366),ISTEXT(J366))</f>
        <v>0</v>
      </c>
      <c r="AO366" s="19" t="b">
        <f t="shared" si="449"/>
        <v>0</v>
      </c>
      <c r="AP366" s="19" t="b">
        <f t="shared" si="450"/>
        <v>1</v>
      </c>
      <c r="AQ366" s="19" t="b">
        <f>IF(AND(COUNTBLANK(E366:J366)=6,OR(AN367:AN$523)),NOT(AN366))</f>
        <v>0</v>
      </c>
      <c r="AR366" s="19" t="str">
        <f t="shared" si="451"/>
        <v/>
      </c>
      <c r="AS366" s="19" t="b">
        <f t="shared" si="452"/>
        <v>1</v>
      </c>
      <c r="AT366" s="19" t="str">
        <f t="shared" si="453"/>
        <v/>
      </c>
      <c r="AU366" s="19" t="b">
        <f t="shared" si="454"/>
        <v>1</v>
      </c>
      <c r="AV366" s="140" t="str">
        <f t="shared" si="417"/>
        <v/>
      </c>
      <c r="AW366" s="19" t="str">
        <f t="shared" si="455"/>
        <v/>
      </c>
      <c r="AX366" s="81">
        <f t="shared" si="456"/>
        <v>0</v>
      </c>
      <c r="AY366" s="81" t="str">
        <f t="shared" si="457"/>
        <v/>
      </c>
      <c r="AZ366" s="307" t="str">
        <f t="shared" si="487"/>
        <v/>
      </c>
      <c r="BA366" s="281" t="str">
        <f t="shared" si="418"/>
        <v/>
      </c>
      <c r="BB366" s="281" t="str">
        <f t="shared" si="419"/>
        <v/>
      </c>
      <c r="BC366" s="953"/>
      <c r="BD366" s="955"/>
      <c r="BE366" s="219" t="str">
        <f t="shared" si="458"/>
        <v>n/a</v>
      </c>
      <c r="BF366" s="215" t="b">
        <f t="shared" si="459"/>
        <v>0</v>
      </c>
      <c r="BG366" s="145" t="b">
        <f t="shared" si="460"/>
        <v>0</v>
      </c>
      <c r="BH366" s="145" t="b">
        <f t="shared" si="461"/>
        <v>0</v>
      </c>
      <c r="BI366" s="216" t="b">
        <f t="shared" si="462"/>
        <v>0</v>
      </c>
      <c r="BJ366" s="215" t="b">
        <f t="shared" si="463"/>
        <v>0</v>
      </c>
      <c r="BK366" s="145" t="b">
        <f t="shared" si="464"/>
        <v>0</v>
      </c>
      <c r="BL366" s="216" t="b">
        <f t="shared" si="465"/>
        <v>0</v>
      </c>
      <c r="BM366" s="217" t="str">
        <f t="shared" si="420"/>
        <v/>
      </c>
      <c r="BN366" s="146" t="str">
        <f t="shared" si="421"/>
        <v/>
      </c>
      <c r="BO366" s="147" t="str">
        <f t="shared" si="422"/>
        <v/>
      </c>
      <c r="BP366" s="148" t="str">
        <f t="shared" si="423"/>
        <v/>
      </c>
      <c r="BT366" s="50">
        <f t="shared" si="413"/>
        <v>343</v>
      </c>
      <c r="BU366" s="50" t="str">
        <f t="shared" si="439"/>
        <v>-</v>
      </c>
      <c r="BW366" s="340"/>
      <c r="BX366" s="333"/>
      <c r="BY366" s="333"/>
      <c r="BZ366" s="333"/>
      <c r="CA366" s="333"/>
      <c r="CB366" s="333"/>
      <c r="CC366" s="333"/>
      <c r="CD366" s="333"/>
      <c r="CE366" s="333"/>
      <c r="CF366" s="333"/>
      <c r="CG366" s="354">
        <f t="shared" si="466"/>
        <v>343</v>
      </c>
      <c r="CH366" s="613">
        <f t="shared" si="467"/>
        <v>0</v>
      </c>
      <c r="CI366" s="613">
        <f t="shared" si="468"/>
        <v>0</v>
      </c>
      <c r="CJ366" s="614" t="str">
        <f t="shared" si="469"/>
        <v/>
      </c>
      <c r="CK366" s="615" t="str">
        <f t="shared" si="470"/>
        <v/>
      </c>
      <c r="CL366" s="610" t="str">
        <f>IF(ISBLANK(H366),"",IF(AND(ISNUMBER(F366),ISNUMBER(G366),ISNUMBER(H366)),ROUND(F366/(H366*G366),2),ROUND(F366/(VALUE(LEFT(H366,SUM(LEN(H366)-LEN(SUBSTITUTE(H366,{"0","1","2","3","4","5","6","7","8","9","."},"")))))*G366),2)))</f>
        <v/>
      </c>
      <c r="CM366" s="616" t="str">
        <f t="shared" si="424"/>
        <v/>
      </c>
      <c r="CN366" s="616" t="str">
        <f>IF(ISNUMBER(P366),MAX('Adjustment factors'!$S$16,(0.2+0.8*P366)),IF(ISTEXT(N366),VLOOKUP(N366,Afactors,2,FALSE),""))</f>
        <v/>
      </c>
      <c r="CO366" s="616" t="str">
        <f>IF(ISNUMBER(S366),MAX('Adjustment factors'!$S$16,0.2+0.8*S366),IF(ISTEXT(Q366),VLOOKUP(Q366,Afactors,2,FALSE),""))</f>
        <v/>
      </c>
      <c r="CP366" s="611" t="str">
        <f t="shared" si="488"/>
        <v/>
      </c>
      <c r="CQ366" s="612" t="str">
        <f t="shared" si="489"/>
        <v/>
      </c>
      <c r="CR366" s="340"/>
      <c r="CS366" s="340"/>
      <c r="CT366" s="340"/>
      <c r="CU366" s="340"/>
      <c r="CV366" s="333"/>
      <c r="CW366" s="333"/>
      <c r="CX366" s="333"/>
      <c r="CY366" s="333"/>
      <c r="DA366" s="313" t="str">
        <f t="shared" si="471"/>
        <v>OK</v>
      </c>
      <c r="DB366" s="313" t="str">
        <f t="shared" si="472"/>
        <v>OK</v>
      </c>
      <c r="DC366" s="313" t="str">
        <f t="shared" si="473"/>
        <v>OK</v>
      </c>
      <c r="DD366" s="313" t="str">
        <f t="shared" si="474"/>
        <v>OK</v>
      </c>
      <c r="DE366" s="153" t="str">
        <f t="shared" si="475"/>
        <v>OK</v>
      </c>
      <c r="DF366" s="314" t="str">
        <f t="shared" si="476"/>
        <v>OK</v>
      </c>
      <c r="DG366" s="482" t="str">
        <f t="shared" si="490"/>
        <v>OK</v>
      </c>
      <c r="DH366" s="482" t="str">
        <f>IF(OR(AND(T366='Adjustment factors'!$R$28,'Class 3, 5-9'!U366='Adjustment factors'!$R$29),AND('Class 3, 5-9'!T366='Adjustment factors'!$R$29,'Class 3, 5-9'!U366='Adjustment factors'!$R$28)),"Invalid combination of adjustment factors",IF(AND(T366=U366,NOT(ISBLANK(T366)),NOT(ISBLANK(U366))),"Same colour factor selected twice","OK"))</f>
        <v>OK</v>
      </c>
      <c r="DI366" s="313" t="str">
        <f t="shared" si="477"/>
        <v>OK</v>
      </c>
      <c r="DJ366" s="153" t="str">
        <f t="shared" si="425"/>
        <v>OK</v>
      </c>
      <c r="DK366" s="153" t="str">
        <f t="shared" si="478"/>
        <v>OK</v>
      </c>
      <c r="DL366" s="313" t="str">
        <f t="shared" si="479"/>
        <v>OK</v>
      </c>
      <c r="DM366" s="153" t="str">
        <f t="shared" si="480"/>
        <v>OK</v>
      </c>
      <c r="DN366" s="153" t="str">
        <f t="shared" si="426"/>
        <v>OK</v>
      </c>
      <c r="DO366" s="154" t="str">
        <f t="shared" si="427"/>
        <v>OK</v>
      </c>
      <c r="DP366" s="153" t="str">
        <f t="shared" si="481"/>
        <v>OK</v>
      </c>
      <c r="DQ366" s="313" t="str">
        <f t="shared" si="482"/>
        <v>OK</v>
      </c>
      <c r="DR366" s="153" t="str">
        <f t="shared" si="428"/>
        <v>OK</v>
      </c>
      <c r="DS366" s="153" t="str">
        <f t="shared" si="483"/>
        <v>OK</v>
      </c>
      <c r="DT366" s="313" t="str">
        <f t="shared" si="441"/>
        <v>OK</v>
      </c>
      <c r="DU366" s="153" t="str">
        <f t="shared" si="484"/>
        <v>OK</v>
      </c>
      <c r="DV366" s="153" t="str">
        <f t="shared" si="429"/>
        <v>OK</v>
      </c>
      <c r="DW366" s="154" t="str">
        <f t="shared" si="430"/>
        <v>OK</v>
      </c>
      <c r="DX366" s="157">
        <f t="shared" si="431"/>
        <v>0</v>
      </c>
      <c r="DY366" s="156" t="str">
        <f t="shared" si="432"/>
        <v>OK</v>
      </c>
    </row>
    <row r="367" spans="1:129" ht="13" hidden="1" x14ac:dyDescent="0.3">
      <c r="A367" s="333"/>
      <c r="B367" s="333"/>
      <c r="C367" s="332" t="str">
        <f t="shared" si="440"/>
        <v>-</v>
      </c>
      <c r="D367" s="584">
        <f t="shared" si="412"/>
        <v>344</v>
      </c>
      <c r="E367" s="585"/>
      <c r="F367" s="586"/>
      <c r="G367" s="600"/>
      <c r="H367" s="587"/>
      <c r="I367" s="601"/>
      <c r="J367" s="585"/>
      <c r="K367" s="617"/>
      <c r="L367" s="602"/>
      <c r="M367" s="603"/>
      <c r="N367" s="588"/>
      <c r="O367" s="604"/>
      <c r="P367" s="605"/>
      <c r="Q367" s="588"/>
      <c r="R367" s="604"/>
      <c r="S367" s="605"/>
      <c r="T367" s="606"/>
      <c r="U367" s="606"/>
      <c r="V367" s="429" t="str">
        <f t="shared" si="437"/>
        <v/>
      </c>
      <c r="W367" s="430" t="str">
        <f t="shared" si="436"/>
        <v/>
      </c>
      <c r="X367" s="66" t="str">
        <f>IF(AND(ISNUMBER(P367),N367=FixedDim),MAX('Adjustment factors'!$S$16,0.2+0.8*P367),IF(ISTEXT(N367),VLOOKUP(N367,Afactors,2,TRUE),""))</f>
        <v/>
      </c>
      <c r="Y367" s="17" t="str">
        <f>IF(AND(ISNUMBER(S367),Q367=FixedDim),MAX('Adjustment factors'!$S$16,0.2+0.8*S367),IF(ISTEXT(Q367),VLOOKUP(Q367,Afactors,2,TRUE),""))</f>
        <v/>
      </c>
      <c r="Z367" s="297" t="str">
        <f>IF(ISBLANK(T367),"",VLOOKUP(T367,'Adjustment factors'!$R$27:$S$30,2,TRUE))</f>
        <v/>
      </c>
      <c r="AA367" s="297" t="str">
        <f>IF(ISBLANK(U367),"",VLOOKUP(U367,'Adjustment factors'!$R$27:$S$30,2,TRUE))</f>
        <v/>
      </c>
      <c r="AB367" s="480">
        <f t="shared" si="485"/>
        <v>1</v>
      </c>
      <c r="AC367" s="18" t="b">
        <f t="shared" si="442"/>
        <v>0</v>
      </c>
      <c r="AD367" s="18" t="b">
        <f t="shared" si="443"/>
        <v>0</v>
      </c>
      <c r="AE367" s="18" t="b">
        <f t="shared" si="433"/>
        <v>0</v>
      </c>
      <c r="AF367" s="17" t="str">
        <f t="shared" si="444"/>
        <v/>
      </c>
      <c r="AG367" s="18" t="str">
        <f t="shared" si="445"/>
        <v/>
      </c>
      <c r="AH367" s="17" t="str">
        <f t="shared" si="434"/>
        <v/>
      </c>
      <c r="AI367" s="297" t="e">
        <f t="shared" si="486"/>
        <v>#VALUE!</v>
      </c>
      <c r="AJ367" s="79" t="e">
        <f t="shared" si="446"/>
        <v>#VALUE!</v>
      </c>
      <c r="AK367" s="17" t="str">
        <f t="shared" si="435"/>
        <v/>
      </c>
      <c r="AL367" s="80" t="e">
        <f t="shared" si="447"/>
        <v>#VALUE!</v>
      </c>
      <c r="AM367" s="139" t="b">
        <f t="shared" si="448"/>
        <v>1</v>
      </c>
      <c r="AN367" s="139" t="b">
        <f>AND(COUNTA(E367)&gt;0,ISNUMBER(F367),OR(COUNT(G367:H367)=0,COUNT(G367:H367)=2,AND(ISNUMBER(G367),ISNUMBER(VALUE(LEFT(H367,SUM(LEN(H367)-LEN(SUBSTITUTE(H367,{"0","1","2","3","4","5","6","7","8","9","."},"")))))))),ISNUMBER(I367),ISTEXT(J367))</f>
        <v>0</v>
      </c>
      <c r="AO367" s="19" t="b">
        <f t="shared" si="449"/>
        <v>0</v>
      </c>
      <c r="AP367" s="19" t="b">
        <f t="shared" si="450"/>
        <v>1</v>
      </c>
      <c r="AQ367" s="19" t="b">
        <f>IF(AND(COUNTBLANK(E367:J367)=6,OR(AN368:AN$523)),NOT(AN367))</f>
        <v>0</v>
      </c>
      <c r="AR367" s="19" t="str">
        <f t="shared" si="451"/>
        <v/>
      </c>
      <c r="AS367" s="19" t="b">
        <f t="shared" si="452"/>
        <v>1</v>
      </c>
      <c r="AT367" s="19" t="str">
        <f t="shared" si="453"/>
        <v/>
      </c>
      <c r="AU367" s="19" t="b">
        <f t="shared" si="454"/>
        <v>1</v>
      </c>
      <c r="AV367" s="140" t="str">
        <f t="shared" si="417"/>
        <v/>
      </c>
      <c r="AW367" s="19" t="str">
        <f t="shared" si="455"/>
        <v/>
      </c>
      <c r="AX367" s="81">
        <f t="shared" si="456"/>
        <v>0</v>
      </c>
      <c r="AY367" s="81" t="str">
        <f t="shared" si="457"/>
        <v/>
      </c>
      <c r="AZ367" s="307" t="str">
        <f t="shared" si="487"/>
        <v/>
      </c>
      <c r="BA367" s="281" t="str">
        <f t="shared" si="418"/>
        <v/>
      </c>
      <c r="BB367" s="281" t="str">
        <f t="shared" si="419"/>
        <v/>
      </c>
      <c r="BC367" s="953"/>
      <c r="BD367" s="955"/>
      <c r="BE367" s="219" t="str">
        <f t="shared" si="458"/>
        <v>n/a</v>
      </c>
      <c r="BF367" s="215" t="b">
        <f t="shared" si="459"/>
        <v>0</v>
      </c>
      <c r="BG367" s="145" t="b">
        <f t="shared" si="460"/>
        <v>0</v>
      </c>
      <c r="BH367" s="145" t="b">
        <f t="shared" si="461"/>
        <v>0</v>
      </c>
      <c r="BI367" s="216" t="b">
        <f t="shared" si="462"/>
        <v>0</v>
      </c>
      <c r="BJ367" s="215" t="b">
        <f t="shared" si="463"/>
        <v>0</v>
      </c>
      <c r="BK367" s="145" t="b">
        <f t="shared" si="464"/>
        <v>0</v>
      </c>
      <c r="BL367" s="216" t="b">
        <f t="shared" si="465"/>
        <v>0</v>
      </c>
      <c r="BM367" s="217" t="str">
        <f t="shared" si="420"/>
        <v/>
      </c>
      <c r="BN367" s="146" t="str">
        <f t="shared" si="421"/>
        <v/>
      </c>
      <c r="BO367" s="147" t="str">
        <f t="shared" si="422"/>
        <v/>
      </c>
      <c r="BP367" s="148" t="str">
        <f t="shared" si="423"/>
        <v/>
      </c>
      <c r="BT367" s="50">
        <f t="shared" si="413"/>
        <v>344</v>
      </c>
      <c r="BU367" s="50" t="str">
        <f t="shared" si="439"/>
        <v>-</v>
      </c>
      <c r="BW367" s="340"/>
      <c r="BX367" s="333"/>
      <c r="BY367" s="333"/>
      <c r="BZ367" s="333"/>
      <c r="CA367" s="333"/>
      <c r="CB367" s="333"/>
      <c r="CC367" s="333"/>
      <c r="CD367" s="333"/>
      <c r="CE367" s="333"/>
      <c r="CF367" s="333"/>
      <c r="CG367" s="354">
        <f t="shared" si="466"/>
        <v>344</v>
      </c>
      <c r="CH367" s="613">
        <f t="shared" si="467"/>
        <v>0</v>
      </c>
      <c r="CI367" s="613">
        <f t="shared" si="468"/>
        <v>0</v>
      </c>
      <c r="CJ367" s="614" t="str">
        <f t="shared" si="469"/>
        <v/>
      </c>
      <c r="CK367" s="615" t="str">
        <f t="shared" si="470"/>
        <v/>
      </c>
      <c r="CL367" s="610" t="str">
        <f>IF(ISBLANK(H367),"",IF(AND(ISNUMBER(F367),ISNUMBER(G367),ISNUMBER(H367)),ROUND(F367/(H367*G367),2),ROUND(F367/(VALUE(LEFT(H367,SUM(LEN(H367)-LEN(SUBSTITUTE(H367,{"0","1","2","3","4","5","6","7","8","9","."},"")))))*G367),2)))</f>
        <v/>
      </c>
      <c r="CM367" s="616" t="str">
        <f t="shared" si="424"/>
        <v/>
      </c>
      <c r="CN367" s="616" t="str">
        <f>IF(ISNUMBER(P367),MAX('Adjustment factors'!$S$16,(0.2+0.8*P367)),IF(ISTEXT(N367),VLOOKUP(N367,Afactors,2,FALSE),""))</f>
        <v/>
      </c>
      <c r="CO367" s="616" t="str">
        <f>IF(ISNUMBER(S367),MAX('Adjustment factors'!$S$16,0.2+0.8*S367),IF(ISTEXT(Q367),VLOOKUP(Q367,Afactors,2,FALSE),""))</f>
        <v/>
      </c>
      <c r="CP367" s="611" t="str">
        <f t="shared" si="488"/>
        <v/>
      </c>
      <c r="CQ367" s="612" t="str">
        <f t="shared" si="489"/>
        <v/>
      </c>
      <c r="CR367" s="340"/>
      <c r="CS367" s="340"/>
      <c r="CT367" s="340"/>
      <c r="CU367" s="340"/>
      <c r="CV367" s="333"/>
      <c r="CW367" s="333"/>
      <c r="CX367" s="333"/>
      <c r="CY367" s="333"/>
      <c r="DA367" s="313" t="str">
        <f t="shared" si="471"/>
        <v>OK</v>
      </c>
      <c r="DB367" s="313" t="str">
        <f t="shared" si="472"/>
        <v>OK</v>
      </c>
      <c r="DC367" s="313" t="str">
        <f t="shared" si="473"/>
        <v>OK</v>
      </c>
      <c r="DD367" s="313" t="str">
        <f t="shared" si="474"/>
        <v>OK</v>
      </c>
      <c r="DE367" s="153" t="str">
        <f t="shared" si="475"/>
        <v>OK</v>
      </c>
      <c r="DF367" s="314" t="str">
        <f t="shared" si="476"/>
        <v>OK</v>
      </c>
      <c r="DG367" s="482" t="str">
        <f t="shared" si="490"/>
        <v>OK</v>
      </c>
      <c r="DH367" s="482" t="str">
        <f>IF(OR(AND(T367='Adjustment factors'!$R$28,'Class 3, 5-9'!U367='Adjustment factors'!$R$29),AND('Class 3, 5-9'!T367='Adjustment factors'!$R$29,'Class 3, 5-9'!U367='Adjustment factors'!$R$28)),"Invalid combination of adjustment factors",IF(AND(T367=U367,NOT(ISBLANK(T367)),NOT(ISBLANK(U367))),"Same colour factor selected twice","OK"))</f>
        <v>OK</v>
      </c>
      <c r="DI367" s="313" t="str">
        <f t="shared" si="477"/>
        <v>OK</v>
      </c>
      <c r="DJ367" s="153" t="str">
        <f t="shared" si="425"/>
        <v>OK</v>
      </c>
      <c r="DK367" s="153" t="str">
        <f t="shared" si="478"/>
        <v>OK</v>
      </c>
      <c r="DL367" s="313" t="str">
        <f t="shared" si="479"/>
        <v>OK</v>
      </c>
      <c r="DM367" s="153" t="str">
        <f t="shared" si="480"/>
        <v>OK</v>
      </c>
      <c r="DN367" s="153" t="str">
        <f t="shared" si="426"/>
        <v>OK</v>
      </c>
      <c r="DO367" s="154" t="str">
        <f t="shared" si="427"/>
        <v>OK</v>
      </c>
      <c r="DP367" s="153" t="str">
        <f t="shared" si="481"/>
        <v>OK</v>
      </c>
      <c r="DQ367" s="313" t="str">
        <f t="shared" si="482"/>
        <v>OK</v>
      </c>
      <c r="DR367" s="153" t="str">
        <f t="shared" si="428"/>
        <v>OK</v>
      </c>
      <c r="DS367" s="153" t="str">
        <f t="shared" si="483"/>
        <v>OK</v>
      </c>
      <c r="DT367" s="313" t="str">
        <f t="shared" si="441"/>
        <v>OK</v>
      </c>
      <c r="DU367" s="153" t="str">
        <f t="shared" si="484"/>
        <v>OK</v>
      </c>
      <c r="DV367" s="153" t="str">
        <f t="shared" si="429"/>
        <v>OK</v>
      </c>
      <c r="DW367" s="154" t="str">
        <f t="shared" si="430"/>
        <v>OK</v>
      </c>
      <c r="DX367" s="157">
        <f t="shared" si="431"/>
        <v>0</v>
      </c>
      <c r="DY367" s="156" t="str">
        <f t="shared" si="432"/>
        <v>OK</v>
      </c>
    </row>
    <row r="368" spans="1:129" ht="13" hidden="1" x14ac:dyDescent="0.3">
      <c r="A368" s="333"/>
      <c r="B368" s="333"/>
      <c r="C368" s="332" t="str">
        <f t="shared" si="440"/>
        <v>-</v>
      </c>
      <c r="D368" s="584">
        <f t="shared" si="412"/>
        <v>345</v>
      </c>
      <c r="E368" s="585"/>
      <c r="F368" s="586"/>
      <c r="G368" s="600"/>
      <c r="H368" s="587"/>
      <c r="I368" s="601"/>
      <c r="J368" s="585"/>
      <c r="K368" s="617"/>
      <c r="L368" s="602"/>
      <c r="M368" s="603"/>
      <c r="N368" s="588"/>
      <c r="O368" s="604"/>
      <c r="P368" s="605"/>
      <c r="Q368" s="588"/>
      <c r="R368" s="604"/>
      <c r="S368" s="605"/>
      <c r="T368" s="606"/>
      <c r="U368" s="606"/>
      <c r="V368" s="429" t="str">
        <f t="shared" si="437"/>
        <v/>
      </c>
      <c r="W368" s="430" t="str">
        <f t="shared" si="436"/>
        <v/>
      </c>
      <c r="X368" s="66" t="str">
        <f>IF(AND(ISNUMBER(P368),N368=FixedDim),MAX('Adjustment factors'!$S$16,0.2+0.8*P368),IF(ISTEXT(N368),VLOOKUP(N368,Afactors,2,TRUE),""))</f>
        <v/>
      </c>
      <c r="Y368" s="17" t="str">
        <f>IF(AND(ISNUMBER(S368),Q368=FixedDim),MAX('Adjustment factors'!$S$16,0.2+0.8*S368),IF(ISTEXT(Q368),VLOOKUP(Q368,Afactors,2,TRUE),""))</f>
        <v/>
      </c>
      <c r="Z368" s="297" t="str">
        <f>IF(ISBLANK(T368),"",VLOOKUP(T368,'Adjustment factors'!$R$27:$S$30,2,TRUE))</f>
        <v/>
      </c>
      <c r="AA368" s="297" t="str">
        <f>IF(ISBLANK(U368),"",VLOOKUP(U368,'Adjustment factors'!$R$27:$S$30,2,TRUE))</f>
        <v/>
      </c>
      <c r="AB368" s="480">
        <f t="shared" si="485"/>
        <v>1</v>
      </c>
      <c r="AC368" s="18" t="b">
        <f t="shared" si="442"/>
        <v>0</v>
      </c>
      <c r="AD368" s="18" t="b">
        <f t="shared" si="443"/>
        <v>0</v>
      </c>
      <c r="AE368" s="18" t="b">
        <f t="shared" si="433"/>
        <v>0</v>
      </c>
      <c r="AF368" s="17" t="str">
        <f t="shared" si="444"/>
        <v/>
      </c>
      <c r="AG368" s="18" t="str">
        <f t="shared" si="445"/>
        <v/>
      </c>
      <c r="AH368" s="17" t="str">
        <f t="shared" si="434"/>
        <v/>
      </c>
      <c r="AI368" s="297" t="e">
        <f t="shared" si="486"/>
        <v>#VALUE!</v>
      </c>
      <c r="AJ368" s="79" t="e">
        <f t="shared" si="446"/>
        <v>#VALUE!</v>
      </c>
      <c r="AK368" s="17" t="str">
        <f t="shared" si="435"/>
        <v/>
      </c>
      <c r="AL368" s="80" t="e">
        <f t="shared" si="447"/>
        <v>#VALUE!</v>
      </c>
      <c r="AM368" s="139" t="b">
        <f t="shared" si="448"/>
        <v>1</v>
      </c>
      <c r="AN368" s="139" t="b">
        <f>AND(COUNTA(E368)&gt;0,ISNUMBER(F368),OR(COUNT(G368:H368)=0,COUNT(G368:H368)=2,AND(ISNUMBER(G368),ISNUMBER(VALUE(LEFT(H368,SUM(LEN(H368)-LEN(SUBSTITUTE(H368,{"0","1","2","3","4","5","6","7","8","9","."},"")))))))),ISNUMBER(I368),ISTEXT(J368))</f>
        <v>0</v>
      </c>
      <c r="AO368" s="19" t="b">
        <f t="shared" si="449"/>
        <v>0</v>
      </c>
      <c r="AP368" s="19" t="b">
        <f t="shared" si="450"/>
        <v>1</v>
      </c>
      <c r="AQ368" s="19" t="b">
        <f>IF(AND(COUNTBLANK(E368:J368)=6,OR(AN369:AN$523)),NOT(AN368))</f>
        <v>0</v>
      </c>
      <c r="AR368" s="19" t="str">
        <f t="shared" si="451"/>
        <v/>
      </c>
      <c r="AS368" s="19" t="b">
        <f t="shared" si="452"/>
        <v>1</v>
      </c>
      <c r="AT368" s="19" t="str">
        <f t="shared" si="453"/>
        <v/>
      </c>
      <c r="AU368" s="19" t="b">
        <f t="shared" si="454"/>
        <v>1</v>
      </c>
      <c r="AV368" s="140" t="str">
        <f t="shared" si="417"/>
        <v/>
      </c>
      <c r="AW368" s="19" t="str">
        <f t="shared" si="455"/>
        <v/>
      </c>
      <c r="AX368" s="81">
        <f t="shared" si="456"/>
        <v>0</v>
      </c>
      <c r="AY368" s="81" t="str">
        <f t="shared" si="457"/>
        <v/>
      </c>
      <c r="AZ368" s="307" t="str">
        <f t="shared" si="487"/>
        <v/>
      </c>
      <c r="BA368" s="281" t="str">
        <f t="shared" si="418"/>
        <v/>
      </c>
      <c r="BB368" s="281" t="str">
        <f t="shared" si="419"/>
        <v/>
      </c>
      <c r="BC368" s="953"/>
      <c r="BD368" s="955"/>
      <c r="BE368" s="219" t="str">
        <f t="shared" si="458"/>
        <v>n/a</v>
      </c>
      <c r="BF368" s="215" t="b">
        <f t="shared" si="459"/>
        <v>0</v>
      </c>
      <c r="BG368" s="145" t="b">
        <f t="shared" si="460"/>
        <v>0</v>
      </c>
      <c r="BH368" s="145" t="b">
        <f t="shared" si="461"/>
        <v>0</v>
      </c>
      <c r="BI368" s="216" t="b">
        <f t="shared" si="462"/>
        <v>0</v>
      </c>
      <c r="BJ368" s="215" t="b">
        <f t="shared" si="463"/>
        <v>0</v>
      </c>
      <c r="BK368" s="145" t="b">
        <f t="shared" si="464"/>
        <v>0</v>
      </c>
      <c r="BL368" s="216" t="b">
        <f t="shared" si="465"/>
        <v>0</v>
      </c>
      <c r="BM368" s="217" t="str">
        <f t="shared" si="420"/>
        <v/>
      </c>
      <c r="BN368" s="146" t="str">
        <f t="shared" si="421"/>
        <v/>
      </c>
      <c r="BO368" s="147" t="str">
        <f t="shared" si="422"/>
        <v/>
      </c>
      <c r="BP368" s="148" t="str">
        <f t="shared" si="423"/>
        <v/>
      </c>
      <c r="BT368" s="50">
        <f t="shared" si="413"/>
        <v>345</v>
      </c>
      <c r="BU368" s="50" t="str">
        <f t="shared" si="439"/>
        <v>-</v>
      </c>
      <c r="BW368" s="340"/>
      <c r="BX368" s="333"/>
      <c r="BY368" s="333"/>
      <c r="BZ368" s="333"/>
      <c r="CA368" s="333"/>
      <c r="CB368" s="333"/>
      <c r="CC368" s="333"/>
      <c r="CD368" s="333"/>
      <c r="CE368" s="333"/>
      <c r="CF368" s="333"/>
      <c r="CG368" s="354">
        <f t="shared" si="466"/>
        <v>345</v>
      </c>
      <c r="CH368" s="613">
        <f t="shared" si="467"/>
        <v>0</v>
      </c>
      <c r="CI368" s="613">
        <f t="shared" si="468"/>
        <v>0</v>
      </c>
      <c r="CJ368" s="614" t="str">
        <f t="shared" si="469"/>
        <v/>
      </c>
      <c r="CK368" s="615" t="str">
        <f t="shared" si="470"/>
        <v/>
      </c>
      <c r="CL368" s="610" t="str">
        <f>IF(ISBLANK(H368),"",IF(AND(ISNUMBER(F368),ISNUMBER(G368),ISNUMBER(H368)),ROUND(F368/(H368*G368),2),ROUND(F368/(VALUE(LEFT(H368,SUM(LEN(H368)-LEN(SUBSTITUTE(H368,{"0","1","2","3","4","5","6","7","8","9","."},"")))))*G368),2)))</f>
        <v/>
      </c>
      <c r="CM368" s="616" t="str">
        <f t="shared" si="424"/>
        <v/>
      </c>
      <c r="CN368" s="616" t="str">
        <f>IF(ISNUMBER(P368),MAX('Adjustment factors'!$S$16,(0.2+0.8*P368)),IF(ISTEXT(N368),VLOOKUP(N368,Afactors,2,FALSE),""))</f>
        <v/>
      </c>
      <c r="CO368" s="616" t="str">
        <f>IF(ISNUMBER(S368),MAX('Adjustment factors'!$S$16,0.2+0.8*S368),IF(ISTEXT(Q368),VLOOKUP(Q368,Afactors,2,FALSE),""))</f>
        <v/>
      </c>
      <c r="CP368" s="611" t="str">
        <f t="shared" si="488"/>
        <v/>
      </c>
      <c r="CQ368" s="612" t="str">
        <f t="shared" si="489"/>
        <v/>
      </c>
      <c r="CR368" s="340"/>
      <c r="CS368" s="340"/>
      <c r="CT368" s="340"/>
      <c r="CU368" s="340"/>
      <c r="CV368" s="333"/>
      <c r="CW368" s="333"/>
      <c r="CX368" s="333"/>
      <c r="CY368" s="333"/>
      <c r="DA368" s="313" t="str">
        <f t="shared" si="471"/>
        <v>OK</v>
      </c>
      <c r="DB368" s="313" t="str">
        <f t="shared" si="472"/>
        <v>OK</v>
      </c>
      <c r="DC368" s="313" t="str">
        <f t="shared" si="473"/>
        <v>OK</v>
      </c>
      <c r="DD368" s="313" t="str">
        <f t="shared" si="474"/>
        <v>OK</v>
      </c>
      <c r="DE368" s="153" t="str">
        <f t="shared" si="475"/>
        <v>OK</v>
      </c>
      <c r="DF368" s="314" t="str">
        <f t="shared" si="476"/>
        <v>OK</v>
      </c>
      <c r="DG368" s="482" t="str">
        <f t="shared" si="490"/>
        <v>OK</v>
      </c>
      <c r="DH368" s="482" t="str">
        <f>IF(OR(AND(T368='Adjustment factors'!$R$28,'Class 3, 5-9'!U368='Adjustment factors'!$R$29),AND('Class 3, 5-9'!T368='Adjustment factors'!$R$29,'Class 3, 5-9'!U368='Adjustment factors'!$R$28)),"Invalid combination of adjustment factors",IF(AND(T368=U368,NOT(ISBLANK(T368)),NOT(ISBLANK(U368))),"Same colour factor selected twice","OK"))</f>
        <v>OK</v>
      </c>
      <c r="DI368" s="313" t="str">
        <f t="shared" si="477"/>
        <v>OK</v>
      </c>
      <c r="DJ368" s="153" t="str">
        <f t="shared" si="425"/>
        <v>OK</v>
      </c>
      <c r="DK368" s="153" t="str">
        <f t="shared" si="478"/>
        <v>OK</v>
      </c>
      <c r="DL368" s="313" t="str">
        <f t="shared" si="479"/>
        <v>OK</v>
      </c>
      <c r="DM368" s="153" t="str">
        <f t="shared" si="480"/>
        <v>OK</v>
      </c>
      <c r="DN368" s="153" t="str">
        <f t="shared" si="426"/>
        <v>OK</v>
      </c>
      <c r="DO368" s="154" t="str">
        <f t="shared" si="427"/>
        <v>OK</v>
      </c>
      <c r="DP368" s="153" t="str">
        <f t="shared" si="481"/>
        <v>OK</v>
      </c>
      <c r="DQ368" s="313" t="str">
        <f t="shared" si="482"/>
        <v>OK</v>
      </c>
      <c r="DR368" s="153" t="str">
        <f t="shared" si="428"/>
        <v>OK</v>
      </c>
      <c r="DS368" s="153" t="str">
        <f t="shared" si="483"/>
        <v>OK</v>
      </c>
      <c r="DT368" s="313" t="str">
        <f t="shared" si="441"/>
        <v>OK</v>
      </c>
      <c r="DU368" s="153" t="str">
        <f t="shared" si="484"/>
        <v>OK</v>
      </c>
      <c r="DV368" s="153" t="str">
        <f t="shared" si="429"/>
        <v>OK</v>
      </c>
      <c r="DW368" s="154" t="str">
        <f t="shared" si="430"/>
        <v>OK</v>
      </c>
      <c r="DX368" s="157">
        <f t="shared" si="431"/>
        <v>0</v>
      </c>
      <c r="DY368" s="156" t="str">
        <f t="shared" si="432"/>
        <v>OK</v>
      </c>
    </row>
    <row r="369" spans="1:129" ht="13" hidden="1" x14ac:dyDescent="0.3">
      <c r="A369" s="333"/>
      <c r="B369" s="333"/>
      <c r="C369" s="332" t="str">
        <f t="shared" si="440"/>
        <v>-</v>
      </c>
      <c r="D369" s="584">
        <f t="shared" si="412"/>
        <v>346</v>
      </c>
      <c r="E369" s="585"/>
      <c r="F369" s="586"/>
      <c r="G369" s="600"/>
      <c r="H369" s="587"/>
      <c r="I369" s="601"/>
      <c r="J369" s="585"/>
      <c r="K369" s="617"/>
      <c r="L369" s="602"/>
      <c r="M369" s="603"/>
      <c r="N369" s="588"/>
      <c r="O369" s="604"/>
      <c r="P369" s="605"/>
      <c r="Q369" s="588"/>
      <c r="R369" s="604"/>
      <c r="S369" s="605"/>
      <c r="T369" s="606"/>
      <c r="U369" s="606"/>
      <c r="V369" s="429" t="str">
        <f t="shared" si="437"/>
        <v/>
      </c>
      <c r="W369" s="430" t="str">
        <f t="shared" si="436"/>
        <v/>
      </c>
      <c r="X369" s="66" t="str">
        <f>IF(AND(ISNUMBER(P369),N369=FixedDim),MAX('Adjustment factors'!$S$16,0.2+0.8*P369),IF(ISTEXT(N369),VLOOKUP(N369,Afactors,2,TRUE),""))</f>
        <v/>
      </c>
      <c r="Y369" s="17" t="str">
        <f>IF(AND(ISNUMBER(S369),Q369=FixedDim),MAX('Adjustment factors'!$S$16,0.2+0.8*S369),IF(ISTEXT(Q369),VLOOKUP(Q369,Afactors,2,TRUE),""))</f>
        <v/>
      </c>
      <c r="Z369" s="297" t="str">
        <f>IF(ISBLANK(T369),"",VLOOKUP(T369,'Adjustment factors'!$R$27:$S$30,2,TRUE))</f>
        <v/>
      </c>
      <c r="AA369" s="297" t="str">
        <f>IF(ISBLANK(U369),"",VLOOKUP(U369,'Adjustment factors'!$R$27:$S$30,2,TRUE))</f>
        <v/>
      </c>
      <c r="AB369" s="480">
        <f t="shared" si="485"/>
        <v>1</v>
      </c>
      <c r="AC369" s="18" t="b">
        <f t="shared" si="442"/>
        <v>0</v>
      </c>
      <c r="AD369" s="18" t="b">
        <f t="shared" si="443"/>
        <v>0</v>
      </c>
      <c r="AE369" s="18" t="b">
        <f t="shared" si="433"/>
        <v>0</v>
      </c>
      <c r="AF369" s="17" t="str">
        <f t="shared" si="444"/>
        <v/>
      </c>
      <c r="AG369" s="18" t="str">
        <f t="shared" si="445"/>
        <v/>
      </c>
      <c r="AH369" s="17" t="str">
        <f t="shared" si="434"/>
        <v/>
      </c>
      <c r="AI369" s="297" t="e">
        <f t="shared" si="486"/>
        <v>#VALUE!</v>
      </c>
      <c r="AJ369" s="79" t="e">
        <f t="shared" si="446"/>
        <v>#VALUE!</v>
      </c>
      <c r="AK369" s="17" t="str">
        <f t="shared" si="435"/>
        <v/>
      </c>
      <c r="AL369" s="80" t="e">
        <f t="shared" si="447"/>
        <v>#VALUE!</v>
      </c>
      <c r="AM369" s="139" t="b">
        <f t="shared" si="448"/>
        <v>1</v>
      </c>
      <c r="AN369" s="139" t="b">
        <f>AND(COUNTA(E369)&gt;0,ISNUMBER(F369),OR(COUNT(G369:H369)=0,COUNT(G369:H369)=2,AND(ISNUMBER(G369),ISNUMBER(VALUE(LEFT(H369,SUM(LEN(H369)-LEN(SUBSTITUTE(H369,{"0","1","2","3","4","5","6","7","8","9","."},"")))))))),ISNUMBER(I369),ISTEXT(J369))</f>
        <v>0</v>
      </c>
      <c r="AO369" s="19" t="b">
        <f t="shared" si="449"/>
        <v>0</v>
      </c>
      <c r="AP369" s="19" t="b">
        <f t="shared" si="450"/>
        <v>1</v>
      </c>
      <c r="AQ369" s="19" t="b">
        <f>IF(AND(COUNTBLANK(E369:J369)=6,OR(AN370:AN$523)),NOT(AN369))</f>
        <v>0</v>
      </c>
      <c r="AR369" s="19" t="str">
        <f t="shared" si="451"/>
        <v/>
      </c>
      <c r="AS369" s="19" t="b">
        <f t="shared" si="452"/>
        <v>1</v>
      </c>
      <c r="AT369" s="19" t="str">
        <f t="shared" si="453"/>
        <v/>
      </c>
      <c r="AU369" s="19" t="b">
        <f t="shared" si="454"/>
        <v>1</v>
      </c>
      <c r="AV369" s="140" t="str">
        <f t="shared" si="417"/>
        <v/>
      </c>
      <c r="AW369" s="19" t="str">
        <f t="shared" si="455"/>
        <v/>
      </c>
      <c r="AX369" s="81">
        <f t="shared" si="456"/>
        <v>0</v>
      </c>
      <c r="AY369" s="81" t="str">
        <f t="shared" si="457"/>
        <v/>
      </c>
      <c r="AZ369" s="307" t="str">
        <f t="shared" si="487"/>
        <v/>
      </c>
      <c r="BA369" s="281" t="str">
        <f t="shared" si="418"/>
        <v/>
      </c>
      <c r="BB369" s="281" t="str">
        <f t="shared" si="419"/>
        <v/>
      </c>
      <c r="BC369" s="953"/>
      <c r="BD369" s="955"/>
      <c r="BE369" s="219" t="str">
        <f t="shared" si="458"/>
        <v>n/a</v>
      </c>
      <c r="BF369" s="215" t="b">
        <f t="shared" si="459"/>
        <v>0</v>
      </c>
      <c r="BG369" s="145" t="b">
        <f t="shared" si="460"/>
        <v>0</v>
      </c>
      <c r="BH369" s="145" t="b">
        <f t="shared" si="461"/>
        <v>0</v>
      </c>
      <c r="BI369" s="216" t="b">
        <f t="shared" si="462"/>
        <v>0</v>
      </c>
      <c r="BJ369" s="215" t="b">
        <f t="shared" si="463"/>
        <v>0</v>
      </c>
      <c r="BK369" s="145" t="b">
        <f t="shared" si="464"/>
        <v>0</v>
      </c>
      <c r="BL369" s="216" t="b">
        <f t="shared" si="465"/>
        <v>0</v>
      </c>
      <c r="BM369" s="217" t="str">
        <f t="shared" si="420"/>
        <v/>
      </c>
      <c r="BN369" s="146" t="str">
        <f t="shared" si="421"/>
        <v/>
      </c>
      <c r="BO369" s="147" t="str">
        <f t="shared" si="422"/>
        <v/>
      </c>
      <c r="BP369" s="148" t="str">
        <f t="shared" si="423"/>
        <v/>
      </c>
      <c r="BT369" s="50">
        <f t="shared" si="413"/>
        <v>346</v>
      </c>
      <c r="BU369" s="50" t="str">
        <f t="shared" si="439"/>
        <v>-</v>
      </c>
      <c r="BW369" s="340"/>
      <c r="BX369" s="333"/>
      <c r="BY369" s="333"/>
      <c r="BZ369" s="333"/>
      <c r="CA369" s="333"/>
      <c r="CB369" s="333"/>
      <c r="CC369" s="333"/>
      <c r="CD369" s="333"/>
      <c r="CE369" s="333"/>
      <c r="CF369" s="333"/>
      <c r="CG369" s="354">
        <f t="shared" si="466"/>
        <v>346</v>
      </c>
      <c r="CH369" s="613">
        <f t="shared" si="467"/>
        <v>0</v>
      </c>
      <c r="CI369" s="613">
        <f t="shared" si="468"/>
        <v>0</v>
      </c>
      <c r="CJ369" s="614" t="str">
        <f t="shared" si="469"/>
        <v/>
      </c>
      <c r="CK369" s="615" t="str">
        <f t="shared" si="470"/>
        <v/>
      </c>
      <c r="CL369" s="610" t="str">
        <f>IF(ISBLANK(H369),"",IF(AND(ISNUMBER(F369),ISNUMBER(G369),ISNUMBER(H369)),ROUND(F369/(H369*G369),2),ROUND(F369/(VALUE(LEFT(H369,SUM(LEN(H369)-LEN(SUBSTITUTE(H369,{"0","1","2","3","4","5","6","7","8","9","."},"")))))*G369),2)))</f>
        <v/>
      </c>
      <c r="CM369" s="616" t="str">
        <f t="shared" si="424"/>
        <v/>
      </c>
      <c r="CN369" s="616" t="str">
        <f>IF(ISNUMBER(P369),MAX('Adjustment factors'!$S$16,(0.2+0.8*P369)),IF(ISTEXT(N369),VLOOKUP(N369,Afactors,2,FALSE),""))</f>
        <v/>
      </c>
      <c r="CO369" s="616" t="str">
        <f>IF(ISNUMBER(S369),MAX('Adjustment factors'!$S$16,0.2+0.8*S369),IF(ISTEXT(Q369),VLOOKUP(Q369,Afactors,2,FALSE),""))</f>
        <v/>
      </c>
      <c r="CP369" s="611" t="str">
        <f t="shared" si="488"/>
        <v/>
      </c>
      <c r="CQ369" s="612" t="str">
        <f t="shared" si="489"/>
        <v/>
      </c>
      <c r="CR369" s="340"/>
      <c r="CS369" s="340"/>
      <c r="CT369" s="340"/>
      <c r="CU369" s="340"/>
      <c r="CV369" s="333"/>
      <c r="CW369" s="333"/>
      <c r="CX369" s="333"/>
      <c r="CY369" s="333"/>
      <c r="DA369" s="313" t="str">
        <f t="shared" si="471"/>
        <v>OK</v>
      </c>
      <c r="DB369" s="313" t="str">
        <f t="shared" si="472"/>
        <v>OK</v>
      </c>
      <c r="DC369" s="313" t="str">
        <f t="shared" si="473"/>
        <v>OK</v>
      </c>
      <c r="DD369" s="313" t="str">
        <f t="shared" si="474"/>
        <v>OK</v>
      </c>
      <c r="DE369" s="153" t="str">
        <f t="shared" si="475"/>
        <v>OK</v>
      </c>
      <c r="DF369" s="314" t="str">
        <f t="shared" si="476"/>
        <v>OK</v>
      </c>
      <c r="DG369" s="482" t="str">
        <f t="shared" si="490"/>
        <v>OK</v>
      </c>
      <c r="DH369" s="482" t="str">
        <f>IF(OR(AND(T369='Adjustment factors'!$R$28,'Class 3, 5-9'!U369='Adjustment factors'!$R$29),AND('Class 3, 5-9'!T369='Adjustment factors'!$R$29,'Class 3, 5-9'!U369='Adjustment factors'!$R$28)),"Invalid combination of adjustment factors",IF(AND(T369=U369,NOT(ISBLANK(T369)),NOT(ISBLANK(U369))),"Same colour factor selected twice","OK"))</f>
        <v>OK</v>
      </c>
      <c r="DI369" s="313" t="str">
        <f t="shared" si="477"/>
        <v>OK</v>
      </c>
      <c r="DJ369" s="153" t="str">
        <f t="shared" si="425"/>
        <v>OK</v>
      </c>
      <c r="DK369" s="153" t="str">
        <f t="shared" si="478"/>
        <v>OK</v>
      </c>
      <c r="DL369" s="313" t="str">
        <f t="shared" si="479"/>
        <v>OK</v>
      </c>
      <c r="DM369" s="153" t="str">
        <f t="shared" si="480"/>
        <v>OK</v>
      </c>
      <c r="DN369" s="153" t="str">
        <f t="shared" si="426"/>
        <v>OK</v>
      </c>
      <c r="DO369" s="154" t="str">
        <f t="shared" si="427"/>
        <v>OK</v>
      </c>
      <c r="DP369" s="153" t="str">
        <f t="shared" si="481"/>
        <v>OK</v>
      </c>
      <c r="DQ369" s="313" t="str">
        <f t="shared" si="482"/>
        <v>OK</v>
      </c>
      <c r="DR369" s="153" t="str">
        <f t="shared" si="428"/>
        <v>OK</v>
      </c>
      <c r="DS369" s="153" t="str">
        <f t="shared" si="483"/>
        <v>OK</v>
      </c>
      <c r="DT369" s="313" t="str">
        <f t="shared" si="441"/>
        <v>OK</v>
      </c>
      <c r="DU369" s="153" t="str">
        <f t="shared" si="484"/>
        <v>OK</v>
      </c>
      <c r="DV369" s="153" t="str">
        <f t="shared" si="429"/>
        <v>OK</v>
      </c>
      <c r="DW369" s="154" t="str">
        <f t="shared" si="430"/>
        <v>OK</v>
      </c>
      <c r="DX369" s="157">
        <f t="shared" si="431"/>
        <v>0</v>
      </c>
      <c r="DY369" s="156" t="str">
        <f t="shared" si="432"/>
        <v>OK</v>
      </c>
    </row>
    <row r="370" spans="1:129" ht="13" hidden="1" x14ac:dyDescent="0.3">
      <c r="A370" s="333"/>
      <c r="B370" s="333"/>
      <c r="C370" s="332" t="str">
        <f t="shared" si="440"/>
        <v>-</v>
      </c>
      <c r="D370" s="584">
        <f t="shared" si="412"/>
        <v>347</v>
      </c>
      <c r="E370" s="585"/>
      <c r="F370" s="586"/>
      <c r="G370" s="600"/>
      <c r="H370" s="587"/>
      <c r="I370" s="601"/>
      <c r="J370" s="585"/>
      <c r="K370" s="617"/>
      <c r="L370" s="602"/>
      <c r="M370" s="603"/>
      <c r="N370" s="588"/>
      <c r="O370" s="604"/>
      <c r="P370" s="605"/>
      <c r="Q370" s="588"/>
      <c r="R370" s="604"/>
      <c r="S370" s="605"/>
      <c r="T370" s="606"/>
      <c r="U370" s="606"/>
      <c r="V370" s="429" t="str">
        <f t="shared" si="437"/>
        <v/>
      </c>
      <c r="W370" s="430" t="str">
        <f t="shared" si="436"/>
        <v/>
      </c>
      <c r="X370" s="66" t="str">
        <f>IF(AND(ISNUMBER(P370),N370=FixedDim),MAX('Adjustment factors'!$S$16,0.2+0.8*P370),IF(ISTEXT(N370),VLOOKUP(N370,Afactors,2,TRUE),""))</f>
        <v/>
      </c>
      <c r="Y370" s="17" t="str">
        <f>IF(AND(ISNUMBER(S370),Q370=FixedDim),MAX('Adjustment factors'!$S$16,0.2+0.8*S370),IF(ISTEXT(Q370),VLOOKUP(Q370,Afactors,2,TRUE),""))</f>
        <v/>
      </c>
      <c r="Z370" s="297" t="str">
        <f>IF(ISBLANK(T370),"",VLOOKUP(T370,'Adjustment factors'!$R$27:$S$30,2,TRUE))</f>
        <v/>
      </c>
      <c r="AA370" s="297" t="str">
        <f>IF(ISBLANK(U370),"",VLOOKUP(U370,'Adjustment factors'!$R$27:$S$30,2,TRUE))</f>
        <v/>
      </c>
      <c r="AB370" s="480">
        <f t="shared" si="485"/>
        <v>1</v>
      </c>
      <c r="AC370" s="18" t="b">
        <f t="shared" si="442"/>
        <v>0</v>
      </c>
      <c r="AD370" s="18" t="b">
        <f t="shared" si="443"/>
        <v>0</v>
      </c>
      <c r="AE370" s="18" t="b">
        <f t="shared" si="433"/>
        <v>0</v>
      </c>
      <c r="AF370" s="17" t="str">
        <f t="shared" si="444"/>
        <v/>
      </c>
      <c r="AG370" s="18" t="str">
        <f t="shared" si="445"/>
        <v/>
      </c>
      <c r="AH370" s="17" t="str">
        <f t="shared" si="434"/>
        <v/>
      </c>
      <c r="AI370" s="297" t="e">
        <f t="shared" si="486"/>
        <v>#VALUE!</v>
      </c>
      <c r="AJ370" s="79" t="e">
        <f t="shared" si="446"/>
        <v>#VALUE!</v>
      </c>
      <c r="AK370" s="17" t="str">
        <f t="shared" si="435"/>
        <v/>
      </c>
      <c r="AL370" s="80" t="e">
        <f t="shared" si="447"/>
        <v>#VALUE!</v>
      </c>
      <c r="AM370" s="139" t="b">
        <f t="shared" si="448"/>
        <v>1</v>
      </c>
      <c r="AN370" s="139" t="b">
        <f>AND(COUNTA(E370)&gt;0,ISNUMBER(F370),OR(COUNT(G370:H370)=0,COUNT(G370:H370)=2,AND(ISNUMBER(G370),ISNUMBER(VALUE(LEFT(H370,SUM(LEN(H370)-LEN(SUBSTITUTE(H370,{"0","1","2","3","4","5","6","7","8","9","."},"")))))))),ISNUMBER(I370),ISTEXT(J370))</f>
        <v>0</v>
      </c>
      <c r="AO370" s="19" t="b">
        <f t="shared" si="449"/>
        <v>0</v>
      </c>
      <c r="AP370" s="19" t="b">
        <f t="shared" si="450"/>
        <v>1</v>
      </c>
      <c r="AQ370" s="19" t="b">
        <f>IF(AND(COUNTBLANK(E370:J370)=6,OR(AN371:AN$523)),NOT(AN370))</f>
        <v>0</v>
      </c>
      <c r="AR370" s="19" t="str">
        <f t="shared" si="451"/>
        <v/>
      </c>
      <c r="AS370" s="19" t="b">
        <f t="shared" si="452"/>
        <v>1</v>
      </c>
      <c r="AT370" s="19" t="str">
        <f t="shared" si="453"/>
        <v/>
      </c>
      <c r="AU370" s="19" t="b">
        <f t="shared" si="454"/>
        <v>1</v>
      </c>
      <c r="AV370" s="140" t="str">
        <f t="shared" si="417"/>
        <v/>
      </c>
      <c r="AW370" s="19" t="str">
        <f t="shared" si="455"/>
        <v/>
      </c>
      <c r="AX370" s="81">
        <f t="shared" si="456"/>
        <v>0</v>
      </c>
      <c r="AY370" s="81" t="str">
        <f t="shared" si="457"/>
        <v/>
      </c>
      <c r="AZ370" s="307" t="str">
        <f t="shared" si="487"/>
        <v/>
      </c>
      <c r="BA370" s="281" t="str">
        <f t="shared" si="418"/>
        <v/>
      </c>
      <c r="BB370" s="281" t="str">
        <f t="shared" si="419"/>
        <v/>
      </c>
      <c r="BC370" s="953"/>
      <c r="BD370" s="955"/>
      <c r="BE370" s="219" t="str">
        <f t="shared" si="458"/>
        <v>n/a</v>
      </c>
      <c r="BF370" s="215" t="b">
        <f t="shared" si="459"/>
        <v>0</v>
      </c>
      <c r="BG370" s="145" t="b">
        <f t="shared" si="460"/>
        <v>0</v>
      </c>
      <c r="BH370" s="145" t="b">
        <f t="shared" si="461"/>
        <v>0</v>
      </c>
      <c r="BI370" s="216" t="b">
        <f t="shared" si="462"/>
        <v>0</v>
      </c>
      <c r="BJ370" s="215" t="b">
        <f t="shared" si="463"/>
        <v>0</v>
      </c>
      <c r="BK370" s="145" t="b">
        <f t="shared" si="464"/>
        <v>0</v>
      </c>
      <c r="BL370" s="216" t="b">
        <f t="shared" si="465"/>
        <v>0</v>
      </c>
      <c r="BM370" s="217" t="str">
        <f t="shared" si="420"/>
        <v/>
      </c>
      <c r="BN370" s="146" t="str">
        <f t="shared" si="421"/>
        <v/>
      </c>
      <c r="BO370" s="147" t="str">
        <f t="shared" si="422"/>
        <v/>
      </c>
      <c r="BP370" s="148" t="str">
        <f t="shared" si="423"/>
        <v/>
      </c>
      <c r="BT370" s="50">
        <f t="shared" si="413"/>
        <v>347</v>
      </c>
      <c r="BU370" s="50" t="str">
        <f t="shared" si="439"/>
        <v>-</v>
      </c>
      <c r="BW370" s="340"/>
      <c r="BX370" s="333"/>
      <c r="BY370" s="333"/>
      <c r="BZ370" s="333"/>
      <c r="CA370" s="333"/>
      <c r="CB370" s="333"/>
      <c r="CC370" s="333"/>
      <c r="CD370" s="333"/>
      <c r="CE370" s="333"/>
      <c r="CF370" s="333"/>
      <c r="CG370" s="354">
        <f t="shared" si="466"/>
        <v>347</v>
      </c>
      <c r="CH370" s="613">
        <f t="shared" si="467"/>
        <v>0</v>
      </c>
      <c r="CI370" s="613">
        <f t="shared" si="468"/>
        <v>0</v>
      </c>
      <c r="CJ370" s="614" t="str">
        <f t="shared" si="469"/>
        <v/>
      </c>
      <c r="CK370" s="615" t="str">
        <f t="shared" si="470"/>
        <v/>
      </c>
      <c r="CL370" s="610" t="str">
        <f>IF(ISBLANK(H370),"",IF(AND(ISNUMBER(F370),ISNUMBER(G370),ISNUMBER(H370)),ROUND(F370/(H370*G370),2),ROUND(F370/(VALUE(LEFT(H370,SUM(LEN(H370)-LEN(SUBSTITUTE(H370,{"0","1","2","3","4","5","6","7","8","9","."},"")))))*G370),2)))</f>
        <v/>
      </c>
      <c r="CM370" s="616" t="str">
        <f t="shared" si="424"/>
        <v/>
      </c>
      <c r="CN370" s="616" t="str">
        <f>IF(ISNUMBER(P370),MAX('Adjustment factors'!$S$16,(0.2+0.8*P370)),IF(ISTEXT(N370),VLOOKUP(N370,Afactors,2,FALSE),""))</f>
        <v/>
      </c>
      <c r="CO370" s="616" t="str">
        <f>IF(ISNUMBER(S370),MAX('Adjustment factors'!$S$16,0.2+0.8*S370),IF(ISTEXT(Q370),VLOOKUP(Q370,Afactors,2,FALSE),""))</f>
        <v/>
      </c>
      <c r="CP370" s="611" t="str">
        <f t="shared" si="488"/>
        <v/>
      </c>
      <c r="CQ370" s="612" t="str">
        <f t="shared" si="489"/>
        <v/>
      </c>
      <c r="CR370" s="340"/>
      <c r="CS370" s="340"/>
      <c r="CT370" s="340"/>
      <c r="CU370" s="340"/>
      <c r="CV370" s="333"/>
      <c r="CW370" s="333"/>
      <c r="CX370" s="333"/>
      <c r="CY370" s="333"/>
      <c r="DA370" s="313" t="str">
        <f t="shared" si="471"/>
        <v>OK</v>
      </c>
      <c r="DB370" s="313" t="str">
        <f t="shared" si="472"/>
        <v>OK</v>
      </c>
      <c r="DC370" s="313" t="str">
        <f t="shared" si="473"/>
        <v>OK</v>
      </c>
      <c r="DD370" s="313" t="str">
        <f t="shared" si="474"/>
        <v>OK</v>
      </c>
      <c r="DE370" s="153" t="str">
        <f t="shared" si="475"/>
        <v>OK</v>
      </c>
      <c r="DF370" s="314" t="str">
        <f t="shared" si="476"/>
        <v>OK</v>
      </c>
      <c r="DG370" s="482" t="str">
        <f t="shared" si="490"/>
        <v>OK</v>
      </c>
      <c r="DH370" s="482" t="str">
        <f>IF(OR(AND(T370='Adjustment factors'!$R$28,'Class 3, 5-9'!U370='Adjustment factors'!$R$29),AND('Class 3, 5-9'!T370='Adjustment factors'!$R$29,'Class 3, 5-9'!U370='Adjustment factors'!$R$28)),"Invalid combination of adjustment factors",IF(AND(T370=U370,NOT(ISBLANK(T370)),NOT(ISBLANK(U370))),"Same colour factor selected twice","OK"))</f>
        <v>OK</v>
      </c>
      <c r="DI370" s="313" t="str">
        <f t="shared" si="477"/>
        <v>OK</v>
      </c>
      <c r="DJ370" s="153" t="str">
        <f t="shared" si="425"/>
        <v>OK</v>
      </c>
      <c r="DK370" s="153" t="str">
        <f t="shared" si="478"/>
        <v>OK</v>
      </c>
      <c r="DL370" s="313" t="str">
        <f t="shared" si="479"/>
        <v>OK</v>
      </c>
      <c r="DM370" s="153" t="str">
        <f t="shared" si="480"/>
        <v>OK</v>
      </c>
      <c r="DN370" s="153" t="str">
        <f t="shared" si="426"/>
        <v>OK</v>
      </c>
      <c r="DO370" s="154" t="str">
        <f t="shared" si="427"/>
        <v>OK</v>
      </c>
      <c r="DP370" s="153" t="str">
        <f t="shared" si="481"/>
        <v>OK</v>
      </c>
      <c r="DQ370" s="313" t="str">
        <f t="shared" si="482"/>
        <v>OK</v>
      </c>
      <c r="DR370" s="153" t="str">
        <f t="shared" si="428"/>
        <v>OK</v>
      </c>
      <c r="DS370" s="153" t="str">
        <f t="shared" si="483"/>
        <v>OK</v>
      </c>
      <c r="DT370" s="313" t="str">
        <f t="shared" si="441"/>
        <v>OK</v>
      </c>
      <c r="DU370" s="153" t="str">
        <f t="shared" si="484"/>
        <v>OK</v>
      </c>
      <c r="DV370" s="153" t="str">
        <f t="shared" si="429"/>
        <v>OK</v>
      </c>
      <c r="DW370" s="154" t="str">
        <f t="shared" si="430"/>
        <v>OK</v>
      </c>
      <c r="DX370" s="157">
        <f t="shared" si="431"/>
        <v>0</v>
      </c>
      <c r="DY370" s="156" t="str">
        <f t="shared" si="432"/>
        <v>OK</v>
      </c>
    </row>
    <row r="371" spans="1:129" ht="13" hidden="1" x14ac:dyDescent="0.3">
      <c r="A371" s="333"/>
      <c r="B371" s="333"/>
      <c r="C371" s="332" t="str">
        <f t="shared" si="440"/>
        <v>-</v>
      </c>
      <c r="D371" s="584">
        <f t="shared" si="412"/>
        <v>348</v>
      </c>
      <c r="E371" s="585"/>
      <c r="F371" s="586"/>
      <c r="G371" s="600"/>
      <c r="H371" s="587"/>
      <c r="I371" s="601"/>
      <c r="J371" s="585"/>
      <c r="K371" s="617"/>
      <c r="L371" s="602"/>
      <c r="M371" s="603"/>
      <c r="N371" s="588"/>
      <c r="O371" s="604"/>
      <c r="P371" s="605"/>
      <c r="Q371" s="588"/>
      <c r="R371" s="604"/>
      <c r="S371" s="605"/>
      <c r="T371" s="606"/>
      <c r="U371" s="606"/>
      <c r="V371" s="429" t="str">
        <f t="shared" si="437"/>
        <v/>
      </c>
      <c r="W371" s="430" t="str">
        <f t="shared" si="436"/>
        <v/>
      </c>
      <c r="X371" s="66" t="str">
        <f>IF(AND(ISNUMBER(P371),N371=FixedDim),MAX('Adjustment factors'!$S$16,0.2+0.8*P371),IF(ISTEXT(N371),VLOOKUP(N371,Afactors,2,TRUE),""))</f>
        <v/>
      </c>
      <c r="Y371" s="17" t="str">
        <f>IF(AND(ISNUMBER(S371),Q371=FixedDim),MAX('Adjustment factors'!$S$16,0.2+0.8*S371),IF(ISTEXT(Q371),VLOOKUP(Q371,Afactors,2,TRUE),""))</f>
        <v/>
      </c>
      <c r="Z371" s="297" t="str">
        <f>IF(ISBLANK(T371),"",VLOOKUP(T371,'Adjustment factors'!$R$27:$S$30,2,TRUE))</f>
        <v/>
      </c>
      <c r="AA371" s="297" t="str">
        <f>IF(ISBLANK(U371),"",VLOOKUP(U371,'Adjustment factors'!$R$27:$S$30,2,TRUE))</f>
        <v/>
      </c>
      <c r="AB371" s="480">
        <f t="shared" si="485"/>
        <v>1</v>
      </c>
      <c r="AC371" s="18" t="b">
        <f t="shared" si="442"/>
        <v>0</v>
      </c>
      <c r="AD371" s="18" t="b">
        <f t="shared" si="443"/>
        <v>0</v>
      </c>
      <c r="AE371" s="18" t="b">
        <f t="shared" si="433"/>
        <v>0</v>
      </c>
      <c r="AF371" s="17" t="str">
        <f t="shared" si="444"/>
        <v/>
      </c>
      <c r="AG371" s="18" t="str">
        <f t="shared" si="445"/>
        <v/>
      </c>
      <c r="AH371" s="17" t="str">
        <f t="shared" si="434"/>
        <v/>
      </c>
      <c r="AI371" s="297" t="e">
        <f t="shared" si="486"/>
        <v>#VALUE!</v>
      </c>
      <c r="AJ371" s="79" t="e">
        <f t="shared" si="446"/>
        <v>#VALUE!</v>
      </c>
      <c r="AK371" s="17" t="str">
        <f t="shared" si="435"/>
        <v/>
      </c>
      <c r="AL371" s="80" t="e">
        <f t="shared" si="447"/>
        <v>#VALUE!</v>
      </c>
      <c r="AM371" s="139" t="b">
        <f t="shared" si="448"/>
        <v>1</v>
      </c>
      <c r="AN371" s="139" t="b">
        <f>AND(COUNTA(E371)&gt;0,ISNUMBER(F371),OR(COUNT(G371:H371)=0,COUNT(G371:H371)=2,AND(ISNUMBER(G371),ISNUMBER(VALUE(LEFT(H371,SUM(LEN(H371)-LEN(SUBSTITUTE(H371,{"0","1","2","3","4","5","6","7","8","9","."},"")))))))),ISNUMBER(I371),ISTEXT(J371))</f>
        <v>0</v>
      </c>
      <c r="AO371" s="19" t="b">
        <f t="shared" si="449"/>
        <v>0</v>
      </c>
      <c r="AP371" s="19" t="b">
        <f t="shared" si="450"/>
        <v>1</v>
      </c>
      <c r="AQ371" s="19" t="b">
        <f>IF(AND(COUNTBLANK(E371:J371)=6,OR(AN372:AN$523)),NOT(AN371))</f>
        <v>0</v>
      </c>
      <c r="AR371" s="19" t="str">
        <f t="shared" si="451"/>
        <v/>
      </c>
      <c r="AS371" s="19" t="b">
        <f t="shared" si="452"/>
        <v>1</v>
      </c>
      <c r="AT371" s="19" t="str">
        <f t="shared" si="453"/>
        <v/>
      </c>
      <c r="AU371" s="19" t="b">
        <f t="shared" si="454"/>
        <v>1</v>
      </c>
      <c r="AV371" s="140" t="str">
        <f t="shared" si="417"/>
        <v/>
      </c>
      <c r="AW371" s="19" t="str">
        <f t="shared" si="455"/>
        <v/>
      </c>
      <c r="AX371" s="81">
        <f t="shared" si="456"/>
        <v>0</v>
      </c>
      <c r="AY371" s="81" t="str">
        <f t="shared" si="457"/>
        <v/>
      </c>
      <c r="AZ371" s="307" t="str">
        <f t="shared" si="487"/>
        <v/>
      </c>
      <c r="BA371" s="281" t="str">
        <f t="shared" si="418"/>
        <v/>
      </c>
      <c r="BB371" s="281" t="str">
        <f t="shared" si="419"/>
        <v/>
      </c>
      <c r="BC371" s="953"/>
      <c r="BD371" s="955"/>
      <c r="BE371" s="219" t="str">
        <f t="shared" si="458"/>
        <v>n/a</v>
      </c>
      <c r="BF371" s="215" t="b">
        <f t="shared" si="459"/>
        <v>0</v>
      </c>
      <c r="BG371" s="145" t="b">
        <f t="shared" si="460"/>
        <v>0</v>
      </c>
      <c r="BH371" s="145" t="b">
        <f t="shared" si="461"/>
        <v>0</v>
      </c>
      <c r="BI371" s="216" t="b">
        <f t="shared" si="462"/>
        <v>0</v>
      </c>
      <c r="BJ371" s="215" t="b">
        <f t="shared" si="463"/>
        <v>0</v>
      </c>
      <c r="BK371" s="145" t="b">
        <f t="shared" si="464"/>
        <v>0</v>
      </c>
      <c r="BL371" s="216" t="b">
        <f t="shared" si="465"/>
        <v>0</v>
      </c>
      <c r="BM371" s="217" t="str">
        <f t="shared" si="420"/>
        <v/>
      </c>
      <c r="BN371" s="146" t="str">
        <f t="shared" si="421"/>
        <v/>
      </c>
      <c r="BO371" s="147" t="str">
        <f t="shared" si="422"/>
        <v/>
      </c>
      <c r="BP371" s="148" t="str">
        <f t="shared" si="423"/>
        <v/>
      </c>
      <c r="BT371" s="50">
        <f t="shared" si="413"/>
        <v>348</v>
      </c>
      <c r="BU371" s="50" t="str">
        <f t="shared" si="439"/>
        <v>-</v>
      </c>
      <c r="BW371" s="340"/>
      <c r="BX371" s="333"/>
      <c r="BY371" s="333"/>
      <c r="BZ371" s="333"/>
      <c r="CA371" s="333"/>
      <c r="CB371" s="333"/>
      <c r="CC371" s="333"/>
      <c r="CD371" s="333"/>
      <c r="CE371" s="333"/>
      <c r="CF371" s="333"/>
      <c r="CG371" s="354">
        <f t="shared" si="466"/>
        <v>348</v>
      </c>
      <c r="CH371" s="613">
        <f t="shared" si="467"/>
        <v>0</v>
      </c>
      <c r="CI371" s="613">
        <f t="shared" si="468"/>
        <v>0</v>
      </c>
      <c r="CJ371" s="614" t="str">
        <f t="shared" si="469"/>
        <v/>
      </c>
      <c r="CK371" s="615" t="str">
        <f t="shared" si="470"/>
        <v/>
      </c>
      <c r="CL371" s="610" t="str">
        <f>IF(ISBLANK(H371),"",IF(AND(ISNUMBER(F371),ISNUMBER(G371),ISNUMBER(H371)),ROUND(F371/(H371*G371),2),ROUND(F371/(VALUE(LEFT(H371,SUM(LEN(H371)-LEN(SUBSTITUTE(H371,{"0","1","2","3","4","5","6","7","8","9","."},"")))))*G371),2)))</f>
        <v/>
      </c>
      <c r="CM371" s="616" t="str">
        <f t="shared" si="424"/>
        <v/>
      </c>
      <c r="CN371" s="616" t="str">
        <f>IF(ISNUMBER(P371),MAX('Adjustment factors'!$S$16,(0.2+0.8*P371)),IF(ISTEXT(N371),VLOOKUP(N371,Afactors,2,FALSE),""))</f>
        <v/>
      </c>
      <c r="CO371" s="616" t="str">
        <f>IF(ISNUMBER(S371),MAX('Adjustment factors'!$S$16,0.2+0.8*S371),IF(ISTEXT(Q371),VLOOKUP(Q371,Afactors,2,FALSE),""))</f>
        <v/>
      </c>
      <c r="CP371" s="611" t="str">
        <f t="shared" si="488"/>
        <v/>
      </c>
      <c r="CQ371" s="612" t="str">
        <f t="shared" si="489"/>
        <v/>
      </c>
      <c r="CR371" s="340"/>
      <c r="CS371" s="340"/>
      <c r="CT371" s="340"/>
      <c r="CU371" s="340"/>
      <c r="CV371" s="333"/>
      <c r="CW371" s="333"/>
      <c r="CX371" s="333"/>
      <c r="CY371" s="333"/>
      <c r="DA371" s="313" t="str">
        <f t="shared" si="471"/>
        <v>OK</v>
      </c>
      <c r="DB371" s="313" t="str">
        <f t="shared" si="472"/>
        <v>OK</v>
      </c>
      <c r="DC371" s="313" t="str">
        <f t="shared" si="473"/>
        <v>OK</v>
      </c>
      <c r="DD371" s="313" t="str">
        <f t="shared" si="474"/>
        <v>OK</v>
      </c>
      <c r="DE371" s="153" t="str">
        <f t="shared" si="475"/>
        <v>OK</v>
      </c>
      <c r="DF371" s="314" t="str">
        <f t="shared" si="476"/>
        <v>OK</v>
      </c>
      <c r="DG371" s="482" t="str">
        <f t="shared" si="490"/>
        <v>OK</v>
      </c>
      <c r="DH371" s="482" t="str">
        <f>IF(OR(AND(T371='Adjustment factors'!$R$28,'Class 3, 5-9'!U371='Adjustment factors'!$R$29),AND('Class 3, 5-9'!T371='Adjustment factors'!$R$29,'Class 3, 5-9'!U371='Adjustment factors'!$R$28)),"Invalid combination of adjustment factors",IF(AND(T371=U371,NOT(ISBLANK(T371)),NOT(ISBLANK(U371))),"Same colour factor selected twice","OK"))</f>
        <v>OK</v>
      </c>
      <c r="DI371" s="313" t="str">
        <f t="shared" si="477"/>
        <v>OK</v>
      </c>
      <c r="DJ371" s="153" t="str">
        <f t="shared" si="425"/>
        <v>OK</v>
      </c>
      <c r="DK371" s="153" t="str">
        <f t="shared" si="478"/>
        <v>OK</v>
      </c>
      <c r="DL371" s="313" t="str">
        <f t="shared" si="479"/>
        <v>OK</v>
      </c>
      <c r="DM371" s="153" t="str">
        <f t="shared" si="480"/>
        <v>OK</v>
      </c>
      <c r="DN371" s="153" t="str">
        <f t="shared" si="426"/>
        <v>OK</v>
      </c>
      <c r="DO371" s="154" t="str">
        <f t="shared" si="427"/>
        <v>OK</v>
      </c>
      <c r="DP371" s="153" t="str">
        <f t="shared" si="481"/>
        <v>OK</v>
      </c>
      <c r="DQ371" s="313" t="str">
        <f t="shared" si="482"/>
        <v>OK</v>
      </c>
      <c r="DR371" s="153" t="str">
        <f t="shared" si="428"/>
        <v>OK</v>
      </c>
      <c r="DS371" s="153" t="str">
        <f t="shared" si="483"/>
        <v>OK</v>
      </c>
      <c r="DT371" s="313" t="str">
        <f t="shared" ref="DT371:DT402" si="491">IF(AND(ISNUMBER(S371),Q371&lt;&gt;FixedDim),"Select fixed dimming with an illuminance factor","OK")</f>
        <v>OK</v>
      </c>
      <c r="DU371" s="153" t="str">
        <f t="shared" si="484"/>
        <v>OK</v>
      </c>
      <c r="DV371" s="153" t="str">
        <f t="shared" si="429"/>
        <v>OK</v>
      </c>
      <c r="DW371" s="154" t="str">
        <f t="shared" si="430"/>
        <v>OK</v>
      </c>
      <c r="DX371" s="157">
        <f t="shared" si="431"/>
        <v>0</v>
      </c>
      <c r="DY371" s="156" t="str">
        <f t="shared" si="432"/>
        <v>OK</v>
      </c>
    </row>
    <row r="372" spans="1:129" ht="13" hidden="1" x14ac:dyDescent="0.3">
      <c r="A372" s="333"/>
      <c r="B372" s="333"/>
      <c r="C372" s="332" t="str">
        <f t="shared" si="440"/>
        <v>-</v>
      </c>
      <c r="D372" s="584">
        <f t="shared" si="412"/>
        <v>349</v>
      </c>
      <c r="E372" s="585"/>
      <c r="F372" s="586"/>
      <c r="G372" s="600"/>
      <c r="H372" s="587"/>
      <c r="I372" s="601"/>
      <c r="J372" s="585"/>
      <c r="K372" s="617"/>
      <c r="L372" s="602"/>
      <c r="M372" s="603"/>
      <c r="N372" s="588"/>
      <c r="O372" s="604"/>
      <c r="P372" s="605"/>
      <c r="Q372" s="588"/>
      <c r="R372" s="604"/>
      <c r="S372" s="605"/>
      <c r="T372" s="606"/>
      <c r="U372" s="606"/>
      <c r="V372" s="429" t="str">
        <f t="shared" si="437"/>
        <v/>
      </c>
      <c r="W372" s="430" t="str">
        <f t="shared" si="436"/>
        <v/>
      </c>
      <c r="X372" s="66" t="str">
        <f>IF(AND(ISNUMBER(P372),N372=FixedDim),MAX('Adjustment factors'!$S$16,0.2+0.8*P372),IF(ISTEXT(N372),VLOOKUP(N372,Afactors,2,TRUE),""))</f>
        <v/>
      </c>
      <c r="Y372" s="17" t="str">
        <f>IF(AND(ISNUMBER(S372),Q372=FixedDim),MAX('Adjustment factors'!$S$16,0.2+0.8*S372),IF(ISTEXT(Q372),VLOOKUP(Q372,Afactors,2,TRUE),""))</f>
        <v/>
      </c>
      <c r="Z372" s="297" t="str">
        <f>IF(ISBLANK(T372),"",VLOOKUP(T372,'Adjustment factors'!$R$27:$S$30,2,TRUE))</f>
        <v/>
      </c>
      <c r="AA372" s="297" t="str">
        <f>IF(ISBLANK(U372),"",VLOOKUP(U372,'Adjustment factors'!$R$27:$S$30,2,TRUE))</f>
        <v/>
      </c>
      <c r="AB372" s="480">
        <f t="shared" si="485"/>
        <v>1</v>
      </c>
      <c r="AC372" s="18" t="b">
        <f t="shared" si="442"/>
        <v>0</v>
      </c>
      <c r="AD372" s="18" t="b">
        <f t="shared" si="443"/>
        <v>0</v>
      </c>
      <c r="AE372" s="18" t="b">
        <f t="shared" si="433"/>
        <v>0</v>
      </c>
      <c r="AF372" s="17" t="str">
        <f t="shared" si="444"/>
        <v/>
      </c>
      <c r="AG372" s="18" t="str">
        <f t="shared" si="445"/>
        <v/>
      </c>
      <c r="AH372" s="17" t="str">
        <f t="shared" si="434"/>
        <v/>
      </c>
      <c r="AI372" s="297" t="e">
        <f t="shared" si="486"/>
        <v>#VALUE!</v>
      </c>
      <c r="AJ372" s="79" t="e">
        <f t="shared" si="446"/>
        <v>#VALUE!</v>
      </c>
      <c r="AK372" s="17" t="str">
        <f t="shared" si="435"/>
        <v/>
      </c>
      <c r="AL372" s="80" t="e">
        <f t="shared" si="447"/>
        <v>#VALUE!</v>
      </c>
      <c r="AM372" s="139" t="b">
        <f t="shared" si="448"/>
        <v>1</v>
      </c>
      <c r="AN372" s="139" t="b">
        <f>AND(COUNTA(E372)&gt;0,ISNUMBER(F372),OR(COUNT(G372:H372)=0,COUNT(G372:H372)=2,AND(ISNUMBER(G372),ISNUMBER(VALUE(LEFT(H372,SUM(LEN(H372)-LEN(SUBSTITUTE(H372,{"0","1","2","3","4","5","6","7","8","9","."},"")))))))),ISNUMBER(I372),ISTEXT(J372))</f>
        <v>0</v>
      </c>
      <c r="AO372" s="19" t="b">
        <f t="shared" si="449"/>
        <v>0</v>
      </c>
      <c r="AP372" s="19" t="b">
        <f t="shared" si="450"/>
        <v>1</v>
      </c>
      <c r="AQ372" s="19" t="b">
        <f>IF(AND(COUNTBLANK(E372:J372)=6,OR(AN373:AN$523)),NOT(AN372))</f>
        <v>0</v>
      </c>
      <c r="AR372" s="19" t="str">
        <f t="shared" si="451"/>
        <v/>
      </c>
      <c r="AS372" s="19" t="b">
        <f t="shared" si="452"/>
        <v>1</v>
      </c>
      <c r="AT372" s="19" t="str">
        <f t="shared" si="453"/>
        <v/>
      </c>
      <c r="AU372" s="19" t="b">
        <f t="shared" si="454"/>
        <v>1</v>
      </c>
      <c r="AV372" s="140" t="str">
        <f t="shared" si="417"/>
        <v/>
      </c>
      <c r="AW372" s="19" t="str">
        <f t="shared" si="455"/>
        <v/>
      </c>
      <c r="AX372" s="81">
        <f t="shared" si="456"/>
        <v>0</v>
      </c>
      <c r="AY372" s="81" t="str">
        <f t="shared" si="457"/>
        <v/>
      </c>
      <c r="AZ372" s="307" t="str">
        <f t="shared" si="487"/>
        <v/>
      </c>
      <c r="BA372" s="281" t="str">
        <f t="shared" si="418"/>
        <v/>
      </c>
      <c r="BB372" s="281" t="str">
        <f t="shared" si="419"/>
        <v/>
      </c>
      <c r="BC372" s="953"/>
      <c r="BD372" s="955"/>
      <c r="BE372" s="219" t="str">
        <f t="shared" si="458"/>
        <v>n/a</v>
      </c>
      <c r="BF372" s="215" t="b">
        <f t="shared" si="459"/>
        <v>0</v>
      </c>
      <c r="BG372" s="145" t="b">
        <f t="shared" si="460"/>
        <v>0</v>
      </c>
      <c r="BH372" s="145" t="b">
        <f t="shared" si="461"/>
        <v>0</v>
      </c>
      <c r="BI372" s="216" t="b">
        <f t="shared" si="462"/>
        <v>0</v>
      </c>
      <c r="BJ372" s="215" t="b">
        <f t="shared" si="463"/>
        <v>0</v>
      </c>
      <c r="BK372" s="145" t="b">
        <f t="shared" si="464"/>
        <v>0</v>
      </c>
      <c r="BL372" s="216" t="b">
        <f t="shared" si="465"/>
        <v>0</v>
      </c>
      <c r="BM372" s="217" t="str">
        <f t="shared" si="420"/>
        <v/>
      </c>
      <c r="BN372" s="146" t="str">
        <f t="shared" si="421"/>
        <v/>
      </c>
      <c r="BO372" s="147" t="str">
        <f t="shared" si="422"/>
        <v/>
      </c>
      <c r="BP372" s="148" t="str">
        <f t="shared" si="423"/>
        <v/>
      </c>
      <c r="BT372" s="50">
        <f t="shared" si="413"/>
        <v>349</v>
      </c>
      <c r="BU372" s="50" t="str">
        <f t="shared" si="439"/>
        <v>-</v>
      </c>
      <c r="BW372" s="340"/>
      <c r="BX372" s="333"/>
      <c r="BY372" s="333"/>
      <c r="BZ372" s="333"/>
      <c r="CA372" s="333"/>
      <c r="CB372" s="333"/>
      <c r="CC372" s="333"/>
      <c r="CD372" s="333"/>
      <c r="CE372" s="333"/>
      <c r="CF372" s="333"/>
      <c r="CG372" s="354">
        <f t="shared" si="466"/>
        <v>349</v>
      </c>
      <c r="CH372" s="613">
        <f t="shared" si="467"/>
        <v>0</v>
      </c>
      <c r="CI372" s="613">
        <f t="shared" si="468"/>
        <v>0</v>
      </c>
      <c r="CJ372" s="614" t="str">
        <f t="shared" si="469"/>
        <v/>
      </c>
      <c r="CK372" s="615" t="str">
        <f t="shared" si="470"/>
        <v/>
      </c>
      <c r="CL372" s="610" t="str">
        <f>IF(ISBLANK(H372),"",IF(AND(ISNUMBER(F372),ISNUMBER(G372),ISNUMBER(H372)),ROUND(F372/(H372*G372),2),ROUND(F372/(VALUE(LEFT(H372,SUM(LEN(H372)-LEN(SUBSTITUTE(H372,{"0","1","2","3","4","5","6","7","8","9","."},"")))))*G372),2)))</f>
        <v/>
      </c>
      <c r="CM372" s="616" t="str">
        <f t="shared" si="424"/>
        <v/>
      </c>
      <c r="CN372" s="616" t="str">
        <f>IF(ISNUMBER(P372),MAX('Adjustment factors'!$S$16,(0.2+0.8*P372)),IF(ISTEXT(N372),VLOOKUP(N372,Afactors,2,FALSE),""))</f>
        <v/>
      </c>
      <c r="CO372" s="616" t="str">
        <f>IF(ISNUMBER(S372),MAX('Adjustment factors'!$S$16,0.2+0.8*S372),IF(ISTEXT(Q372),VLOOKUP(Q372,Afactors,2,FALSE),""))</f>
        <v/>
      </c>
      <c r="CP372" s="611" t="str">
        <f t="shared" si="488"/>
        <v/>
      </c>
      <c r="CQ372" s="612" t="str">
        <f t="shared" si="489"/>
        <v/>
      </c>
      <c r="CR372" s="340"/>
      <c r="CS372" s="340"/>
      <c r="CT372" s="340"/>
      <c r="CU372" s="340"/>
      <c r="CV372" s="333"/>
      <c r="CW372" s="333"/>
      <c r="CX372" s="333"/>
      <c r="CY372" s="333"/>
      <c r="DA372" s="313" t="str">
        <f t="shared" si="471"/>
        <v>OK</v>
      </c>
      <c r="DB372" s="313" t="str">
        <f t="shared" si="472"/>
        <v>OK</v>
      </c>
      <c r="DC372" s="313" t="str">
        <f t="shared" si="473"/>
        <v>OK</v>
      </c>
      <c r="DD372" s="313" t="str">
        <f t="shared" si="474"/>
        <v>OK</v>
      </c>
      <c r="DE372" s="153" t="str">
        <f t="shared" si="475"/>
        <v>OK</v>
      </c>
      <c r="DF372" s="314" t="str">
        <f t="shared" si="476"/>
        <v>OK</v>
      </c>
      <c r="DG372" s="482" t="str">
        <f t="shared" si="490"/>
        <v>OK</v>
      </c>
      <c r="DH372" s="482" t="str">
        <f>IF(OR(AND(T372='Adjustment factors'!$R$28,'Class 3, 5-9'!U372='Adjustment factors'!$R$29),AND('Class 3, 5-9'!T372='Adjustment factors'!$R$29,'Class 3, 5-9'!U372='Adjustment factors'!$R$28)),"Invalid combination of adjustment factors",IF(AND(T372=U372,NOT(ISBLANK(T372)),NOT(ISBLANK(U372))),"Same colour factor selected twice","OK"))</f>
        <v>OK</v>
      </c>
      <c r="DI372" s="313" t="str">
        <f t="shared" si="477"/>
        <v>OK</v>
      </c>
      <c r="DJ372" s="153" t="str">
        <f t="shared" si="425"/>
        <v>OK</v>
      </c>
      <c r="DK372" s="153" t="str">
        <f t="shared" si="478"/>
        <v>OK</v>
      </c>
      <c r="DL372" s="313" t="str">
        <f t="shared" si="479"/>
        <v>OK</v>
      </c>
      <c r="DM372" s="153" t="str">
        <f t="shared" si="480"/>
        <v>OK</v>
      </c>
      <c r="DN372" s="153" t="str">
        <f t="shared" si="426"/>
        <v>OK</v>
      </c>
      <c r="DO372" s="154" t="str">
        <f t="shared" si="427"/>
        <v>OK</v>
      </c>
      <c r="DP372" s="153" t="str">
        <f t="shared" si="481"/>
        <v>OK</v>
      </c>
      <c r="DQ372" s="313" t="str">
        <f t="shared" si="482"/>
        <v>OK</v>
      </c>
      <c r="DR372" s="153" t="str">
        <f t="shared" si="428"/>
        <v>OK</v>
      </c>
      <c r="DS372" s="153" t="str">
        <f t="shared" si="483"/>
        <v>OK</v>
      </c>
      <c r="DT372" s="313" t="str">
        <f t="shared" si="491"/>
        <v>OK</v>
      </c>
      <c r="DU372" s="153" t="str">
        <f t="shared" si="484"/>
        <v>OK</v>
      </c>
      <c r="DV372" s="153" t="str">
        <f t="shared" si="429"/>
        <v>OK</v>
      </c>
      <c r="DW372" s="154" t="str">
        <f t="shared" si="430"/>
        <v>OK</v>
      </c>
      <c r="DX372" s="157">
        <f t="shared" si="431"/>
        <v>0</v>
      </c>
      <c r="DY372" s="156" t="str">
        <f t="shared" si="432"/>
        <v>OK</v>
      </c>
    </row>
    <row r="373" spans="1:129" ht="13" hidden="1" x14ac:dyDescent="0.3">
      <c r="A373" s="333"/>
      <c r="B373" s="333"/>
      <c r="C373" s="332" t="str">
        <f t="shared" si="440"/>
        <v>-</v>
      </c>
      <c r="D373" s="584">
        <f t="shared" si="412"/>
        <v>350</v>
      </c>
      <c r="E373" s="585"/>
      <c r="F373" s="586"/>
      <c r="G373" s="600"/>
      <c r="H373" s="587"/>
      <c r="I373" s="601"/>
      <c r="J373" s="585"/>
      <c r="K373" s="617"/>
      <c r="L373" s="602"/>
      <c r="M373" s="603"/>
      <c r="N373" s="588"/>
      <c r="O373" s="604"/>
      <c r="P373" s="605"/>
      <c r="Q373" s="588"/>
      <c r="R373" s="604"/>
      <c r="S373" s="605"/>
      <c r="T373" s="606"/>
      <c r="U373" s="606"/>
      <c r="V373" s="429" t="str">
        <f t="shared" si="437"/>
        <v/>
      </c>
      <c r="W373" s="430" t="str">
        <f t="shared" si="436"/>
        <v/>
      </c>
      <c r="X373" s="66" t="str">
        <f>IF(AND(ISNUMBER(P373),N373=FixedDim),MAX('Adjustment factors'!$S$16,0.2+0.8*P373),IF(ISTEXT(N373),VLOOKUP(N373,Afactors,2,TRUE),""))</f>
        <v/>
      </c>
      <c r="Y373" s="17" t="str">
        <f>IF(AND(ISNUMBER(S373),Q373=FixedDim),MAX('Adjustment factors'!$S$16,0.2+0.8*S373),IF(ISTEXT(Q373),VLOOKUP(Q373,Afactors,2,TRUE),""))</f>
        <v/>
      </c>
      <c r="Z373" s="297" t="str">
        <f>IF(ISBLANK(T373),"",VLOOKUP(T373,'Adjustment factors'!$R$27:$S$30,2,TRUE))</f>
        <v/>
      </c>
      <c r="AA373" s="297" t="str">
        <f>IF(ISBLANK(U373),"",VLOOKUP(U373,'Adjustment factors'!$R$27:$S$30,2,TRUE))</f>
        <v/>
      </c>
      <c r="AB373" s="480">
        <f t="shared" si="485"/>
        <v>1</v>
      </c>
      <c r="AC373" s="18" t="b">
        <f t="shared" si="442"/>
        <v>0</v>
      </c>
      <c r="AD373" s="18" t="b">
        <f t="shared" si="443"/>
        <v>0</v>
      </c>
      <c r="AE373" s="18" t="b">
        <f t="shared" si="433"/>
        <v>0</v>
      </c>
      <c r="AF373" s="17" t="str">
        <f t="shared" si="444"/>
        <v/>
      </c>
      <c r="AG373" s="18" t="str">
        <f t="shared" si="445"/>
        <v/>
      </c>
      <c r="AH373" s="17" t="str">
        <f t="shared" si="434"/>
        <v/>
      </c>
      <c r="AI373" s="297" t="e">
        <f t="shared" si="486"/>
        <v>#VALUE!</v>
      </c>
      <c r="AJ373" s="79" t="e">
        <f t="shared" si="446"/>
        <v>#VALUE!</v>
      </c>
      <c r="AK373" s="17" t="str">
        <f t="shared" si="435"/>
        <v/>
      </c>
      <c r="AL373" s="80" t="e">
        <f t="shared" si="447"/>
        <v>#VALUE!</v>
      </c>
      <c r="AM373" s="139" t="b">
        <f t="shared" si="448"/>
        <v>1</v>
      </c>
      <c r="AN373" s="139" t="b">
        <f>AND(COUNTA(E373)&gt;0,ISNUMBER(F373),OR(COUNT(G373:H373)=0,COUNT(G373:H373)=2,AND(ISNUMBER(G373),ISNUMBER(VALUE(LEFT(H373,SUM(LEN(H373)-LEN(SUBSTITUTE(H373,{"0","1","2","3","4","5","6","7","8","9","."},"")))))))),ISNUMBER(I373),ISTEXT(J373))</f>
        <v>0</v>
      </c>
      <c r="AO373" s="19" t="b">
        <f t="shared" si="449"/>
        <v>0</v>
      </c>
      <c r="AP373" s="19" t="b">
        <f t="shared" si="450"/>
        <v>1</v>
      </c>
      <c r="AQ373" s="19" t="b">
        <f>IF(AND(COUNTBLANK(E373:J373)=6,OR(AN374:AN$523)),NOT(AN373))</f>
        <v>0</v>
      </c>
      <c r="AR373" s="19" t="str">
        <f t="shared" si="451"/>
        <v/>
      </c>
      <c r="AS373" s="19" t="b">
        <f t="shared" si="452"/>
        <v>1</v>
      </c>
      <c r="AT373" s="19" t="str">
        <f t="shared" si="453"/>
        <v/>
      </c>
      <c r="AU373" s="19" t="b">
        <f t="shared" si="454"/>
        <v>1</v>
      </c>
      <c r="AV373" s="140" t="str">
        <f t="shared" si="417"/>
        <v/>
      </c>
      <c r="AW373" s="19" t="str">
        <f t="shared" si="455"/>
        <v/>
      </c>
      <c r="AX373" s="81">
        <f t="shared" si="456"/>
        <v>0</v>
      </c>
      <c r="AY373" s="81" t="str">
        <f t="shared" si="457"/>
        <v/>
      </c>
      <c r="AZ373" s="307" t="str">
        <f t="shared" si="487"/>
        <v/>
      </c>
      <c r="BA373" s="281" t="str">
        <f t="shared" si="418"/>
        <v/>
      </c>
      <c r="BB373" s="281" t="str">
        <f t="shared" si="419"/>
        <v/>
      </c>
      <c r="BC373" s="953"/>
      <c r="BD373" s="955"/>
      <c r="BE373" s="219" t="str">
        <f t="shared" si="458"/>
        <v>n/a</v>
      </c>
      <c r="BF373" s="215" t="b">
        <f t="shared" si="459"/>
        <v>0</v>
      </c>
      <c r="BG373" s="145" t="b">
        <f t="shared" si="460"/>
        <v>0</v>
      </c>
      <c r="BH373" s="145" t="b">
        <f t="shared" si="461"/>
        <v>0</v>
      </c>
      <c r="BI373" s="216" t="b">
        <f t="shared" si="462"/>
        <v>0</v>
      </c>
      <c r="BJ373" s="215" t="b">
        <f t="shared" si="463"/>
        <v>0</v>
      </c>
      <c r="BK373" s="145" t="b">
        <f t="shared" si="464"/>
        <v>0</v>
      </c>
      <c r="BL373" s="216" t="b">
        <f t="shared" si="465"/>
        <v>0</v>
      </c>
      <c r="BM373" s="217" t="str">
        <f t="shared" si="420"/>
        <v/>
      </c>
      <c r="BN373" s="146" t="str">
        <f t="shared" si="421"/>
        <v/>
      </c>
      <c r="BO373" s="147" t="str">
        <f t="shared" si="422"/>
        <v/>
      </c>
      <c r="BP373" s="148" t="str">
        <f t="shared" si="423"/>
        <v/>
      </c>
      <c r="BT373" s="50">
        <f t="shared" si="413"/>
        <v>350</v>
      </c>
      <c r="BU373" s="50" t="str">
        <f t="shared" si="439"/>
        <v>-</v>
      </c>
      <c r="BW373" s="340"/>
      <c r="BX373" s="333"/>
      <c r="BY373" s="333"/>
      <c r="BZ373" s="333"/>
      <c r="CA373" s="333"/>
      <c r="CB373" s="333"/>
      <c r="CC373" s="333"/>
      <c r="CD373" s="333"/>
      <c r="CE373" s="333"/>
      <c r="CF373" s="333"/>
      <c r="CG373" s="354">
        <f t="shared" si="466"/>
        <v>350</v>
      </c>
      <c r="CH373" s="613">
        <f t="shared" si="467"/>
        <v>0</v>
      </c>
      <c r="CI373" s="613">
        <f t="shared" si="468"/>
        <v>0</v>
      </c>
      <c r="CJ373" s="614" t="str">
        <f t="shared" si="469"/>
        <v/>
      </c>
      <c r="CK373" s="615" t="str">
        <f t="shared" si="470"/>
        <v/>
      </c>
      <c r="CL373" s="610" t="str">
        <f>IF(ISBLANK(H373),"",IF(AND(ISNUMBER(F373),ISNUMBER(G373),ISNUMBER(H373)),ROUND(F373/(H373*G373),2),ROUND(F373/(VALUE(LEFT(H373,SUM(LEN(H373)-LEN(SUBSTITUTE(H373,{"0","1","2","3","4","5","6","7","8","9","."},"")))))*G373),2)))</f>
        <v/>
      </c>
      <c r="CM373" s="616" t="str">
        <f t="shared" si="424"/>
        <v/>
      </c>
      <c r="CN373" s="616" t="str">
        <f>IF(ISNUMBER(P373),MAX('Adjustment factors'!$S$16,(0.2+0.8*P373)),IF(ISTEXT(N373),VLOOKUP(N373,Afactors,2,FALSE),""))</f>
        <v/>
      </c>
      <c r="CO373" s="616" t="str">
        <f>IF(ISNUMBER(S373),MAX('Adjustment factors'!$S$16,0.2+0.8*S373),IF(ISTEXT(Q373),VLOOKUP(Q373,Afactors,2,FALSE),""))</f>
        <v/>
      </c>
      <c r="CP373" s="611" t="str">
        <f t="shared" si="488"/>
        <v/>
      </c>
      <c r="CQ373" s="612" t="str">
        <f t="shared" si="489"/>
        <v/>
      </c>
      <c r="CR373" s="340"/>
      <c r="CS373" s="340"/>
      <c r="CT373" s="340"/>
      <c r="CU373" s="340"/>
      <c r="CV373" s="333"/>
      <c r="CW373" s="333"/>
      <c r="CX373" s="333"/>
      <c r="CY373" s="333"/>
      <c r="DA373" s="313" t="str">
        <f t="shared" si="471"/>
        <v>OK</v>
      </c>
      <c r="DB373" s="313" t="str">
        <f t="shared" si="472"/>
        <v>OK</v>
      </c>
      <c r="DC373" s="313" t="str">
        <f t="shared" si="473"/>
        <v>OK</v>
      </c>
      <c r="DD373" s="313" t="str">
        <f t="shared" si="474"/>
        <v>OK</v>
      </c>
      <c r="DE373" s="153" t="str">
        <f t="shared" si="475"/>
        <v>OK</v>
      </c>
      <c r="DF373" s="314" t="str">
        <f t="shared" si="476"/>
        <v>OK</v>
      </c>
      <c r="DG373" s="482" t="str">
        <f t="shared" si="490"/>
        <v>OK</v>
      </c>
      <c r="DH373" s="482" t="str">
        <f>IF(OR(AND(T373='Adjustment factors'!$R$28,'Class 3, 5-9'!U373='Adjustment factors'!$R$29),AND('Class 3, 5-9'!T373='Adjustment factors'!$R$29,'Class 3, 5-9'!U373='Adjustment factors'!$R$28)),"Invalid combination of adjustment factors",IF(AND(T373=U373,NOT(ISBLANK(T373)),NOT(ISBLANK(U373))),"Same colour factor selected twice","OK"))</f>
        <v>OK</v>
      </c>
      <c r="DI373" s="313" t="str">
        <f t="shared" si="477"/>
        <v>OK</v>
      </c>
      <c r="DJ373" s="153" t="str">
        <f t="shared" si="425"/>
        <v>OK</v>
      </c>
      <c r="DK373" s="153" t="str">
        <f t="shared" si="478"/>
        <v>OK</v>
      </c>
      <c r="DL373" s="313" t="str">
        <f t="shared" si="479"/>
        <v>OK</v>
      </c>
      <c r="DM373" s="153" t="str">
        <f t="shared" si="480"/>
        <v>OK</v>
      </c>
      <c r="DN373" s="153" t="str">
        <f t="shared" si="426"/>
        <v>OK</v>
      </c>
      <c r="DO373" s="154" t="str">
        <f t="shared" si="427"/>
        <v>OK</v>
      </c>
      <c r="DP373" s="153" t="str">
        <f t="shared" si="481"/>
        <v>OK</v>
      </c>
      <c r="DQ373" s="313" t="str">
        <f t="shared" si="482"/>
        <v>OK</v>
      </c>
      <c r="DR373" s="153" t="str">
        <f t="shared" si="428"/>
        <v>OK</v>
      </c>
      <c r="DS373" s="153" t="str">
        <f t="shared" si="483"/>
        <v>OK</v>
      </c>
      <c r="DT373" s="313" t="str">
        <f t="shared" si="491"/>
        <v>OK</v>
      </c>
      <c r="DU373" s="153" t="str">
        <f t="shared" si="484"/>
        <v>OK</v>
      </c>
      <c r="DV373" s="153" t="str">
        <f t="shared" si="429"/>
        <v>OK</v>
      </c>
      <c r="DW373" s="154" t="str">
        <f t="shared" si="430"/>
        <v>OK</v>
      </c>
      <c r="DX373" s="157">
        <f t="shared" si="431"/>
        <v>0</v>
      </c>
      <c r="DY373" s="156" t="str">
        <f t="shared" si="432"/>
        <v>OK</v>
      </c>
    </row>
    <row r="374" spans="1:129" ht="13" hidden="1" x14ac:dyDescent="0.3">
      <c r="A374" s="333"/>
      <c r="B374" s="333"/>
      <c r="C374" s="332" t="str">
        <f t="shared" si="440"/>
        <v>-</v>
      </c>
      <c r="D374" s="584">
        <f t="shared" si="412"/>
        <v>351</v>
      </c>
      <c r="E374" s="585"/>
      <c r="F374" s="586"/>
      <c r="G374" s="600"/>
      <c r="H374" s="587"/>
      <c r="I374" s="601"/>
      <c r="J374" s="585"/>
      <c r="K374" s="617"/>
      <c r="L374" s="602"/>
      <c r="M374" s="603"/>
      <c r="N374" s="588"/>
      <c r="O374" s="604"/>
      <c r="P374" s="605"/>
      <c r="Q374" s="588"/>
      <c r="R374" s="604"/>
      <c r="S374" s="605"/>
      <c r="T374" s="606"/>
      <c r="U374" s="606"/>
      <c r="V374" s="429" t="str">
        <f t="shared" si="437"/>
        <v/>
      </c>
      <c r="W374" s="430" t="str">
        <f t="shared" si="436"/>
        <v/>
      </c>
      <c r="X374" s="66" t="str">
        <f>IF(AND(ISNUMBER(P374),N374=FixedDim),MAX('Adjustment factors'!$S$16,0.2+0.8*P374),IF(ISTEXT(N374),VLOOKUP(N374,Afactors,2,TRUE),""))</f>
        <v/>
      </c>
      <c r="Y374" s="17" t="str">
        <f>IF(AND(ISNUMBER(S374),Q374=FixedDim),MAX('Adjustment factors'!$S$16,0.2+0.8*S374),IF(ISTEXT(Q374),VLOOKUP(Q374,Afactors,2,TRUE),""))</f>
        <v/>
      </c>
      <c r="Z374" s="297" t="str">
        <f>IF(ISBLANK(T374),"",VLOOKUP(T374,'Adjustment factors'!$R$27:$S$30,2,TRUE))</f>
        <v/>
      </c>
      <c r="AA374" s="297" t="str">
        <f>IF(ISBLANK(U374),"",VLOOKUP(U374,'Adjustment factors'!$R$27:$S$30,2,TRUE))</f>
        <v/>
      </c>
      <c r="AB374" s="480">
        <f t="shared" si="485"/>
        <v>1</v>
      </c>
      <c r="AC374" s="18" t="b">
        <f t="shared" si="442"/>
        <v>0</v>
      </c>
      <c r="AD374" s="18" t="b">
        <f t="shared" si="443"/>
        <v>0</v>
      </c>
      <c r="AE374" s="18" t="b">
        <f t="shared" si="433"/>
        <v>0</v>
      </c>
      <c r="AF374" s="17" t="str">
        <f t="shared" si="444"/>
        <v/>
      </c>
      <c r="AG374" s="18" t="str">
        <f t="shared" si="445"/>
        <v/>
      </c>
      <c r="AH374" s="17" t="str">
        <f t="shared" si="434"/>
        <v/>
      </c>
      <c r="AI374" s="297" t="e">
        <f t="shared" si="486"/>
        <v>#VALUE!</v>
      </c>
      <c r="AJ374" s="79" t="e">
        <f t="shared" si="446"/>
        <v>#VALUE!</v>
      </c>
      <c r="AK374" s="17" t="str">
        <f t="shared" si="435"/>
        <v/>
      </c>
      <c r="AL374" s="80" t="e">
        <f t="shared" si="447"/>
        <v>#VALUE!</v>
      </c>
      <c r="AM374" s="139" t="b">
        <f t="shared" si="448"/>
        <v>1</v>
      </c>
      <c r="AN374" s="139" t="b">
        <f>AND(COUNTA(E374)&gt;0,ISNUMBER(F374),OR(COUNT(G374:H374)=0,COUNT(G374:H374)=2,AND(ISNUMBER(G374),ISNUMBER(VALUE(LEFT(H374,SUM(LEN(H374)-LEN(SUBSTITUTE(H374,{"0","1","2","3","4","5","6","7","8","9","."},"")))))))),ISNUMBER(I374),ISTEXT(J374))</f>
        <v>0</v>
      </c>
      <c r="AO374" s="19" t="b">
        <f t="shared" si="449"/>
        <v>0</v>
      </c>
      <c r="AP374" s="19" t="b">
        <f t="shared" si="450"/>
        <v>1</v>
      </c>
      <c r="AQ374" s="19" t="b">
        <f>IF(AND(COUNTBLANK(E374:J374)=6,OR(AN375:AN$523)),NOT(AN374))</f>
        <v>0</v>
      </c>
      <c r="AR374" s="19" t="str">
        <f t="shared" si="451"/>
        <v/>
      </c>
      <c r="AS374" s="19" t="b">
        <f t="shared" si="452"/>
        <v>1</v>
      </c>
      <c r="AT374" s="19" t="str">
        <f t="shared" si="453"/>
        <v/>
      </c>
      <c r="AU374" s="19" t="b">
        <f t="shared" si="454"/>
        <v>1</v>
      </c>
      <c r="AV374" s="140" t="str">
        <f t="shared" si="417"/>
        <v/>
      </c>
      <c r="AW374" s="19" t="str">
        <f t="shared" si="455"/>
        <v/>
      </c>
      <c r="AX374" s="81">
        <f t="shared" si="456"/>
        <v>0</v>
      </c>
      <c r="AY374" s="81" t="str">
        <f t="shared" si="457"/>
        <v/>
      </c>
      <c r="AZ374" s="307" t="str">
        <f t="shared" si="487"/>
        <v/>
      </c>
      <c r="BA374" s="281" t="str">
        <f t="shared" si="418"/>
        <v/>
      </c>
      <c r="BB374" s="281" t="str">
        <f t="shared" si="419"/>
        <v/>
      </c>
      <c r="BC374" s="953"/>
      <c r="BD374" s="955"/>
      <c r="BE374" s="219" t="str">
        <f t="shared" si="458"/>
        <v>n/a</v>
      </c>
      <c r="BF374" s="215" t="b">
        <f t="shared" si="459"/>
        <v>0</v>
      </c>
      <c r="BG374" s="145" t="b">
        <f t="shared" si="460"/>
        <v>0</v>
      </c>
      <c r="BH374" s="145" t="b">
        <f t="shared" si="461"/>
        <v>0</v>
      </c>
      <c r="BI374" s="216" t="b">
        <f t="shared" si="462"/>
        <v>0</v>
      </c>
      <c r="BJ374" s="215" t="b">
        <f t="shared" si="463"/>
        <v>0</v>
      </c>
      <c r="BK374" s="145" t="b">
        <f t="shared" si="464"/>
        <v>0</v>
      </c>
      <c r="BL374" s="216" t="b">
        <f t="shared" si="465"/>
        <v>0</v>
      </c>
      <c r="BM374" s="217" t="str">
        <f t="shared" si="420"/>
        <v/>
      </c>
      <c r="BN374" s="146" t="str">
        <f t="shared" si="421"/>
        <v/>
      </c>
      <c r="BO374" s="147" t="str">
        <f t="shared" si="422"/>
        <v/>
      </c>
      <c r="BP374" s="148" t="str">
        <f t="shared" si="423"/>
        <v/>
      </c>
      <c r="BT374" s="50">
        <f t="shared" si="413"/>
        <v>351</v>
      </c>
      <c r="BU374" s="50" t="str">
        <f t="shared" si="439"/>
        <v>-</v>
      </c>
      <c r="BW374" s="340"/>
      <c r="BX374" s="333"/>
      <c r="BY374" s="333"/>
      <c r="BZ374" s="333"/>
      <c r="CA374" s="333"/>
      <c r="CB374" s="333"/>
      <c r="CC374" s="333"/>
      <c r="CD374" s="333"/>
      <c r="CE374" s="333"/>
      <c r="CF374" s="333"/>
      <c r="CG374" s="354">
        <f t="shared" si="466"/>
        <v>351</v>
      </c>
      <c r="CH374" s="613">
        <f t="shared" si="467"/>
        <v>0</v>
      </c>
      <c r="CI374" s="613">
        <f t="shared" si="468"/>
        <v>0</v>
      </c>
      <c r="CJ374" s="614" t="str">
        <f t="shared" si="469"/>
        <v/>
      </c>
      <c r="CK374" s="615" t="str">
        <f t="shared" si="470"/>
        <v/>
      </c>
      <c r="CL374" s="610" t="str">
        <f>IF(ISBLANK(H374),"",IF(AND(ISNUMBER(F374),ISNUMBER(G374),ISNUMBER(H374)),ROUND(F374/(H374*G374),2),ROUND(F374/(VALUE(LEFT(H374,SUM(LEN(H374)-LEN(SUBSTITUTE(H374,{"0","1","2","3","4","5","6","7","8","9","."},"")))))*G374),2)))</f>
        <v/>
      </c>
      <c r="CM374" s="616" t="str">
        <f t="shared" si="424"/>
        <v/>
      </c>
      <c r="CN374" s="616" t="str">
        <f>IF(ISNUMBER(P374),MAX('Adjustment factors'!$S$16,(0.2+0.8*P374)),IF(ISTEXT(N374),VLOOKUP(N374,Afactors,2,FALSE),""))</f>
        <v/>
      </c>
      <c r="CO374" s="616" t="str">
        <f>IF(ISNUMBER(S374),MAX('Adjustment factors'!$S$16,0.2+0.8*S374),IF(ISTEXT(Q374),VLOOKUP(Q374,Afactors,2,FALSE),""))</f>
        <v/>
      </c>
      <c r="CP374" s="611" t="str">
        <f t="shared" si="488"/>
        <v/>
      </c>
      <c r="CQ374" s="612" t="str">
        <f t="shared" si="489"/>
        <v/>
      </c>
      <c r="CR374" s="340"/>
      <c r="CS374" s="340"/>
      <c r="CT374" s="340"/>
      <c r="CU374" s="340"/>
      <c r="CV374" s="333"/>
      <c r="CW374" s="333"/>
      <c r="CX374" s="333"/>
      <c r="CY374" s="333"/>
      <c r="DA374" s="313" t="str">
        <f t="shared" si="471"/>
        <v>OK</v>
      </c>
      <c r="DB374" s="313" t="str">
        <f t="shared" si="472"/>
        <v>OK</v>
      </c>
      <c r="DC374" s="313" t="str">
        <f t="shared" si="473"/>
        <v>OK</v>
      </c>
      <c r="DD374" s="313" t="str">
        <f t="shared" si="474"/>
        <v>OK</v>
      </c>
      <c r="DE374" s="153" t="str">
        <f t="shared" si="475"/>
        <v>OK</v>
      </c>
      <c r="DF374" s="314" t="str">
        <f t="shared" si="476"/>
        <v>OK</v>
      </c>
      <c r="DG374" s="482" t="str">
        <f t="shared" si="490"/>
        <v>OK</v>
      </c>
      <c r="DH374" s="482" t="str">
        <f>IF(OR(AND(T374='Adjustment factors'!$R$28,'Class 3, 5-9'!U374='Adjustment factors'!$R$29),AND('Class 3, 5-9'!T374='Adjustment factors'!$R$29,'Class 3, 5-9'!U374='Adjustment factors'!$R$28)),"Invalid combination of adjustment factors",IF(AND(T374=U374,NOT(ISBLANK(T374)),NOT(ISBLANK(U374))),"Same colour factor selected twice","OK"))</f>
        <v>OK</v>
      </c>
      <c r="DI374" s="313" t="str">
        <f t="shared" si="477"/>
        <v>OK</v>
      </c>
      <c r="DJ374" s="153" t="str">
        <f t="shared" si="425"/>
        <v>OK</v>
      </c>
      <c r="DK374" s="153" t="str">
        <f t="shared" si="478"/>
        <v>OK</v>
      </c>
      <c r="DL374" s="313" t="str">
        <f t="shared" si="479"/>
        <v>OK</v>
      </c>
      <c r="DM374" s="153" t="str">
        <f t="shared" si="480"/>
        <v>OK</v>
      </c>
      <c r="DN374" s="153" t="str">
        <f t="shared" si="426"/>
        <v>OK</v>
      </c>
      <c r="DO374" s="154" t="str">
        <f t="shared" si="427"/>
        <v>OK</v>
      </c>
      <c r="DP374" s="153" t="str">
        <f t="shared" si="481"/>
        <v>OK</v>
      </c>
      <c r="DQ374" s="313" t="str">
        <f t="shared" si="482"/>
        <v>OK</v>
      </c>
      <c r="DR374" s="153" t="str">
        <f t="shared" si="428"/>
        <v>OK</v>
      </c>
      <c r="DS374" s="153" t="str">
        <f t="shared" si="483"/>
        <v>OK</v>
      </c>
      <c r="DT374" s="313" t="str">
        <f t="shared" si="491"/>
        <v>OK</v>
      </c>
      <c r="DU374" s="153" t="str">
        <f t="shared" si="484"/>
        <v>OK</v>
      </c>
      <c r="DV374" s="153" t="str">
        <f t="shared" si="429"/>
        <v>OK</v>
      </c>
      <c r="DW374" s="154" t="str">
        <f t="shared" si="430"/>
        <v>OK</v>
      </c>
      <c r="DX374" s="157">
        <f t="shared" si="431"/>
        <v>0</v>
      </c>
      <c r="DY374" s="156" t="str">
        <f t="shared" si="432"/>
        <v>OK</v>
      </c>
    </row>
    <row r="375" spans="1:129" ht="13" hidden="1" x14ac:dyDescent="0.3">
      <c r="A375" s="333"/>
      <c r="B375" s="333"/>
      <c r="C375" s="332" t="str">
        <f t="shared" si="440"/>
        <v>-</v>
      </c>
      <c r="D375" s="584">
        <f t="shared" si="412"/>
        <v>352</v>
      </c>
      <c r="E375" s="585"/>
      <c r="F375" s="586"/>
      <c r="G375" s="600"/>
      <c r="H375" s="587"/>
      <c r="I375" s="601"/>
      <c r="J375" s="585"/>
      <c r="K375" s="617"/>
      <c r="L375" s="602"/>
      <c r="M375" s="603"/>
      <c r="N375" s="588"/>
      <c r="O375" s="604"/>
      <c r="P375" s="605"/>
      <c r="Q375" s="588"/>
      <c r="R375" s="604"/>
      <c r="S375" s="605"/>
      <c r="T375" s="606"/>
      <c r="U375" s="606"/>
      <c r="V375" s="429" t="str">
        <f t="shared" si="437"/>
        <v/>
      </c>
      <c r="W375" s="430" t="str">
        <f t="shared" si="436"/>
        <v/>
      </c>
      <c r="X375" s="66" t="str">
        <f>IF(AND(ISNUMBER(P375),N375=FixedDim),MAX('Adjustment factors'!$S$16,0.2+0.8*P375),IF(ISTEXT(N375),VLOOKUP(N375,Afactors,2,TRUE),""))</f>
        <v/>
      </c>
      <c r="Y375" s="17" t="str">
        <f>IF(AND(ISNUMBER(S375),Q375=FixedDim),MAX('Adjustment factors'!$S$16,0.2+0.8*S375),IF(ISTEXT(Q375),VLOOKUP(Q375,Afactors,2,TRUE),""))</f>
        <v/>
      </c>
      <c r="Z375" s="297" t="str">
        <f>IF(ISBLANK(T375),"",VLOOKUP(T375,'Adjustment factors'!$R$27:$S$30,2,TRUE))</f>
        <v/>
      </c>
      <c r="AA375" s="297" t="str">
        <f>IF(ISBLANK(U375),"",VLOOKUP(U375,'Adjustment factors'!$R$27:$S$30,2,TRUE))</f>
        <v/>
      </c>
      <c r="AB375" s="480">
        <f t="shared" si="485"/>
        <v>1</v>
      </c>
      <c r="AC375" s="18" t="b">
        <f t="shared" si="442"/>
        <v>0</v>
      </c>
      <c r="AD375" s="18" t="b">
        <f t="shared" si="443"/>
        <v>0</v>
      </c>
      <c r="AE375" s="18" t="b">
        <f t="shared" si="433"/>
        <v>0</v>
      </c>
      <c r="AF375" s="17" t="str">
        <f t="shared" si="444"/>
        <v/>
      </c>
      <c r="AG375" s="18" t="str">
        <f t="shared" si="445"/>
        <v/>
      </c>
      <c r="AH375" s="17" t="str">
        <f t="shared" si="434"/>
        <v/>
      </c>
      <c r="AI375" s="297" t="e">
        <f t="shared" si="486"/>
        <v>#VALUE!</v>
      </c>
      <c r="AJ375" s="79" t="e">
        <f t="shared" si="446"/>
        <v>#VALUE!</v>
      </c>
      <c r="AK375" s="17" t="str">
        <f t="shared" si="435"/>
        <v/>
      </c>
      <c r="AL375" s="80" t="e">
        <f t="shared" si="447"/>
        <v>#VALUE!</v>
      </c>
      <c r="AM375" s="139" t="b">
        <f t="shared" si="448"/>
        <v>1</v>
      </c>
      <c r="AN375" s="139" t="b">
        <f>AND(COUNTA(E375)&gt;0,ISNUMBER(F375),OR(COUNT(G375:H375)=0,COUNT(G375:H375)=2,AND(ISNUMBER(G375),ISNUMBER(VALUE(LEFT(H375,SUM(LEN(H375)-LEN(SUBSTITUTE(H375,{"0","1","2","3","4","5","6","7","8","9","."},"")))))))),ISNUMBER(I375),ISTEXT(J375))</f>
        <v>0</v>
      </c>
      <c r="AO375" s="19" t="b">
        <f t="shared" si="449"/>
        <v>0</v>
      </c>
      <c r="AP375" s="19" t="b">
        <f t="shared" si="450"/>
        <v>1</v>
      </c>
      <c r="AQ375" s="19" t="b">
        <f>IF(AND(COUNTBLANK(E375:J375)=6,OR(AN376:AN$523)),NOT(AN375))</f>
        <v>0</v>
      </c>
      <c r="AR375" s="19" t="str">
        <f t="shared" si="451"/>
        <v/>
      </c>
      <c r="AS375" s="19" t="b">
        <f t="shared" si="452"/>
        <v>1</v>
      </c>
      <c r="AT375" s="19" t="str">
        <f t="shared" si="453"/>
        <v/>
      </c>
      <c r="AU375" s="19" t="b">
        <f t="shared" si="454"/>
        <v>1</v>
      </c>
      <c r="AV375" s="140" t="str">
        <f t="shared" si="417"/>
        <v/>
      </c>
      <c r="AW375" s="19" t="str">
        <f t="shared" si="455"/>
        <v/>
      </c>
      <c r="AX375" s="81">
        <f t="shared" si="456"/>
        <v>0</v>
      </c>
      <c r="AY375" s="81" t="str">
        <f t="shared" si="457"/>
        <v/>
      </c>
      <c r="AZ375" s="307" t="str">
        <f t="shared" si="487"/>
        <v/>
      </c>
      <c r="BA375" s="281" t="str">
        <f t="shared" si="418"/>
        <v/>
      </c>
      <c r="BB375" s="281" t="str">
        <f t="shared" si="419"/>
        <v/>
      </c>
      <c r="BC375" s="953"/>
      <c r="BD375" s="955"/>
      <c r="BE375" s="219" t="str">
        <f t="shared" si="458"/>
        <v>n/a</v>
      </c>
      <c r="BF375" s="215" t="b">
        <f t="shared" si="459"/>
        <v>0</v>
      </c>
      <c r="BG375" s="145" t="b">
        <f t="shared" si="460"/>
        <v>0</v>
      </c>
      <c r="BH375" s="145" t="b">
        <f t="shared" si="461"/>
        <v>0</v>
      </c>
      <c r="BI375" s="216" t="b">
        <f t="shared" si="462"/>
        <v>0</v>
      </c>
      <c r="BJ375" s="215" t="b">
        <f t="shared" si="463"/>
        <v>0</v>
      </c>
      <c r="BK375" s="145" t="b">
        <f t="shared" si="464"/>
        <v>0</v>
      </c>
      <c r="BL375" s="216" t="b">
        <f t="shared" si="465"/>
        <v>0</v>
      </c>
      <c r="BM375" s="217" t="str">
        <f t="shared" si="420"/>
        <v/>
      </c>
      <c r="BN375" s="146" t="str">
        <f t="shared" si="421"/>
        <v/>
      </c>
      <c r="BO375" s="147" t="str">
        <f t="shared" si="422"/>
        <v/>
      </c>
      <c r="BP375" s="148" t="str">
        <f t="shared" si="423"/>
        <v/>
      </c>
      <c r="BT375" s="50">
        <f t="shared" si="413"/>
        <v>352</v>
      </c>
      <c r="BU375" s="50" t="str">
        <f t="shared" si="439"/>
        <v>-</v>
      </c>
      <c r="BW375" s="340"/>
      <c r="BX375" s="333"/>
      <c r="BY375" s="333"/>
      <c r="BZ375" s="333"/>
      <c r="CA375" s="333"/>
      <c r="CB375" s="333"/>
      <c r="CC375" s="333"/>
      <c r="CD375" s="333"/>
      <c r="CE375" s="333"/>
      <c r="CF375" s="333"/>
      <c r="CG375" s="354">
        <f t="shared" si="466"/>
        <v>352</v>
      </c>
      <c r="CH375" s="613">
        <f t="shared" si="467"/>
        <v>0</v>
      </c>
      <c r="CI375" s="613">
        <f t="shared" si="468"/>
        <v>0</v>
      </c>
      <c r="CJ375" s="614" t="str">
        <f t="shared" si="469"/>
        <v/>
      </c>
      <c r="CK375" s="615" t="str">
        <f t="shared" si="470"/>
        <v/>
      </c>
      <c r="CL375" s="610" t="str">
        <f>IF(ISBLANK(H375),"",IF(AND(ISNUMBER(F375),ISNUMBER(G375),ISNUMBER(H375)),ROUND(F375/(H375*G375),2),ROUND(F375/(VALUE(LEFT(H375,SUM(LEN(H375)-LEN(SUBSTITUTE(H375,{"0","1","2","3","4","5","6","7","8","9","."},"")))))*G375),2)))</f>
        <v/>
      </c>
      <c r="CM375" s="616" t="str">
        <f t="shared" si="424"/>
        <v/>
      </c>
      <c r="CN375" s="616" t="str">
        <f>IF(ISNUMBER(P375),MAX('Adjustment factors'!$S$16,(0.2+0.8*P375)),IF(ISTEXT(N375),VLOOKUP(N375,Afactors,2,FALSE),""))</f>
        <v/>
      </c>
      <c r="CO375" s="616" t="str">
        <f>IF(ISNUMBER(S375),MAX('Adjustment factors'!$S$16,0.2+0.8*S375),IF(ISTEXT(Q375),VLOOKUP(Q375,Afactors,2,FALSE),""))</f>
        <v/>
      </c>
      <c r="CP375" s="611" t="str">
        <f t="shared" si="488"/>
        <v/>
      </c>
      <c r="CQ375" s="612" t="str">
        <f t="shared" si="489"/>
        <v/>
      </c>
      <c r="CR375" s="340"/>
      <c r="CS375" s="340"/>
      <c r="CT375" s="340"/>
      <c r="CU375" s="340"/>
      <c r="CV375" s="333"/>
      <c r="CW375" s="333"/>
      <c r="CX375" s="333"/>
      <c r="CY375" s="333"/>
      <c r="DA375" s="313" t="str">
        <f t="shared" si="471"/>
        <v>OK</v>
      </c>
      <c r="DB375" s="313" t="str">
        <f t="shared" si="472"/>
        <v>OK</v>
      </c>
      <c r="DC375" s="313" t="str">
        <f t="shared" si="473"/>
        <v>OK</v>
      </c>
      <c r="DD375" s="313" t="str">
        <f t="shared" si="474"/>
        <v>OK</v>
      </c>
      <c r="DE375" s="153" t="str">
        <f t="shared" si="475"/>
        <v>OK</v>
      </c>
      <c r="DF375" s="314" t="str">
        <f t="shared" si="476"/>
        <v>OK</v>
      </c>
      <c r="DG375" s="482" t="str">
        <f t="shared" si="490"/>
        <v>OK</v>
      </c>
      <c r="DH375" s="482" t="str">
        <f>IF(OR(AND(T375='Adjustment factors'!$R$28,'Class 3, 5-9'!U375='Adjustment factors'!$R$29),AND('Class 3, 5-9'!T375='Adjustment factors'!$R$29,'Class 3, 5-9'!U375='Adjustment factors'!$R$28)),"Invalid combination of adjustment factors",IF(AND(T375=U375,NOT(ISBLANK(T375)),NOT(ISBLANK(U375))),"Same colour factor selected twice","OK"))</f>
        <v>OK</v>
      </c>
      <c r="DI375" s="313" t="str">
        <f t="shared" si="477"/>
        <v>OK</v>
      </c>
      <c r="DJ375" s="153" t="str">
        <f t="shared" si="425"/>
        <v>OK</v>
      </c>
      <c r="DK375" s="153" t="str">
        <f t="shared" si="478"/>
        <v>OK</v>
      </c>
      <c r="DL375" s="313" t="str">
        <f t="shared" si="479"/>
        <v>OK</v>
      </c>
      <c r="DM375" s="153" t="str">
        <f t="shared" si="480"/>
        <v>OK</v>
      </c>
      <c r="DN375" s="153" t="str">
        <f t="shared" si="426"/>
        <v>OK</v>
      </c>
      <c r="DO375" s="154" t="str">
        <f t="shared" si="427"/>
        <v>OK</v>
      </c>
      <c r="DP375" s="153" t="str">
        <f t="shared" si="481"/>
        <v>OK</v>
      </c>
      <c r="DQ375" s="313" t="str">
        <f t="shared" si="482"/>
        <v>OK</v>
      </c>
      <c r="DR375" s="153" t="str">
        <f t="shared" si="428"/>
        <v>OK</v>
      </c>
      <c r="DS375" s="153" t="str">
        <f t="shared" si="483"/>
        <v>OK</v>
      </c>
      <c r="DT375" s="313" t="str">
        <f t="shared" si="491"/>
        <v>OK</v>
      </c>
      <c r="DU375" s="153" t="str">
        <f t="shared" si="484"/>
        <v>OK</v>
      </c>
      <c r="DV375" s="153" t="str">
        <f t="shared" si="429"/>
        <v>OK</v>
      </c>
      <c r="DW375" s="154" t="str">
        <f t="shared" si="430"/>
        <v>OK</v>
      </c>
      <c r="DX375" s="157">
        <f t="shared" si="431"/>
        <v>0</v>
      </c>
      <c r="DY375" s="156" t="str">
        <f t="shared" si="432"/>
        <v>OK</v>
      </c>
    </row>
    <row r="376" spans="1:129" ht="13" hidden="1" x14ac:dyDescent="0.3">
      <c r="A376" s="333"/>
      <c r="B376" s="333"/>
      <c r="C376" s="332" t="str">
        <f t="shared" si="440"/>
        <v>-</v>
      </c>
      <c r="D376" s="584">
        <f t="shared" si="412"/>
        <v>353</v>
      </c>
      <c r="E376" s="585"/>
      <c r="F376" s="586"/>
      <c r="G376" s="600"/>
      <c r="H376" s="587"/>
      <c r="I376" s="601"/>
      <c r="J376" s="585"/>
      <c r="K376" s="617"/>
      <c r="L376" s="602"/>
      <c r="M376" s="603"/>
      <c r="N376" s="588"/>
      <c r="O376" s="604"/>
      <c r="P376" s="605"/>
      <c r="Q376" s="588"/>
      <c r="R376" s="604"/>
      <c r="S376" s="605"/>
      <c r="T376" s="606"/>
      <c r="U376" s="606"/>
      <c r="V376" s="429" t="str">
        <f t="shared" si="437"/>
        <v/>
      </c>
      <c r="W376" s="430" t="str">
        <f t="shared" si="436"/>
        <v/>
      </c>
      <c r="X376" s="66" t="str">
        <f>IF(AND(ISNUMBER(P376),N376=FixedDim),MAX('Adjustment factors'!$S$16,0.2+0.8*P376),IF(ISTEXT(N376),VLOOKUP(N376,Afactors,2,TRUE),""))</f>
        <v/>
      </c>
      <c r="Y376" s="17" t="str">
        <f>IF(AND(ISNUMBER(S376),Q376=FixedDim),MAX('Adjustment factors'!$S$16,0.2+0.8*S376),IF(ISTEXT(Q376),VLOOKUP(Q376,Afactors,2,TRUE),""))</f>
        <v/>
      </c>
      <c r="Z376" s="297" t="str">
        <f>IF(ISBLANK(T376),"",VLOOKUP(T376,'Adjustment factors'!$R$27:$S$30,2,TRUE))</f>
        <v/>
      </c>
      <c r="AA376" s="297" t="str">
        <f>IF(ISBLANK(U376),"",VLOOKUP(U376,'Adjustment factors'!$R$27:$S$30,2,TRUE))</f>
        <v/>
      </c>
      <c r="AB376" s="480">
        <f t="shared" si="485"/>
        <v>1</v>
      </c>
      <c r="AC376" s="18" t="b">
        <f t="shared" si="442"/>
        <v>0</v>
      </c>
      <c r="AD376" s="18" t="b">
        <f t="shared" si="443"/>
        <v>0</v>
      </c>
      <c r="AE376" s="18" t="b">
        <f t="shared" si="433"/>
        <v>0</v>
      </c>
      <c r="AF376" s="17" t="str">
        <f t="shared" si="444"/>
        <v/>
      </c>
      <c r="AG376" s="18" t="str">
        <f t="shared" si="445"/>
        <v/>
      </c>
      <c r="AH376" s="17" t="str">
        <f t="shared" si="434"/>
        <v/>
      </c>
      <c r="AI376" s="297" t="e">
        <f t="shared" si="486"/>
        <v>#VALUE!</v>
      </c>
      <c r="AJ376" s="79" t="e">
        <f t="shared" si="446"/>
        <v>#VALUE!</v>
      </c>
      <c r="AK376" s="17" t="str">
        <f t="shared" si="435"/>
        <v/>
      </c>
      <c r="AL376" s="80" t="e">
        <f t="shared" si="447"/>
        <v>#VALUE!</v>
      </c>
      <c r="AM376" s="139" t="b">
        <f t="shared" si="448"/>
        <v>1</v>
      </c>
      <c r="AN376" s="139" t="b">
        <f>AND(COUNTA(E376)&gt;0,ISNUMBER(F376),OR(COUNT(G376:H376)=0,COUNT(G376:H376)=2,AND(ISNUMBER(G376),ISNUMBER(VALUE(LEFT(H376,SUM(LEN(H376)-LEN(SUBSTITUTE(H376,{"0","1","2","3","4","5","6","7","8","9","."},"")))))))),ISNUMBER(I376),ISTEXT(J376))</f>
        <v>0</v>
      </c>
      <c r="AO376" s="19" t="b">
        <f t="shared" si="449"/>
        <v>0</v>
      </c>
      <c r="AP376" s="19" t="b">
        <f t="shared" si="450"/>
        <v>1</v>
      </c>
      <c r="AQ376" s="19" t="b">
        <f>IF(AND(COUNTBLANK(E376:J376)=6,OR(AN377:AN$523)),NOT(AN376))</f>
        <v>0</v>
      </c>
      <c r="AR376" s="19" t="str">
        <f t="shared" si="451"/>
        <v/>
      </c>
      <c r="AS376" s="19" t="b">
        <f t="shared" si="452"/>
        <v>1</v>
      </c>
      <c r="AT376" s="19" t="str">
        <f t="shared" si="453"/>
        <v/>
      </c>
      <c r="AU376" s="19" t="b">
        <f t="shared" si="454"/>
        <v>1</v>
      </c>
      <c r="AV376" s="140" t="str">
        <f t="shared" si="417"/>
        <v/>
      </c>
      <c r="AW376" s="19" t="str">
        <f t="shared" si="455"/>
        <v/>
      </c>
      <c r="AX376" s="81">
        <f t="shared" si="456"/>
        <v>0</v>
      </c>
      <c r="AY376" s="81" t="str">
        <f t="shared" si="457"/>
        <v/>
      </c>
      <c r="AZ376" s="307" t="str">
        <f t="shared" si="487"/>
        <v/>
      </c>
      <c r="BA376" s="281" t="str">
        <f t="shared" si="418"/>
        <v/>
      </c>
      <c r="BB376" s="281" t="str">
        <f t="shared" si="419"/>
        <v/>
      </c>
      <c r="BC376" s="953"/>
      <c r="BD376" s="955"/>
      <c r="BE376" s="219" t="str">
        <f t="shared" si="458"/>
        <v>n/a</v>
      </c>
      <c r="BF376" s="215" t="b">
        <f t="shared" si="459"/>
        <v>0</v>
      </c>
      <c r="BG376" s="145" t="b">
        <f t="shared" si="460"/>
        <v>0</v>
      </c>
      <c r="BH376" s="145" t="b">
        <f t="shared" si="461"/>
        <v>0</v>
      </c>
      <c r="BI376" s="216" t="b">
        <f t="shared" si="462"/>
        <v>0</v>
      </c>
      <c r="BJ376" s="215" t="b">
        <f t="shared" si="463"/>
        <v>0</v>
      </c>
      <c r="BK376" s="145" t="b">
        <f t="shared" si="464"/>
        <v>0</v>
      </c>
      <c r="BL376" s="216" t="b">
        <f t="shared" si="465"/>
        <v>0</v>
      </c>
      <c r="BM376" s="217" t="str">
        <f t="shared" si="420"/>
        <v/>
      </c>
      <c r="BN376" s="146" t="str">
        <f t="shared" si="421"/>
        <v/>
      </c>
      <c r="BO376" s="147" t="str">
        <f t="shared" si="422"/>
        <v/>
      </c>
      <c r="BP376" s="148" t="str">
        <f t="shared" si="423"/>
        <v/>
      </c>
      <c r="BT376" s="50">
        <f t="shared" si="413"/>
        <v>353</v>
      </c>
      <c r="BU376" s="50" t="str">
        <f t="shared" si="439"/>
        <v>-</v>
      </c>
      <c r="BW376" s="340"/>
      <c r="BX376" s="333"/>
      <c r="BY376" s="333"/>
      <c r="BZ376" s="333"/>
      <c r="CA376" s="333"/>
      <c r="CB376" s="333"/>
      <c r="CC376" s="333"/>
      <c r="CD376" s="333"/>
      <c r="CE376" s="333"/>
      <c r="CF376" s="333"/>
      <c r="CG376" s="354">
        <f t="shared" si="466"/>
        <v>353</v>
      </c>
      <c r="CH376" s="613">
        <f t="shared" si="467"/>
        <v>0</v>
      </c>
      <c r="CI376" s="613">
        <f t="shared" si="468"/>
        <v>0</v>
      </c>
      <c r="CJ376" s="614" t="str">
        <f t="shared" si="469"/>
        <v/>
      </c>
      <c r="CK376" s="615" t="str">
        <f t="shared" si="470"/>
        <v/>
      </c>
      <c r="CL376" s="610" t="str">
        <f>IF(ISBLANK(H376),"",IF(AND(ISNUMBER(F376),ISNUMBER(G376),ISNUMBER(H376)),ROUND(F376/(H376*G376),2),ROUND(F376/(VALUE(LEFT(H376,SUM(LEN(H376)-LEN(SUBSTITUTE(H376,{"0","1","2","3","4","5","6","7","8","9","."},"")))))*G376),2)))</f>
        <v/>
      </c>
      <c r="CM376" s="616" t="str">
        <f t="shared" si="424"/>
        <v/>
      </c>
      <c r="CN376" s="616" t="str">
        <f>IF(ISNUMBER(P376),MAX('Adjustment factors'!$S$16,(0.2+0.8*P376)),IF(ISTEXT(N376),VLOOKUP(N376,Afactors,2,FALSE),""))</f>
        <v/>
      </c>
      <c r="CO376" s="616" t="str">
        <f>IF(ISNUMBER(S376),MAX('Adjustment factors'!$S$16,0.2+0.8*S376),IF(ISTEXT(Q376),VLOOKUP(Q376,Afactors,2,FALSE),""))</f>
        <v/>
      </c>
      <c r="CP376" s="611" t="str">
        <f t="shared" si="488"/>
        <v/>
      </c>
      <c r="CQ376" s="612" t="str">
        <f t="shared" si="489"/>
        <v/>
      </c>
      <c r="CR376" s="340"/>
      <c r="CS376" s="340"/>
      <c r="CT376" s="340"/>
      <c r="CU376" s="340"/>
      <c r="CV376" s="333"/>
      <c r="CW376" s="333"/>
      <c r="CX376" s="333"/>
      <c r="CY376" s="333"/>
      <c r="DA376" s="313" t="str">
        <f t="shared" si="471"/>
        <v>OK</v>
      </c>
      <c r="DB376" s="313" t="str">
        <f t="shared" si="472"/>
        <v>OK</v>
      </c>
      <c r="DC376" s="313" t="str">
        <f t="shared" si="473"/>
        <v>OK</v>
      </c>
      <c r="DD376" s="313" t="str">
        <f t="shared" si="474"/>
        <v>OK</v>
      </c>
      <c r="DE376" s="153" t="str">
        <f t="shared" si="475"/>
        <v>OK</v>
      </c>
      <c r="DF376" s="314" t="str">
        <f t="shared" si="476"/>
        <v>OK</v>
      </c>
      <c r="DG376" s="482" t="str">
        <f t="shared" si="490"/>
        <v>OK</v>
      </c>
      <c r="DH376" s="482" t="str">
        <f>IF(OR(AND(T376='Adjustment factors'!$R$28,'Class 3, 5-9'!U376='Adjustment factors'!$R$29),AND('Class 3, 5-9'!T376='Adjustment factors'!$R$29,'Class 3, 5-9'!U376='Adjustment factors'!$R$28)),"Invalid combination of adjustment factors",IF(AND(T376=U376,NOT(ISBLANK(T376)),NOT(ISBLANK(U376))),"Same colour factor selected twice","OK"))</f>
        <v>OK</v>
      </c>
      <c r="DI376" s="313" t="str">
        <f t="shared" si="477"/>
        <v>OK</v>
      </c>
      <c r="DJ376" s="153" t="str">
        <f t="shared" si="425"/>
        <v>OK</v>
      </c>
      <c r="DK376" s="153" t="str">
        <f t="shared" si="478"/>
        <v>OK</v>
      </c>
      <c r="DL376" s="313" t="str">
        <f t="shared" si="479"/>
        <v>OK</v>
      </c>
      <c r="DM376" s="153" t="str">
        <f t="shared" si="480"/>
        <v>OK</v>
      </c>
      <c r="DN376" s="153" t="str">
        <f t="shared" si="426"/>
        <v>OK</v>
      </c>
      <c r="DO376" s="154" t="str">
        <f t="shared" si="427"/>
        <v>OK</v>
      </c>
      <c r="DP376" s="153" t="str">
        <f t="shared" si="481"/>
        <v>OK</v>
      </c>
      <c r="DQ376" s="313" t="str">
        <f t="shared" si="482"/>
        <v>OK</v>
      </c>
      <c r="DR376" s="153" t="str">
        <f t="shared" si="428"/>
        <v>OK</v>
      </c>
      <c r="DS376" s="153" t="str">
        <f t="shared" si="483"/>
        <v>OK</v>
      </c>
      <c r="DT376" s="313" t="str">
        <f t="shared" si="491"/>
        <v>OK</v>
      </c>
      <c r="DU376" s="153" t="str">
        <f t="shared" si="484"/>
        <v>OK</v>
      </c>
      <c r="DV376" s="153" t="str">
        <f t="shared" si="429"/>
        <v>OK</v>
      </c>
      <c r="DW376" s="154" t="str">
        <f t="shared" si="430"/>
        <v>OK</v>
      </c>
      <c r="DX376" s="157">
        <f t="shared" si="431"/>
        <v>0</v>
      </c>
      <c r="DY376" s="156" t="str">
        <f t="shared" si="432"/>
        <v>OK</v>
      </c>
    </row>
    <row r="377" spans="1:129" ht="13" hidden="1" x14ac:dyDescent="0.3">
      <c r="A377" s="333"/>
      <c r="B377" s="333"/>
      <c r="C377" s="332" t="str">
        <f t="shared" si="440"/>
        <v>-</v>
      </c>
      <c r="D377" s="584">
        <f t="shared" si="412"/>
        <v>354</v>
      </c>
      <c r="E377" s="585"/>
      <c r="F377" s="586"/>
      <c r="G377" s="600"/>
      <c r="H377" s="587"/>
      <c r="I377" s="601"/>
      <c r="J377" s="585"/>
      <c r="K377" s="617"/>
      <c r="L377" s="602"/>
      <c r="M377" s="603"/>
      <c r="N377" s="588"/>
      <c r="O377" s="604"/>
      <c r="P377" s="605"/>
      <c r="Q377" s="588"/>
      <c r="R377" s="604"/>
      <c r="S377" s="605"/>
      <c r="T377" s="606"/>
      <c r="U377" s="606"/>
      <c r="V377" s="429" t="str">
        <f t="shared" si="437"/>
        <v/>
      </c>
      <c r="W377" s="430" t="str">
        <f t="shared" si="436"/>
        <v/>
      </c>
      <c r="X377" s="66" t="str">
        <f>IF(AND(ISNUMBER(P377),N377=FixedDim),MAX('Adjustment factors'!$S$16,0.2+0.8*P377),IF(ISTEXT(N377),VLOOKUP(N377,Afactors,2,TRUE),""))</f>
        <v/>
      </c>
      <c r="Y377" s="17" t="str">
        <f>IF(AND(ISNUMBER(S377),Q377=FixedDim),MAX('Adjustment factors'!$S$16,0.2+0.8*S377),IF(ISTEXT(Q377),VLOOKUP(Q377,Afactors,2,TRUE),""))</f>
        <v/>
      </c>
      <c r="Z377" s="297" t="str">
        <f>IF(ISBLANK(T377),"",VLOOKUP(T377,'Adjustment factors'!$R$27:$S$30,2,TRUE))</f>
        <v/>
      </c>
      <c r="AA377" s="297" t="str">
        <f>IF(ISBLANK(U377),"",VLOOKUP(U377,'Adjustment factors'!$R$27:$S$30,2,TRUE))</f>
        <v/>
      </c>
      <c r="AB377" s="480">
        <f t="shared" si="485"/>
        <v>1</v>
      </c>
      <c r="AC377" s="18" t="b">
        <f t="shared" si="442"/>
        <v>0</v>
      </c>
      <c r="AD377" s="18" t="b">
        <f t="shared" si="443"/>
        <v>0</v>
      </c>
      <c r="AE377" s="18" t="b">
        <f t="shared" si="433"/>
        <v>0</v>
      </c>
      <c r="AF377" s="17" t="str">
        <f t="shared" si="444"/>
        <v/>
      </c>
      <c r="AG377" s="18" t="str">
        <f t="shared" si="445"/>
        <v/>
      </c>
      <c r="AH377" s="17" t="str">
        <f t="shared" si="434"/>
        <v/>
      </c>
      <c r="AI377" s="297" t="e">
        <f t="shared" si="486"/>
        <v>#VALUE!</v>
      </c>
      <c r="AJ377" s="79" t="e">
        <f t="shared" si="446"/>
        <v>#VALUE!</v>
      </c>
      <c r="AK377" s="17" t="str">
        <f t="shared" si="435"/>
        <v/>
      </c>
      <c r="AL377" s="80" t="e">
        <f t="shared" si="447"/>
        <v>#VALUE!</v>
      </c>
      <c r="AM377" s="139" t="b">
        <f t="shared" si="448"/>
        <v>1</v>
      </c>
      <c r="AN377" s="139" t="b">
        <f>AND(COUNTA(E377)&gt;0,ISNUMBER(F377),OR(COUNT(G377:H377)=0,COUNT(G377:H377)=2,AND(ISNUMBER(G377),ISNUMBER(VALUE(LEFT(H377,SUM(LEN(H377)-LEN(SUBSTITUTE(H377,{"0","1","2","3","4","5","6","7","8","9","."},"")))))))),ISNUMBER(I377),ISTEXT(J377))</f>
        <v>0</v>
      </c>
      <c r="AO377" s="19" t="b">
        <f t="shared" si="449"/>
        <v>0</v>
      </c>
      <c r="AP377" s="19" t="b">
        <f t="shared" si="450"/>
        <v>1</v>
      </c>
      <c r="AQ377" s="19" t="b">
        <f>IF(AND(COUNTBLANK(E377:J377)=6,OR(AN378:AN$523)),NOT(AN377))</f>
        <v>0</v>
      </c>
      <c r="AR377" s="19" t="str">
        <f t="shared" si="451"/>
        <v/>
      </c>
      <c r="AS377" s="19" t="b">
        <f t="shared" si="452"/>
        <v>1</v>
      </c>
      <c r="AT377" s="19" t="str">
        <f t="shared" si="453"/>
        <v/>
      </c>
      <c r="AU377" s="19" t="b">
        <f t="shared" si="454"/>
        <v>1</v>
      </c>
      <c r="AV377" s="140" t="str">
        <f t="shared" si="417"/>
        <v/>
      </c>
      <c r="AW377" s="19" t="str">
        <f t="shared" si="455"/>
        <v/>
      </c>
      <c r="AX377" s="81">
        <f t="shared" si="456"/>
        <v>0</v>
      </c>
      <c r="AY377" s="81" t="str">
        <f t="shared" si="457"/>
        <v/>
      </c>
      <c r="AZ377" s="307" t="str">
        <f t="shared" si="487"/>
        <v/>
      </c>
      <c r="BA377" s="281" t="str">
        <f t="shared" si="418"/>
        <v/>
      </c>
      <c r="BB377" s="281" t="str">
        <f t="shared" si="419"/>
        <v/>
      </c>
      <c r="BC377" s="953"/>
      <c r="BD377" s="955"/>
      <c r="BE377" s="219" t="str">
        <f t="shared" si="458"/>
        <v>n/a</v>
      </c>
      <c r="BF377" s="215" t="b">
        <f t="shared" si="459"/>
        <v>0</v>
      </c>
      <c r="BG377" s="145" t="b">
        <f t="shared" si="460"/>
        <v>0</v>
      </c>
      <c r="BH377" s="145" t="b">
        <f t="shared" si="461"/>
        <v>0</v>
      </c>
      <c r="BI377" s="216" t="b">
        <f t="shared" si="462"/>
        <v>0</v>
      </c>
      <c r="BJ377" s="215" t="b">
        <f t="shared" si="463"/>
        <v>0</v>
      </c>
      <c r="BK377" s="145" t="b">
        <f t="shared" si="464"/>
        <v>0</v>
      </c>
      <c r="BL377" s="216" t="b">
        <f t="shared" si="465"/>
        <v>0</v>
      </c>
      <c r="BM377" s="217" t="str">
        <f t="shared" si="420"/>
        <v/>
      </c>
      <c r="BN377" s="146" t="str">
        <f t="shared" si="421"/>
        <v/>
      </c>
      <c r="BO377" s="147" t="str">
        <f t="shared" si="422"/>
        <v/>
      </c>
      <c r="BP377" s="148" t="str">
        <f t="shared" si="423"/>
        <v/>
      </c>
      <c r="BT377" s="50">
        <f t="shared" si="413"/>
        <v>354</v>
      </c>
      <c r="BU377" s="50" t="str">
        <f t="shared" si="439"/>
        <v>-</v>
      </c>
      <c r="BW377" s="340"/>
      <c r="BX377" s="333"/>
      <c r="BY377" s="333"/>
      <c r="BZ377" s="333"/>
      <c r="CA377" s="333"/>
      <c r="CB377" s="333"/>
      <c r="CC377" s="333"/>
      <c r="CD377" s="333"/>
      <c r="CE377" s="333"/>
      <c r="CF377" s="333"/>
      <c r="CG377" s="354">
        <f t="shared" si="466"/>
        <v>354</v>
      </c>
      <c r="CH377" s="613">
        <f t="shared" si="467"/>
        <v>0</v>
      </c>
      <c r="CI377" s="613">
        <f t="shared" si="468"/>
        <v>0</v>
      </c>
      <c r="CJ377" s="614" t="str">
        <f t="shared" si="469"/>
        <v/>
      </c>
      <c r="CK377" s="615" t="str">
        <f t="shared" si="470"/>
        <v/>
      </c>
      <c r="CL377" s="610" t="str">
        <f>IF(ISBLANK(H377),"",IF(AND(ISNUMBER(F377),ISNUMBER(G377),ISNUMBER(H377)),ROUND(F377/(H377*G377),2),ROUND(F377/(VALUE(LEFT(H377,SUM(LEN(H377)-LEN(SUBSTITUTE(H377,{"0","1","2","3","4","5","6","7","8","9","."},"")))))*G377),2)))</f>
        <v/>
      </c>
      <c r="CM377" s="616" t="str">
        <f t="shared" si="424"/>
        <v/>
      </c>
      <c r="CN377" s="616" t="str">
        <f>IF(ISNUMBER(P377),MAX('Adjustment factors'!$S$16,(0.2+0.8*P377)),IF(ISTEXT(N377),VLOOKUP(N377,Afactors,2,FALSE),""))</f>
        <v/>
      </c>
      <c r="CO377" s="616" t="str">
        <f>IF(ISNUMBER(S377),MAX('Adjustment factors'!$S$16,0.2+0.8*S377),IF(ISTEXT(Q377),VLOOKUP(Q377,Afactors,2,FALSE),""))</f>
        <v/>
      </c>
      <c r="CP377" s="611" t="str">
        <f t="shared" si="488"/>
        <v/>
      </c>
      <c r="CQ377" s="612" t="str">
        <f t="shared" si="489"/>
        <v/>
      </c>
      <c r="CR377" s="340"/>
      <c r="CS377" s="340"/>
      <c r="CT377" s="340"/>
      <c r="CU377" s="340"/>
      <c r="CV377" s="333"/>
      <c r="CW377" s="333"/>
      <c r="CX377" s="333"/>
      <c r="CY377" s="333"/>
      <c r="DA377" s="313" t="str">
        <f t="shared" si="471"/>
        <v>OK</v>
      </c>
      <c r="DB377" s="313" t="str">
        <f t="shared" si="472"/>
        <v>OK</v>
      </c>
      <c r="DC377" s="313" t="str">
        <f t="shared" si="473"/>
        <v>OK</v>
      </c>
      <c r="DD377" s="313" t="str">
        <f t="shared" si="474"/>
        <v>OK</v>
      </c>
      <c r="DE377" s="153" t="str">
        <f t="shared" si="475"/>
        <v>OK</v>
      </c>
      <c r="DF377" s="314" t="str">
        <f t="shared" si="476"/>
        <v>OK</v>
      </c>
      <c r="DG377" s="482" t="str">
        <f t="shared" si="490"/>
        <v>OK</v>
      </c>
      <c r="DH377" s="482" t="str">
        <f>IF(OR(AND(T377='Adjustment factors'!$R$28,'Class 3, 5-9'!U377='Adjustment factors'!$R$29),AND('Class 3, 5-9'!T377='Adjustment factors'!$R$29,'Class 3, 5-9'!U377='Adjustment factors'!$R$28)),"Invalid combination of adjustment factors",IF(AND(T377=U377,NOT(ISBLANK(T377)),NOT(ISBLANK(U377))),"Same colour factor selected twice","OK"))</f>
        <v>OK</v>
      </c>
      <c r="DI377" s="313" t="str">
        <f t="shared" si="477"/>
        <v>OK</v>
      </c>
      <c r="DJ377" s="153" t="str">
        <f t="shared" si="425"/>
        <v>OK</v>
      </c>
      <c r="DK377" s="153" t="str">
        <f t="shared" si="478"/>
        <v>OK</v>
      </c>
      <c r="DL377" s="313" t="str">
        <f t="shared" si="479"/>
        <v>OK</v>
      </c>
      <c r="DM377" s="153" t="str">
        <f t="shared" si="480"/>
        <v>OK</v>
      </c>
      <c r="DN377" s="153" t="str">
        <f t="shared" si="426"/>
        <v>OK</v>
      </c>
      <c r="DO377" s="154" t="str">
        <f t="shared" si="427"/>
        <v>OK</v>
      </c>
      <c r="DP377" s="153" t="str">
        <f t="shared" si="481"/>
        <v>OK</v>
      </c>
      <c r="DQ377" s="313" t="str">
        <f t="shared" si="482"/>
        <v>OK</v>
      </c>
      <c r="DR377" s="153" t="str">
        <f t="shared" si="428"/>
        <v>OK</v>
      </c>
      <c r="DS377" s="153" t="str">
        <f t="shared" si="483"/>
        <v>OK</v>
      </c>
      <c r="DT377" s="313" t="str">
        <f t="shared" si="491"/>
        <v>OK</v>
      </c>
      <c r="DU377" s="153" t="str">
        <f t="shared" si="484"/>
        <v>OK</v>
      </c>
      <c r="DV377" s="153" t="str">
        <f t="shared" si="429"/>
        <v>OK</v>
      </c>
      <c r="DW377" s="154" t="str">
        <f t="shared" si="430"/>
        <v>OK</v>
      </c>
      <c r="DX377" s="157">
        <f t="shared" si="431"/>
        <v>0</v>
      </c>
      <c r="DY377" s="156" t="str">
        <f t="shared" si="432"/>
        <v>OK</v>
      </c>
    </row>
    <row r="378" spans="1:129" ht="13" hidden="1" x14ac:dyDescent="0.3">
      <c r="A378" s="333"/>
      <c r="B378" s="333"/>
      <c r="C378" s="332" t="str">
        <f t="shared" si="440"/>
        <v>-</v>
      </c>
      <c r="D378" s="584">
        <f t="shared" si="412"/>
        <v>355</v>
      </c>
      <c r="E378" s="585"/>
      <c r="F378" s="586"/>
      <c r="G378" s="600"/>
      <c r="H378" s="587"/>
      <c r="I378" s="601"/>
      <c r="J378" s="585"/>
      <c r="K378" s="617"/>
      <c r="L378" s="602"/>
      <c r="M378" s="603"/>
      <c r="N378" s="588"/>
      <c r="O378" s="604"/>
      <c r="P378" s="605"/>
      <c r="Q378" s="588"/>
      <c r="R378" s="604"/>
      <c r="S378" s="605"/>
      <c r="T378" s="606"/>
      <c r="U378" s="606"/>
      <c r="V378" s="429" t="str">
        <f t="shared" si="437"/>
        <v/>
      </c>
      <c r="W378" s="430" t="str">
        <f t="shared" si="436"/>
        <v/>
      </c>
      <c r="X378" s="66" t="str">
        <f>IF(AND(ISNUMBER(P378),N378=FixedDim),MAX('Adjustment factors'!$S$16,0.2+0.8*P378),IF(ISTEXT(N378),VLOOKUP(N378,Afactors,2,TRUE),""))</f>
        <v/>
      </c>
      <c r="Y378" s="17" t="str">
        <f>IF(AND(ISNUMBER(S378),Q378=FixedDim),MAX('Adjustment factors'!$S$16,0.2+0.8*S378),IF(ISTEXT(Q378),VLOOKUP(Q378,Afactors,2,TRUE),""))</f>
        <v/>
      </c>
      <c r="Z378" s="297" t="str">
        <f>IF(ISBLANK(T378),"",VLOOKUP(T378,'Adjustment factors'!$R$27:$S$30,2,TRUE))</f>
        <v/>
      </c>
      <c r="AA378" s="297" t="str">
        <f>IF(ISBLANK(U378),"",VLOOKUP(U378,'Adjustment factors'!$R$27:$S$30,2,TRUE))</f>
        <v/>
      </c>
      <c r="AB378" s="480">
        <f t="shared" si="485"/>
        <v>1</v>
      </c>
      <c r="AC378" s="18" t="b">
        <f t="shared" si="442"/>
        <v>0</v>
      </c>
      <c r="AD378" s="18" t="b">
        <f t="shared" si="443"/>
        <v>0</v>
      </c>
      <c r="AE378" s="18" t="b">
        <f t="shared" si="433"/>
        <v>0</v>
      </c>
      <c r="AF378" s="17" t="str">
        <f t="shared" si="444"/>
        <v/>
      </c>
      <c r="AG378" s="18" t="str">
        <f t="shared" si="445"/>
        <v/>
      </c>
      <c r="AH378" s="17" t="str">
        <f t="shared" si="434"/>
        <v/>
      </c>
      <c r="AI378" s="297" t="e">
        <f t="shared" si="486"/>
        <v>#VALUE!</v>
      </c>
      <c r="AJ378" s="79" t="e">
        <f t="shared" si="446"/>
        <v>#VALUE!</v>
      </c>
      <c r="AK378" s="17" t="str">
        <f t="shared" si="435"/>
        <v/>
      </c>
      <c r="AL378" s="80" t="e">
        <f t="shared" si="447"/>
        <v>#VALUE!</v>
      </c>
      <c r="AM378" s="139" t="b">
        <f t="shared" si="448"/>
        <v>1</v>
      </c>
      <c r="AN378" s="139" t="b">
        <f>AND(COUNTA(E378)&gt;0,ISNUMBER(F378),OR(COUNT(G378:H378)=0,COUNT(G378:H378)=2,AND(ISNUMBER(G378),ISNUMBER(VALUE(LEFT(H378,SUM(LEN(H378)-LEN(SUBSTITUTE(H378,{"0","1","2","3","4","5","6","7","8","9","."},"")))))))),ISNUMBER(I378),ISTEXT(J378))</f>
        <v>0</v>
      </c>
      <c r="AO378" s="19" t="b">
        <f t="shared" si="449"/>
        <v>0</v>
      </c>
      <c r="AP378" s="19" t="b">
        <f t="shared" si="450"/>
        <v>1</v>
      </c>
      <c r="AQ378" s="19" t="b">
        <f>IF(AND(COUNTBLANK(E378:J378)=6,OR(AN379:AN$523)),NOT(AN378))</f>
        <v>0</v>
      </c>
      <c r="AR378" s="19" t="str">
        <f t="shared" si="451"/>
        <v/>
      </c>
      <c r="AS378" s="19" t="b">
        <f t="shared" si="452"/>
        <v>1</v>
      </c>
      <c r="AT378" s="19" t="str">
        <f t="shared" si="453"/>
        <v/>
      </c>
      <c r="AU378" s="19" t="b">
        <f t="shared" si="454"/>
        <v>1</v>
      </c>
      <c r="AV378" s="140" t="str">
        <f t="shared" si="417"/>
        <v/>
      </c>
      <c r="AW378" s="19" t="str">
        <f t="shared" si="455"/>
        <v/>
      </c>
      <c r="AX378" s="81">
        <f t="shared" si="456"/>
        <v>0</v>
      </c>
      <c r="AY378" s="81" t="str">
        <f t="shared" si="457"/>
        <v/>
      </c>
      <c r="AZ378" s="307" t="str">
        <f t="shared" si="487"/>
        <v/>
      </c>
      <c r="BA378" s="281" t="str">
        <f t="shared" si="418"/>
        <v/>
      </c>
      <c r="BB378" s="281" t="str">
        <f t="shared" si="419"/>
        <v/>
      </c>
      <c r="BC378" s="953"/>
      <c r="BD378" s="955"/>
      <c r="BE378" s="219" t="str">
        <f t="shared" si="458"/>
        <v>n/a</v>
      </c>
      <c r="BF378" s="215" t="b">
        <f t="shared" si="459"/>
        <v>0</v>
      </c>
      <c r="BG378" s="145" t="b">
        <f t="shared" si="460"/>
        <v>0</v>
      </c>
      <c r="BH378" s="145" t="b">
        <f t="shared" si="461"/>
        <v>0</v>
      </c>
      <c r="BI378" s="216" t="b">
        <f t="shared" si="462"/>
        <v>0</v>
      </c>
      <c r="BJ378" s="215" t="b">
        <f t="shared" si="463"/>
        <v>0</v>
      </c>
      <c r="BK378" s="145" t="b">
        <f t="shared" si="464"/>
        <v>0</v>
      </c>
      <c r="BL378" s="216" t="b">
        <f t="shared" si="465"/>
        <v>0</v>
      </c>
      <c r="BM378" s="217" t="str">
        <f t="shared" si="420"/>
        <v/>
      </c>
      <c r="BN378" s="146" t="str">
        <f t="shared" si="421"/>
        <v/>
      </c>
      <c r="BO378" s="147" t="str">
        <f t="shared" si="422"/>
        <v/>
      </c>
      <c r="BP378" s="148" t="str">
        <f t="shared" si="423"/>
        <v/>
      </c>
      <c r="BT378" s="50">
        <f t="shared" si="413"/>
        <v>355</v>
      </c>
      <c r="BU378" s="50" t="str">
        <f t="shared" si="439"/>
        <v>-</v>
      </c>
      <c r="BW378" s="340"/>
      <c r="BX378" s="333"/>
      <c r="BY378" s="333"/>
      <c r="BZ378" s="333"/>
      <c r="CA378" s="333"/>
      <c r="CB378" s="333"/>
      <c r="CC378" s="333"/>
      <c r="CD378" s="333"/>
      <c r="CE378" s="333"/>
      <c r="CF378" s="333"/>
      <c r="CG378" s="354">
        <f t="shared" si="466"/>
        <v>355</v>
      </c>
      <c r="CH378" s="613">
        <f t="shared" si="467"/>
        <v>0</v>
      </c>
      <c r="CI378" s="613">
        <f t="shared" si="468"/>
        <v>0</v>
      </c>
      <c r="CJ378" s="614" t="str">
        <f t="shared" si="469"/>
        <v/>
      </c>
      <c r="CK378" s="615" t="str">
        <f t="shared" si="470"/>
        <v/>
      </c>
      <c r="CL378" s="610" t="str">
        <f>IF(ISBLANK(H378),"",IF(AND(ISNUMBER(F378),ISNUMBER(G378),ISNUMBER(H378)),ROUND(F378/(H378*G378),2),ROUND(F378/(VALUE(LEFT(H378,SUM(LEN(H378)-LEN(SUBSTITUTE(H378,{"0","1","2","3","4","5","6","7","8","9","."},"")))))*G378),2)))</f>
        <v/>
      </c>
      <c r="CM378" s="616" t="str">
        <f t="shared" si="424"/>
        <v/>
      </c>
      <c r="CN378" s="616" t="str">
        <f>IF(ISNUMBER(P378),MAX('Adjustment factors'!$S$16,(0.2+0.8*P378)),IF(ISTEXT(N378),VLOOKUP(N378,Afactors,2,FALSE),""))</f>
        <v/>
      </c>
      <c r="CO378" s="616" t="str">
        <f>IF(ISNUMBER(S378),MAX('Adjustment factors'!$S$16,0.2+0.8*S378),IF(ISTEXT(Q378),VLOOKUP(Q378,Afactors,2,FALSE),""))</f>
        <v/>
      </c>
      <c r="CP378" s="611" t="str">
        <f t="shared" si="488"/>
        <v/>
      </c>
      <c r="CQ378" s="612" t="str">
        <f t="shared" si="489"/>
        <v/>
      </c>
      <c r="CR378" s="340"/>
      <c r="CS378" s="340"/>
      <c r="CT378" s="340"/>
      <c r="CU378" s="340"/>
      <c r="CV378" s="333"/>
      <c r="CW378" s="333"/>
      <c r="CX378" s="333"/>
      <c r="CY378" s="333"/>
      <c r="DA378" s="313" t="str">
        <f t="shared" si="471"/>
        <v>OK</v>
      </c>
      <c r="DB378" s="313" t="str">
        <f t="shared" si="472"/>
        <v>OK</v>
      </c>
      <c r="DC378" s="313" t="str">
        <f t="shared" si="473"/>
        <v>OK</v>
      </c>
      <c r="DD378" s="313" t="str">
        <f t="shared" si="474"/>
        <v>OK</v>
      </c>
      <c r="DE378" s="153" t="str">
        <f t="shared" si="475"/>
        <v>OK</v>
      </c>
      <c r="DF378" s="314" t="str">
        <f t="shared" si="476"/>
        <v>OK</v>
      </c>
      <c r="DG378" s="482" t="str">
        <f t="shared" si="490"/>
        <v>OK</v>
      </c>
      <c r="DH378" s="482" t="str">
        <f>IF(OR(AND(T378='Adjustment factors'!$R$28,'Class 3, 5-9'!U378='Adjustment factors'!$R$29),AND('Class 3, 5-9'!T378='Adjustment factors'!$R$29,'Class 3, 5-9'!U378='Adjustment factors'!$R$28)),"Invalid combination of adjustment factors",IF(AND(T378=U378,NOT(ISBLANK(T378)),NOT(ISBLANK(U378))),"Same colour factor selected twice","OK"))</f>
        <v>OK</v>
      </c>
      <c r="DI378" s="313" t="str">
        <f t="shared" si="477"/>
        <v>OK</v>
      </c>
      <c r="DJ378" s="153" t="str">
        <f t="shared" si="425"/>
        <v>OK</v>
      </c>
      <c r="DK378" s="153" t="str">
        <f t="shared" si="478"/>
        <v>OK</v>
      </c>
      <c r="DL378" s="313" t="str">
        <f t="shared" si="479"/>
        <v>OK</v>
      </c>
      <c r="DM378" s="153" t="str">
        <f t="shared" si="480"/>
        <v>OK</v>
      </c>
      <c r="DN378" s="153" t="str">
        <f t="shared" si="426"/>
        <v>OK</v>
      </c>
      <c r="DO378" s="154" t="str">
        <f t="shared" si="427"/>
        <v>OK</v>
      </c>
      <c r="DP378" s="153" t="str">
        <f t="shared" si="481"/>
        <v>OK</v>
      </c>
      <c r="DQ378" s="313" t="str">
        <f t="shared" si="482"/>
        <v>OK</v>
      </c>
      <c r="DR378" s="153" t="str">
        <f t="shared" si="428"/>
        <v>OK</v>
      </c>
      <c r="DS378" s="153" t="str">
        <f t="shared" si="483"/>
        <v>OK</v>
      </c>
      <c r="DT378" s="313" t="str">
        <f t="shared" si="491"/>
        <v>OK</v>
      </c>
      <c r="DU378" s="153" t="str">
        <f t="shared" si="484"/>
        <v>OK</v>
      </c>
      <c r="DV378" s="153" t="str">
        <f t="shared" si="429"/>
        <v>OK</v>
      </c>
      <c r="DW378" s="154" t="str">
        <f t="shared" si="430"/>
        <v>OK</v>
      </c>
      <c r="DX378" s="157">
        <f t="shared" si="431"/>
        <v>0</v>
      </c>
      <c r="DY378" s="156" t="str">
        <f t="shared" si="432"/>
        <v>OK</v>
      </c>
    </row>
    <row r="379" spans="1:129" ht="13" hidden="1" x14ac:dyDescent="0.3">
      <c r="A379" s="333"/>
      <c r="B379" s="333"/>
      <c r="C379" s="332" t="str">
        <f t="shared" si="440"/>
        <v>-</v>
      </c>
      <c r="D379" s="584">
        <f t="shared" si="412"/>
        <v>356</v>
      </c>
      <c r="E379" s="585"/>
      <c r="F379" s="586"/>
      <c r="G379" s="600"/>
      <c r="H379" s="587"/>
      <c r="I379" s="601"/>
      <c r="J379" s="585"/>
      <c r="K379" s="617"/>
      <c r="L379" s="602"/>
      <c r="M379" s="603"/>
      <c r="N379" s="588"/>
      <c r="O379" s="604"/>
      <c r="P379" s="605"/>
      <c r="Q379" s="588"/>
      <c r="R379" s="604"/>
      <c r="S379" s="605"/>
      <c r="T379" s="606"/>
      <c r="U379" s="606"/>
      <c r="V379" s="429" t="str">
        <f t="shared" si="437"/>
        <v/>
      </c>
      <c r="W379" s="430" t="str">
        <f t="shared" si="436"/>
        <v/>
      </c>
      <c r="X379" s="66" t="str">
        <f>IF(AND(ISNUMBER(P379),N379=FixedDim),MAX('Adjustment factors'!$S$16,0.2+0.8*P379),IF(ISTEXT(N379),VLOOKUP(N379,Afactors,2,TRUE),""))</f>
        <v/>
      </c>
      <c r="Y379" s="17" t="str">
        <f>IF(AND(ISNUMBER(S379),Q379=FixedDim),MAX('Adjustment factors'!$S$16,0.2+0.8*S379),IF(ISTEXT(Q379),VLOOKUP(Q379,Afactors,2,TRUE),""))</f>
        <v/>
      </c>
      <c r="Z379" s="297" t="str">
        <f>IF(ISBLANK(T379),"",VLOOKUP(T379,'Adjustment factors'!$R$27:$S$30,2,TRUE))</f>
        <v/>
      </c>
      <c r="AA379" s="297" t="str">
        <f>IF(ISBLANK(U379),"",VLOOKUP(U379,'Adjustment factors'!$R$27:$S$30,2,TRUE))</f>
        <v/>
      </c>
      <c r="AB379" s="480">
        <f t="shared" si="485"/>
        <v>1</v>
      </c>
      <c r="AC379" s="18" t="b">
        <f t="shared" si="442"/>
        <v>0</v>
      </c>
      <c r="AD379" s="18" t="b">
        <f t="shared" si="443"/>
        <v>0</v>
      </c>
      <c r="AE379" s="18" t="b">
        <f t="shared" si="433"/>
        <v>0</v>
      </c>
      <c r="AF379" s="17" t="str">
        <f t="shared" si="444"/>
        <v/>
      </c>
      <c r="AG379" s="18" t="str">
        <f t="shared" si="445"/>
        <v/>
      </c>
      <c r="AH379" s="17" t="str">
        <f t="shared" si="434"/>
        <v/>
      </c>
      <c r="AI379" s="297" t="e">
        <f t="shared" si="486"/>
        <v>#VALUE!</v>
      </c>
      <c r="AJ379" s="79" t="e">
        <f t="shared" si="446"/>
        <v>#VALUE!</v>
      </c>
      <c r="AK379" s="17" t="str">
        <f t="shared" si="435"/>
        <v/>
      </c>
      <c r="AL379" s="80" t="e">
        <f t="shared" si="447"/>
        <v>#VALUE!</v>
      </c>
      <c r="AM379" s="139" t="b">
        <f t="shared" si="448"/>
        <v>1</v>
      </c>
      <c r="AN379" s="139" t="b">
        <f>AND(COUNTA(E379)&gt;0,ISNUMBER(F379),OR(COUNT(G379:H379)=0,COUNT(G379:H379)=2,AND(ISNUMBER(G379),ISNUMBER(VALUE(LEFT(H379,SUM(LEN(H379)-LEN(SUBSTITUTE(H379,{"0","1","2","3","4","5","6","7","8","9","."},"")))))))),ISNUMBER(I379),ISTEXT(J379))</f>
        <v>0</v>
      </c>
      <c r="AO379" s="19" t="b">
        <f t="shared" si="449"/>
        <v>0</v>
      </c>
      <c r="AP379" s="19" t="b">
        <f t="shared" si="450"/>
        <v>1</v>
      </c>
      <c r="AQ379" s="19" t="b">
        <f>IF(AND(COUNTBLANK(E379:J379)=6,OR(AN380:AN$523)),NOT(AN379))</f>
        <v>0</v>
      </c>
      <c r="AR379" s="19" t="str">
        <f t="shared" si="451"/>
        <v/>
      </c>
      <c r="AS379" s="19" t="b">
        <f t="shared" si="452"/>
        <v>1</v>
      </c>
      <c r="AT379" s="19" t="str">
        <f t="shared" si="453"/>
        <v/>
      </c>
      <c r="AU379" s="19" t="b">
        <f t="shared" si="454"/>
        <v>1</v>
      </c>
      <c r="AV379" s="140" t="str">
        <f t="shared" si="417"/>
        <v/>
      </c>
      <c r="AW379" s="19" t="str">
        <f t="shared" si="455"/>
        <v/>
      </c>
      <c r="AX379" s="81">
        <f t="shared" si="456"/>
        <v>0</v>
      </c>
      <c r="AY379" s="81" t="str">
        <f t="shared" si="457"/>
        <v/>
      </c>
      <c r="AZ379" s="307" t="str">
        <f t="shared" si="487"/>
        <v/>
      </c>
      <c r="BA379" s="281" t="str">
        <f t="shared" si="418"/>
        <v/>
      </c>
      <c r="BB379" s="281" t="str">
        <f t="shared" si="419"/>
        <v/>
      </c>
      <c r="BC379" s="953"/>
      <c r="BD379" s="955"/>
      <c r="BE379" s="219" t="str">
        <f t="shared" si="458"/>
        <v>n/a</v>
      </c>
      <c r="BF379" s="215" t="b">
        <f t="shared" si="459"/>
        <v>0</v>
      </c>
      <c r="BG379" s="145" t="b">
        <f t="shared" si="460"/>
        <v>0</v>
      </c>
      <c r="BH379" s="145" t="b">
        <f t="shared" si="461"/>
        <v>0</v>
      </c>
      <c r="BI379" s="216" t="b">
        <f t="shared" si="462"/>
        <v>0</v>
      </c>
      <c r="BJ379" s="215" t="b">
        <f t="shared" si="463"/>
        <v>0</v>
      </c>
      <c r="BK379" s="145" t="b">
        <f t="shared" si="464"/>
        <v>0</v>
      </c>
      <c r="BL379" s="216" t="b">
        <f t="shared" si="465"/>
        <v>0</v>
      </c>
      <c r="BM379" s="217" t="str">
        <f t="shared" si="420"/>
        <v/>
      </c>
      <c r="BN379" s="146" t="str">
        <f t="shared" si="421"/>
        <v/>
      </c>
      <c r="BO379" s="147" t="str">
        <f t="shared" si="422"/>
        <v/>
      </c>
      <c r="BP379" s="148" t="str">
        <f t="shared" si="423"/>
        <v/>
      </c>
      <c r="BT379" s="50">
        <f t="shared" si="413"/>
        <v>356</v>
      </c>
      <c r="BU379" s="50" t="str">
        <f t="shared" si="439"/>
        <v>-</v>
      </c>
      <c r="BW379" s="340"/>
      <c r="BX379" s="333"/>
      <c r="BY379" s="333"/>
      <c r="BZ379" s="333"/>
      <c r="CA379" s="333"/>
      <c r="CB379" s="333"/>
      <c r="CC379" s="333"/>
      <c r="CD379" s="333"/>
      <c r="CE379" s="333"/>
      <c r="CF379" s="333"/>
      <c r="CG379" s="354">
        <f t="shared" si="466"/>
        <v>356</v>
      </c>
      <c r="CH379" s="613">
        <f t="shared" si="467"/>
        <v>0</v>
      </c>
      <c r="CI379" s="613">
        <f t="shared" si="468"/>
        <v>0</v>
      </c>
      <c r="CJ379" s="614" t="str">
        <f t="shared" si="469"/>
        <v/>
      </c>
      <c r="CK379" s="615" t="str">
        <f t="shared" si="470"/>
        <v/>
      </c>
      <c r="CL379" s="610" t="str">
        <f>IF(ISBLANK(H379),"",IF(AND(ISNUMBER(F379),ISNUMBER(G379),ISNUMBER(H379)),ROUND(F379/(H379*G379),2),ROUND(F379/(VALUE(LEFT(H379,SUM(LEN(H379)-LEN(SUBSTITUTE(H379,{"0","1","2","3","4","5","6","7","8","9","."},"")))))*G379),2)))</f>
        <v/>
      </c>
      <c r="CM379" s="616" t="str">
        <f t="shared" si="424"/>
        <v/>
      </c>
      <c r="CN379" s="616" t="str">
        <f>IF(ISNUMBER(P379),MAX('Adjustment factors'!$S$16,(0.2+0.8*P379)),IF(ISTEXT(N379),VLOOKUP(N379,Afactors,2,FALSE),""))</f>
        <v/>
      </c>
      <c r="CO379" s="616" t="str">
        <f>IF(ISNUMBER(S379),MAX('Adjustment factors'!$S$16,0.2+0.8*S379),IF(ISTEXT(Q379),VLOOKUP(Q379,Afactors,2,FALSE),""))</f>
        <v/>
      </c>
      <c r="CP379" s="611" t="str">
        <f t="shared" si="488"/>
        <v/>
      </c>
      <c r="CQ379" s="612" t="str">
        <f t="shared" si="489"/>
        <v/>
      </c>
      <c r="CR379" s="340"/>
      <c r="CS379" s="340"/>
      <c r="CT379" s="340"/>
      <c r="CU379" s="340"/>
      <c r="CV379" s="333"/>
      <c r="CW379" s="333"/>
      <c r="CX379" s="333"/>
      <c r="CY379" s="333"/>
      <c r="DA379" s="313" t="str">
        <f t="shared" si="471"/>
        <v>OK</v>
      </c>
      <c r="DB379" s="313" t="str">
        <f t="shared" si="472"/>
        <v>OK</v>
      </c>
      <c r="DC379" s="313" t="str">
        <f t="shared" si="473"/>
        <v>OK</v>
      </c>
      <c r="DD379" s="313" t="str">
        <f t="shared" si="474"/>
        <v>OK</v>
      </c>
      <c r="DE379" s="153" t="str">
        <f t="shared" si="475"/>
        <v>OK</v>
      </c>
      <c r="DF379" s="314" t="str">
        <f t="shared" si="476"/>
        <v>OK</v>
      </c>
      <c r="DG379" s="482" t="str">
        <f t="shared" si="490"/>
        <v>OK</v>
      </c>
      <c r="DH379" s="482" t="str">
        <f>IF(OR(AND(T379='Adjustment factors'!$R$28,'Class 3, 5-9'!U379='Adjustment factors'!$R$29),AND('Class 3, 5-9'!T379='Adjustment factors'!$R$29,'Class 3, 5-9'!U379='Adjustment factors'!$R$28)),"Invalid combination of adjustment factors",IF(AND(T379=U379,NOT(ISBLANK(T379)),NOT(ISBLANK(U379))),"Same colour factor selected twice","OK"))</f>
        <v>OK</v>
      </c>
      <c r="DI379" s="313" t="str">
        <f t="shared" si="477"/>
        <v>OK</v>
      </c>
      <c r="DJ379" s="153" t="str">
        <f t="shared" si="425"/>
        <v>OK</v>
      </c>
      <c r="DK379" s="153" t="str">
        <f t="shared" si="478"/>
        <v>OK</v>
      </c>
      <c r="DL379" s="313" t="str">
        <f t="shared" si="479"/>
        <v>OK</v>
      </c>
      <c r="DM379" s="153" t="str">
        <f t="shared" si="480"/>
        <v>OK</v>
      </c>
      <c r="DN379" s="153" t="str">
        <f t="shared" si="426"/>
        <v>OK</v>
      </c>
      <c r="DO379" s="154" t="str">
        <f t="shared" si="427"/>
        <v>OK</v>
      </c>
      <c r="DP379" s="153" t="str">
        <f t="shared" si="481"/>
        <v>OK</v>
      </c>
      <c r="DQ379" s="313" t="str">
        <f t="shared" si="482"/>
        <v>OK</v>
      </c>
      <c r="DR379" s="153" t="str">
        <f t="shared" si="428"/>
        <v>OK</v>
      </c>
      <c r="DS379" s="153" t="str">
        <f t="shared" si="483"/>
        <v>OK</v>
      </c>
      <c r="DT379" s="313" t="str">
        <f t="shared" si="491"/>
        <v>OK</v>
      </c>
      <c r="DU379" s="153" t="str">
        <f t="shared" si="484"/>
        <v>OK</v>
      </c>
      <c r="DV379" s="153" t="str">
        <f t="shared" si="429"/>
        <v>OK</v>
      </c>
      <c r="DW379" s="154" t="str">
        <f t="shared" si="430"/>
        <v>OK</v>
      </c>
      <c r="DX379" s="157">
        <f t="shared" si="431"/>
        <v>0</v>
      </c>
      <c r="DY379" s="156" t="str">
        <f t="shared" si="432"/>
        <v>OK</v>
      </c>
    </row>
    <row r="380" spans="1:129" ht="13" hidden="1" x14ac:dyDescent="0.3">
      <c r="A380" s="333"/>
      <c r="B380" s="333"/>
      <c r="C380" s="332" t="str">
        <f t="shared" si="440"/>
        <v>-</v>
      </c>
      <c r="D380" s="584">
        <f t="shared" si="412"/>
        <v>357</v>
      </c>
      <c r="E380" s="585"/>
      <c r="F380" s="586"/>
      <c r="G380" s="600"/>
      <c r="H380" s="587"/>
      <c r="I380" s="601"/>
      <c r="J380" s="585"/>
      <c r="K380" s="617"/>
      <c r="L380" s="602"/>
      <c r="M380" s="603"/>
      <c r="N380" s="588"/>
      <c r="O380" s="604"/>
      <c r="P380" s="605"/>
      <c r="Q380" s="588"/>
      <c r="R380" s="604"/>
      <c r="S380" s="605"/>
      <c r="T380" s="606"/>
      <c r="U380" s="606"/>
      <c r="V380" s="429" t="str">
        <f t="shared" si="437"/>
        <v/>
      </c>
      <c r="W380" s="430" t="str">
        <f t="shared" si="436"/>
        <v/>
      </c>
      <c r="X380" s="66" t="str">
        <f>IF(AND(ISNUMBER(P380),N380=FixedDim),MAX('Adjustment factors'!$S$16,0.2+0.8*P380),IF(ISTEXT(N380),VLOOKUP(N380,Afactors,2,TRUE),""))</f>
        <v/>
      </c>
      <c r="Y380" s="17" t="str">
        <f>IF(AND(ISNUMBER(S380),Q380=FixedDim),MAX('Adjustment factors'!$S$16,0.2+0.8*S380),IF(ISTEXT(Q380),VLOOKUP(Q380,Afactors,2,TRUE),""))</f>
        <v/>
      </c>
      <c r="Z380" s="297" t="str">
        <f>IF(ISBLANK(T380),"",VLOOKUP(T380,'Adjustment factors'!$R$27:$S$30,2,TRUE))</f>
        <v/>
      </c>
      <c r="AA380" s="297" t="str">
        <f>IF(ISBLANK(U380),"",VLOOKUP(U380,'Adjustment factors'!$R$27:$S$30,2,TRUE))</f>
        <v/>
      </c>
      <c r="AB380" s="480">
        <f t="shared" si="485"/>
        <v>1</v>
      </c>
      <c r="AC380" s="18" t="b">
        <f t="shared" si="442"/>
        <v>0</v>
      </c>
      <c r="AD380" s="18" t="b">
        <f t="shared" si="443"/>
        <v>0</v>
      </c>
      <c r="AE380" s="18" t="b">
        <f t="shared" si="433"/>
        <v>0</v>
      </c>
      <c r="AF380" s="17" t="str">
        <f t="shared" si="444"/>
        <v/>
      </c>
      <c r="AG380" s="18" t="str">
        <f t="shared" si="445"/>
        <v/>
      </c>
      <c r="AH380" s="17" t="str">
        <f t="shared" si="434"/>
        <v/>
      </c>
      <c r="AI380" s="297" t="e">
        <f t="shared" si="486"/>
        <v>#VALUE!</v>
      </c>
      <c r="AJ380" s="79" t="e">
        <f t="shared" si="446"/>
        <v>#VALUE!</v>
      </c>
      <c r="AK380" s="17" t="str">
        <f t="shared" si="435"/>
        <v/>
      </c>
      <c r="AL380" s="80" t="e">
        <f t="shared" si="447"/>
        <v>#VALUE!</v>
      </c>
      <c r="AM380" s="139" t="b">
        <f t="shared" si="448"/>
        <v>1</v>
      </c>
      <c r="AN380" s="139" t="b">
        <f>AND(COUNTA(E380)&gt;0,ISNUMBER(F380),OR(COUNT(G380:H380)=0,COUNT(G380:H380)=2,AND(ISNUMBER(G380),ISNUMBER(VALUE(LEFT(H380,SUM(LEN(H380)-LEN(SUBSTITUTE(H380,{"0","1","2","3","4","5","6","7","8","9","."},"")))))))),ISNUMBER(I380),ISTEXT(J380))</f>
        <v>0</v>
      </c>
      <c r="AO380" s="19" t="b">
        <f t="shared" si="449"/>
        <v>0</v>
      </c>
      <c r="AP380" s="19" t="b">
        <f t="shared" si="450"/>
        <v>1</v>
      </c>
      <c r="AQ380" s="19" t="b">
        <f>IF(AND(COUNTBLANK(E380:J380)=6,OR(AN381:AN$523)),NOT(AN380))</f>
        <v>0</v>
      </c>
      <c r="AR380" s="19" t="str">
        <f t="shared" si="451"/>
        <v/>
      </c>
      <c r="AS380" s="19" t="b">
        <f t="shared" si="452"/>
        <v>1</v>
      </c>
      <c r="AT380" s="19" t="str">
        <f t="shared" si="453"/>
        <v/>
      </c>
      <c r="AU380" s="19" t="b">
        <f t="shared" si="454"/>
        <v>1</v>
      </c>
      <c r="AV380" s="140" t="str">
        <f t="shared" si="417"/>
        <v/>
      </c>
      <c r="AW380" s="19" t="str">
        <f t="shared" si="455"/>
        <v/>
      </c>
      <c r="AX380" s="81">
        <f t="shared" si="456"/>
        <v>0</v>
      </c>
      <c r="AY380" s="81" t="str">
        <f t="shared" si="457"/>
        <v/>
      </c>
      <c r="AZ380" s="307" t="str">
        <f t="shared" si="487"/>
        <v/>
      </c>
      <c r="BA380" s="281" t="str">
        <f t="shared" si="418"/>
        <v/>
      </c>
      <c r="BB380" s="281" t="str">
        <f t="shared" si="419"/>
        <v/>
      </c>
      <c r="BC380" s="953"/>
      <c r="BD380" s="955"/>
      <c r="BE380" s="219" t="str">
        <f t="shared" si="458"/>
        <v>n/a</v>
      </c>
      <c r="BF380" s="215" t="b">
        <f t="shared" si="459"/>
        <v>0</v>
      </c>
      <c r="BG380" s="145" t="b">
        <f t="shared" si="460"/>
        <v>0</v>
      </c>
      <c r="BH380" s="145" t="b">
        <f t="shared" si="461"/>
        <v>0</v>
      </c>
      <c r="BI380" s="216" t="b">
        <f t="shared" si="462"/>
        <v>0</v>
      </c>
      <c r="BJ380" s="215" t="b">
        <f t="shared" si="463"/>
        <v>0</v>
      </c>
      <c r="BK380" s="145" t="b">
        <f t="shared" si="464"/>
        <v>0</v>
      </c>
      <c r="BL380" s="216" t="b">
        <f t="shared" si="465"/>
        <v>0</v>
      </c>
      <c r="BM380" s="217" t="str">
        <f t="shared" si="420"/>
        <v/>
      </c>
      <c r="BN380" s="146" t="str">
        <f t="shared" si="421"/>
        <v/>
      </c>
      <c r="BO380" s="147" t="str">
        <f t="shared" si="422"/>
        <v/>
      </c>
      <c r="BP380" s="148" t="str">
        <f t="shared" si="423"/>
        <v/>
      </c>
      <c r="BT380" s="50">
        <f t="shared" si="413"/>
        <v>357</v>
      </c>
      <c r="BU380" s="50" t="str">
        <f t="shared" si="439"/>
        <v>-</v>
      </c>
      <c r="BW380" s="340"/>
      <c r="BX380" s="333"/>
      <c r="BY380" s="333"/>
      <c r="BZ380" s="333"/>
      <c r="CA380" s="333"/>
      <c r="CB380" s="333"/>
      <c r="CC380" s="333"/>
      <c r="CD380" s="333"/>
      <c r="CE380" s="333"/>
      <c r="CF380" s="333"/>
      <c r="CG380" s="354">
        <f t="shared" si="466"/>
        <v>357</v>
      </c>
      <c r="CH380" s="613">
        <f t="shared" si="467"/>
        <v>0</v>
      </c>
      <c r="CI380" s="613">
        <f t="shared" si="468"/>
        <v>0</v>
      </c>
      <c r="CJ380" s="614" t="str">
        <f t="shared" si="469"/>
        <v/>
      </c>
      <c r="CK380" s="615" t="str">
        <f t="shared" si="470"/>
        <v/>
      </c>
      <c r="CL380" s="610" t="str">
        <f>IF(ISBLANK(H380),"",IF(AND(ISNUMBER(F380),ISNUMBER(G380),ISNUMBER(H380)),ROUND(F380/(H380*G380),2),ROUND(F380/(VALUE(LEFT(H380,SUM(LEN(H380)-LEN(SUBSTITUTE(H380,{"0","1","2","3","4","5","6","7","8","9","."},"")))))*G380),2)))</f>
        <v/>
      </c>
      <c r="CM380" s="616" t="str">
        <f t="shared" si="424"/>
        <v/>
      </c>
      <c r="CN380" s="616" t="str">
        <f>IF(ISNUMBER(P380),MAX('Adjustment factors'!$S$16,(0.2+0.8*P380)),IF(ISTEXT(N380),VLOOKUP(N380,Afactors,2,FALSE),""))</f>
        <v/>
      </c>
      <c r="CO380" s="616" t="str">
        <f>IF(ISNUMBER(S380),MAX('Adjustment factors'!$S$16,0.2+0.8*S380),IF(ISTEXT(Q380),VLOOKUP(Q380,Afactors,2,FALSE),""))</f>
        <v/>
      </c>
      <c r="CP380" s="611" t="str">
        <f t="shared" si="488"/>
        <v/>
      </c>
      <c r="CQ380" s="612" t="str">
        <f t="shared" si="489"/>
        <v/>
      </c>
      <c r="CR380" s="340"/>
      <c r="CS380" s="340"/>
      <c r="CT380" s="340"/>
      <c r="CU380" s="340"/>
      <c r="CV380" s="333"/>
      <c r="CW380" s="333"/>
      <c r="CX380" s="333"/>
      <c r="CY380" s="333"/>
      <c r="DA380" s="313" t="str">
        <f t="shared" si="471"/>
        <v>OK</v>
      </c>
      <c r="DB380" s="313" t="str">
        <f t="shared" si="472"/>
        <v>OK</v>
      </c>
      <c r="DC380" s="313" t="str">
        <f t="shared" si="473"/>
        <v>OK</v>
      </c>
      <c r="DD380" s="313" t="str">
        <f t="shared" si="474"/>
        <v>OK</v>
      </c>
      <c r="DE380" s="153" t="str">
        <f t="shared" si="475"/>
        <v>OK</v>
      </c>
      <c r="DF380" s="314" t="str">
        <f t="shared" si="476"/>
        <v>OK</v>
      </c>
      <c r="DG380" s="482" t="str">
        <f t="shared" si="490"/>
        <v>OK</v>
      </c>
      <c r="DH380" s="482" t="str">
        <f>IF(OR(AND(T380='Adjustment factors'!$R$28,'Class 3, 5-9'!U380='Adjustment factors'!$R$29),AND('Class 3, 5-9'!T380='Adjustment factors'!$R$29,'Class 3, 5-9'!U380='Adjustment factors'!$R$28)),"Invalid combination of adjustment factors",IF(AND(T380=U380,NOT(ISBLANK(T380)),NOT(ISBLANK(U380))),"Same colour factor selected twice","OK"))</f>
        <v>OK</v>
      </c>
      <c r="DI380" s="313" t="str">
        <f t="shared" si="477"/>
        <v>OK</v>
      </c>
      <c r="DJ380" s="153" t="str">
        <f t="shared" si="425"/>
        <v>OK</v>
      </c>
      <c r="DK380" s="153" t="str">
        <f t="shared" si="478"/>
        <v>OK</v>
      </c>
      <c r="DL380" s="313" t="str">
        <f t="shared" si="479"/>
        <v>OK</v>
      </c>
      <c r="DM380" s="153" t="str">
        <f t="shared" si="480"/>
        <v>OK</v>
      </c>
      <c r="DN380" s="153" t="str">
        <f t="shared" si="426"/>
        <v>OK</v>
      </c>
      <c r="DO380" s="154" t="str">
        <f t="shared" si="427"/>
        <v>OK</v>
      </c>
      <c r="DP380" s="153" t="str">
        <f t="shared" si="481"/>
        <v>OK</v>
      </c>
      <c r="DQ380" s="313" t="str">
        <f t="shared" si="482"/>
        <v>OK</v>
      </c>
      <c r="DR380" s="153" t="str">
        <f t="shared" si="428"/>
        <v>OK</v>
      </c>
      <c r="DS380" s="153" t="str">
        <f t="shared" si="483"/>
        <v>OK</v>
      </c>
      <c r="DT380" s="313" t="str">
        <f t="shared" si="491"/>
        <v>OK</v>
      </c>
      <c r="DU380" s="153" t="str">
        <f t="shared" si="484"/>
        <v>OK</v>
      </c>
      <c r="DV380" s="153" t="str">
        <f t="shared" si="429"/>
        <v>OK</v>
      </c>
      <c r="DW380" s="154" t="str">
        <f t="shared" si="430"/>
        <v>OK</v>
      </c>
      <c r="DX380" s="157">
        <f t="shared" si="431"/>
        <v>0</v>
      </c>
      <c r="DY380" s="156" t="str">
        <f t="shared" si="432"/>
        <v>OK</v>
      </c>
    </row>
    <row r="381" spans="1:129" ht="13" hidden="1" x14ac:dyDescent="0.3">
      <c r="A381" s="333"/>
      <c r="B381" s="333"/>
      <c r="C381" s="332" t="str">
        <f t="shared" si="440"/>
        <v>-</v>
      </c>
      <c r="D381" s="584">
        <f t="shared" si="412"/>
        <v>358</v>
      </c>
      <c r="E381" s="585"/>
      <c r="F381" s="586"/>
      <c r="G381" s="600"/>
      <c r="H381" s="587"/>
      <c r="I381" s="601"/>
      <c r="J381" s="585"/>
      <c r="K381" s="617"/>
      <c r="L381" s="602"/>
      <c r="M381" s="603"/>
      <c r="N381" s="588"/>
      <c r="O381" s="604"/>
      <c r="P381" s="605"/>
      <c r="Q381" s="588"/>
      <c r="R381" s="604"/>
      <c r="S381" s="605"/>
      <c r="T381" s="606"/>
      <c r="U381" s="606"/>
      <c r="V381" s="429" t="str">
        <f t="shared" si="437"/>
        <v/>
      </c>
      <c r="W381" s="430" t="str">
        <f t="shared" si="436"/>
        <v/>
      </c>
      <c r="X381" s="66" t="str">
        <f>IF(AND(ISNUMBER(P381),N381=FixedDim),MAX('Adjustment factors'!$S$16,0.2+0.8*P381),IF(ISTEXT(N381),VLOOKUP(N381,Afactors,2,TRUE),""))</f>
        <v/>
      </c>
      <c r="Y381" s="17" t="str">
        <f>IF(AND(ISNUMBER(S381),Q381=FixedDim),MAX('Adjustment factors'!$S$16,0.2+0.8*S381),IF(ISTEXT(Q381),VLOOKUP(Q381,Afactors,2,TRUE),""))</f>
        <v/>
      </c>
      <c r="Z381" s="297" t="str">
        <f>IF(ISBLANK(T381),"",VLOOKUP(T381,'Adjustment factors'!$R$27:$S$30,2,TRUE))</f>
        <v/>
      </c>
      <c r="AA381" s="297" t="str">
        <f>IF(ISBLANK(U381),"",VLOOKUP(U381,'Adjustment factors'!$R$27:$S$30,2,TRUE))</f>
        <v/>
      </c>
      <c r="AB381" s="480">
        <f t="shared" si="485"/>
        <v>1</v>
      </c>
      <c r="AC381" s="18" t="b">
        <f t="shared" si="442"/>
        <v>0</v>
      </c>
      <c r="AD381" s="18" t="b">
        <f t="shared" si="443"/>
        <v>0</v>
      </c>
      <c r="AE381" s="18" t="b">
        <f t="shared" si="433"/>
        <v>0</v>
      </c>
      <c r="AF381" s="17" t="str">
        <f t="shared" si="444"/>
        <v/>
      </c>
      <c r="AG381" s="18" t="str">
        <f t="shared" si="445"/>
        <v/>
      </c>
      <c r="AH381" s="17" t="str">
        <f t="shared" si="434"/>
        <v/>
      </c>
      <c r="AI381" s="297" t="e">
        <f t="shared" si="486"/>
        <v>#VALUE!</v>
      </c>
      <c r="AJ381" s="79" t="e">
        <f t="shared" si="446"/>
        <v>#VALUE!</v>
      </c>
      <c r="AK381" s="17" t="str">
        <f t="shared" si="435"/>
        <v/>
      </c>
      <c r="AL381" s="80" t="e">
        <f t="shared" si="447"/>
        <v>#VALUE!</v>
      </c>
      <c r="AM381" s="139" t="b">
        <f t="shared" si="448"/>
        <v>1</v>
      </c>
      <c r="AN381" s="139" t="b">
        <f>AND(COUNTA(E381)&gt;0,ISNUMBER(F381),OR(COUNT(G381:H381)=0,COUNT(G381:H381)=2,AND(ISNUMBER(G381),ISNUMBER(VALUE(LEFT(H381,SUM(LEN(H381)-LEN(SUBSTITUTE(H381,{"0","1","2","3","4","5","6","7","8","9","."},"")))))))),ISNUMBER(I381),ISTEXT(J381))</f>
        <v>0</v>
      </c>
      <c r="AO381" s="19" t="b">
        <f t="shared" si="449"/>
        <v>0</v>
      </c>
      <c r="AP381" s="19" t="b">
        <f t="shared" si="450"/>
        <v>1</v>
      </c>
      <c r="AQ381" s="19" t="b">
        <f>IF(AND(COUNTBLANK(E381:J381)=6,OR(AN382:AN$523)),NOT(AN381))</f>
        <v>0</v>
      </c>
      <c r="AR381" s="19" t="str">
        <f t="shared" si="451"/>
        <v/>
      </c>
      <c r="AS381" s="19" t="b">
        <f t="shared" si="452"/>
        <v>1</v>
      </c>
      <c r="AT381" s="19" t="str">
        <f t="shared" si="453"/>
        <v/>
      </c>
      <c r="AU381" s="19" t="b">
        <f t="shared" si="454"/>
        <v>1</v>
      </c>
      <c r="AV381" s="140" t="str">
        <f t="shared" si="417"/>
        <v/>
      </c>
      <c r="AW381" s="19" t="str">
        <f t="shared" si="455"/>
        <v/>
      </c>
      <c r="AX381" s="81">
        <f t="shared" si="456"/>
        <v>0</v>
      </c>
      <c r="AY381" s="81" t="str">
        <f t="shared" si="457"/>
        <v/>
      </c>
      <c r="AZ381" s="307" t="str">
        <f t="shared" si="487"/>
        <v/>
      </c>
      <c r="BA381" s="281" t="str">
        <f t="shared" si="418"/>
        <v/>
      </c>
      <c r="BB381" s="281" t="str">
        <f t="shared" si="419"/>
        <v/>
      </c>
      <c r="BC381" s="953"/>
      <c r="BD381" s="955"/>
      <c r="BE381" s="219" t="str">
        <f t="shared" si="458"/>
        <v>n/a</v>
      </c>
      <c r="BF381" s="215" t="b">
        <f t="shared" si="459"/>
        <v>0</v>
      </c>
      <c r="BG381" s="145" t="b">
        <f t="shared" si="460"/>
        <v>0</v>
      </c>
      <c r="BH381" s="145" t="b">
        <f t="shared" si="461"/>
        <v>0</v>
      </c>
      <c r="BI381" s="216" t="b">
        <f t="shared" si="462"/>
        <v>0</v>
      </c>
      <c r="BJ381" s="215" t="b">
        <f t="shared" si="463"/>
        <v>0</v>
      </c>
      <c r="BK381" s="145" t="b">
        <f t="shared" si="464"/>
        <v>0</v>
      </c>
      <c r="BL381" s="216" t="b">
        <f t="shared" si="465"/>
        <v>0</v>
      </c>
      <c r="BM381" s="217" t="str">
        <f t="shared" si="420"/>
        <v/>
      </c>
      <c r="BN381" s="146" t="str">
        <f t="shared" si="421"/>
        <v/>
      </c>
      <c r="BO381" s="147" t="str">
        <f t="shared" si="422"/>
        <v/>
      </c>
      <c r="BP381" s="148" t="str">
        <f t="shared" si="423"/>
        <v/>
      </c>
      <c r="BT381" s="50">
        <f t="shared" si="413"/>
        <v>358</v>
      </c>
      <c r="BU381" s="50" t="str">
        <f t="shared" si="439"/>
        <v>-</v>
      </c>
      <c r="BW381" s="340"/>
      <c r="BX381" s="333"/>
      <c r="BY381" s="333"/>
      <c r="BZ381" s="333"/>
      <c r="CA381" s="333"/>
      <c r="CB381" s="333"/>
      <c r="CC381" s="333"/>
      <c r="CD381" s="333"/>
      <c r="CE381" s="333"/>
      <c r="CF381" s="333"/>
      <c r="CG381" s="354">
        <f t="shared" si="466"/>
        <v>358</v>
      </c>
      <c r="CH381" s="613">
        <f t="shared" si="467"/>
        <v>0</v>
      </c>
      <c r="CI381" s="613">
        <f t="shared" si="468"/>
        <v>0</v>
      </c>
      <c r="CJ381" s="614" t="str">
        <f t="shared" si="469"/>
        <v/>
      </c>
      <c r="CK381" s="615" t="str">
        <f t="shared" si="470"/>
        <v/>
      </c>
      <c r="CL381" s="610" t="str">
        <f>IF(ISBLANK(H381),"",IF(AND(ISNUMBER(F381),ISNUMBER(G381),ISNUMBER(H381)),ROUND(F381/(H381*G381),2),ROUND(F381/(VALUE(LEFT(H381,SUM(LEN(H381)-LEN(SUBSTITUTE(H381,{"0","1","2","3","4","5","6","7","8","9","."},"")))))*G381),2)))</f>
        <v/>
      </c>
      <c r="CM381" s="616" t="str">
        <f t="shared" si="424"/>
        <v/>
      </c>
      <c r="CN381" s="616" t="str">
        <f>IF(ISNUMBER(P381),MAX('Adjustment factors'!$S$16,(0.2+0.8*P381)),IF(ISTEXT(N381),VLOOKUP(N381,Afactors,2,FALSE),""))</f>
        <v/>
      </c>
      <c r="CO381" s="616" t="str">
        <f>IF(ISNUMBER(S381),MAX('Adjustment factors'!$S$16,0.2+0.8*S381),IF(ISTEXT(Q381),VLOOKUP(Q381,Afactors,2,FALSE),""))</f>
        <v/>
      </c>
      <c r="CP381" s="611" t="str">
        <f t="shared" si="488"/>
        <v/>
      </c>
      <c r="CQ381" s="612" t="str">
        <f t="shared" si="489"/>
        <v/>
      </c>
      <c r="CR381" s="340"/>
      <c r="CS381" s="340"/>
      <c r="CT381" s="340"/>
      <c r="CU381" s="340"/>
      <c r="CV381" s="333"/>
      <c r="CW381" s="333"/>
      <c r="CX381" s="333"/>
      <c r="CY381" s="333"/>
      <c r="DA381" s="313" t="str">
        <f t="shared" si="471"/>
        <v>OK</v>
      </c>
      <c r="DB381" s="313" t="str">
        <f t="shared" si="472"/>
        <v>OK</v>
      </c>
      <c r="DC381" s="313" t="str">
        <f t="shared" si="473"/>
        <v>OK</v>
      </c>
      <c r="DD381" s="313" t="str">
        <f t="shared" si="474"/>
        <v>OK</v>
      </c>
      <c r="DE381" s="153" t="str">
        <f t="shared" si="475"/>
        <v>OK</v>
      </c>
      <c r="DF381" s="314" t="str">
        <f t="shared" si="476"/>
        <v>OK</v>
      </c>
      <c r="DG381" s="482" t="str">
        <f t="shared" si="490"/>
        <v>OK</v>
      </c>
      <c r="DH381" s="482" t="str">
        <f>IF(OR(AND(T381='Adjustment factors'!$R$28,'Class 3, 5-9'!U381='Adjustment factors'!$R$29),AND('Class 3, 5-9'!T381='Adjustment factors'!$R$29,'Class 3, 5-9'!U381='Adjustment factors'!$R$28)),"Invalid combination of adjustment factors",IF(AND(T381=U381,NOT(ISBLANK(T381)),NOT(ISBLANK(U381))),"Same colour factor selected twice","OK"))</f>
        <v>OK</v>
      </c>
      <c r="DI381" s="313" t="str">
        <f t="shared" si="477"/>
        <v>OK</v>
      </c>
      <c r="DJ381" s="153" t="str">
        <f t="shared" si="425"/>
        <v>OK</v>
      </c>
      <c r="DK381" s="153" t="str">
        <f t="shared" si="478"/>
        <v>OK</v>
      </c>
      <c r="DL381" s="313" t="str">
        <f t="shared" si="479"/>
        <v>OK</v>
      </c>
      <c r="DM381" s="153" t="str">
        <f t="shared" si="480"/>
        <v>OK</v>
      </c>
      <c r="DN381" s="153" t="str">
        <f t="shared" si="426"/>
        <v>OK</v>
      </c>
      <c r="DO381" s="154" t="str">
        <f t="shared" si="427"/>
        <v>OK</v>
      </c>
      <c r="DP381" s="153" t="str">
        <f t="shared" si="481"/>
        <v>OK</v>
      </c>
      <c r="DQ381" s="313" t="str">
        <f t="shared" si="482"/>
        <v>OK</v>
      </c>
      <c r="DR381" s="153" t="str">
        <f t="shared" si="428"/>
        <v>OK</v>
      </c>
      <c r="DS381" s="153" t="str">
        <f t="shared" si="483"/>
        <v>OK</v>
      </c>
      <c r="DT381" s="313" t="str">
        <f t="shared" si="491"/>
        <v>OK</v>
      </c>
      <c r="DU381" s="153" t="str">
        <f t="shared" si="484"/>
        <v>OK</v>
      </c>
      <c r="DV381" s="153" t="str">
        <f t="shared" si="429"/>
        <v>OK</v>
      </c>
      <c r="DW381" s="154" t="str">
        <f t="shared" si="430"/>
        <v>OK</v>
      </c>
      <c r="DX381" s="157">
        <f t="shared" si="431"/>
        <v>0</v>
      </c>
      <c r="DY381" s="156" t="str">
        <f t="shared" si="432"/>
        <v>OK</v>
      </c>
    </row>
    <row r="382" spans="1:129" ht="13" hidden="1" x14ac:dyDescent="0.3">
      <c r="A382" s="333"/>
      <c r="B382" s="333"/>
      <c r="C382" s="332" t="str">
        <f t="shared" si="440"/>
        <v>-</v>
      </c>
      <c r="D382" s="584">
        <f t="shared" si="412"/>
        <v>359</v>
      </c>
      <c r="E382" s="585"/>
      <c r="F382" s="586"/>
      <c r="G382" s="600"/>
      <c r="H382" s="587"/>
      <c r="I382" s="601"/>
      <c r="J382" s="585"/>
      <c r="K382" s="617"/>
      <c r="L382" s="602"/>
      <c r="M382" s="603"/>
      <c r="N382" s="588"/>
      <c r="O382" s="604"/>
      <c r="P382" s="605"/>
      <c r="Q382" s="588"/>
      <c r="R382" s="604"/>
      <c r="S382" s="605"/>
      <c r="T382" s="606"/>
      <c r="U382" s="606"/>
      <c r="V382" s="429" t="str">
        <f t="shared" si="437"/>
        <v/>
      </c>
      <c r="W382" s="430" t="str">
        <f t="shared" si="436"/>
        <v/>
      </c>
      <c r="X382" s="66" t="str">
        <f>IF(AND(ISNUMBER(P382),N382=FixedDim),MAX('Adjustment factors'!$S$16,0.2+0.8*P382),IF(ISTEXT(N382),VLOOKUP(N382,Afactors,2,TRUE),""))</f>
        <v/>
      </c>
      <c r="Y382" s="17" t="str">
        <f>IF(AND(ISNUMBER(S382),Q382=FixedDim),MAX('Adjustment factors'!$S$16,0.2+0.8*S382),IF(ISTEXT(Q382),VLOOKUP(Q382,Afactors,2,TRUE),""))</f>
        <v/>
      </c>
      <c r="Z382" s="297" t="str">
        <f>IF(ISBLANK(T382),"",VLOOKUP(T382,'Adjustment factors'!$R$27:$S$30,2,TRUE))</f>
        <v/>
      </c>
      <c r="AA382" s="297" t="str">
        <f>IF(ISBLANK(U382),"",VLOOKUP(U382,'Adjustment factors'!$R$27:$S$30,2,TRUE))</f>
        <v/>
      </c>
      <c r="AB382" s="480">
        <f t="shared" si="485"/>
        <v>1</v>
      </c>
      <c r="AC382" s="18" t="b">
        <f t="shared" si="442"/>
        <v>0</v>
      </c>
      <c r="AD382" s="18" t="b">
        <f t="shared" si="443"/>
        <v>0</v>
      </c>
      <c r="AE382" s="18" t="b">
        <f t="shared" si="433"/>
        <v>0</v>
      </c>
      <c r="AF382" s="17" t="str">
        <f t="shared" si="444"/>
        <v/>
      </c>
      <c r="AG382" s="18" t="str">
        <f t="shared" si="445"/>
        <v/>
      </c>
      <c r="AH382" s="17" t="str">
        <f t="shared" si="434"/>
        <v/>
      </c>
      <c r="AI382" s="297" t="e">
        <f t="shared" si="486"/>
        <v>#VALUE!</v>
      </c>
      <c r="AJ382" s="79" t="e">
        <f t="shared" si="446"/>
        <v>#VALUE!</v>
      </c>
      <c r="AK382" s="17" t="str">
        <f t="shared" si="435"/>
        <v/>
      </c>
      <c r="AL382" s="80" t="e">
        <f t="shared" si="447"/>
        <v>#VALUE!</v>
      </c>
      <c r="AM382" s="139" t="b">
        <f t="shared" si="448"/>
        <v>1</v>
      </c>
      <c r="AN382" s="139" t="b">
        <f>AND(COUNTA(E382)&gt;0,ISNUMBER(F382),OR(COUNT(G382:H382)=0,COUNT(G382:H382)=2,AND(ISNUMBER(G382),ISNUMBER(VALUE(LEFT(H382,SUM(LEN(H382)-LEN(SUBSTITUTE(H382,{"0","1","2","3","4","5","6","7","8","9","."},"")))))))),ISNUMBER(I382),ISTEXT(J382))</f>
        <v>0</v>
      </c>
      <c r="AO382" s="19" t="b">
        <f t="shared" si="449"/>
        <v>0</v>
      </c>
      <c r="AP382" s="19" t="b">
        <f t="shared" si="450"/>
        <v>1</v>
      </c>
      <c r="AQ382" s="19" t="b">
        <f>IF(AND(COUNTBLANK(E382:J382)=6,OR(AN383:AN$523)),NOT(AN382))</f>
        <v>0</v>
      </c>
      <c r="AR382" s="19" t="str">
        <f t="shared" si="451"/>
        <v/>
      </c>
      <c r="AS382" s="19" t="b">
        <f t="shared" si="452"/>
        <v>1</v>
      </c>
      <c r="AT382" s="19" t="str">
        <f t="shared" si="453"/>
        <v/>
      </c>
      <c r="AU382" s="19" t="b">
        <f t="shared" si="454"/>
        <v>1</v>
      </c>
      <c r="AV382" s="140" t="str">
        <f t="shared" si="417"/>
        <v/>
      </c>
      <c r="AW382" s="19" t="str">
        <f t="shared" si="455"/>
        <v/>
      </c>
      <c r="AX382" s="81">
        <f t="shared" si="456"/>
        <v>0</v>
      </c>
      <c r="AY382" s="81" t="str">
        <f t="shared" si="457"/>
        <v/>
      </c>
      <c r="AZ382" s="307" t="str">
        <f t="shared" si="487"/>
        <v/>
      </c>
      <c r="BA382" s="281" t="str">
        <f t="shared" si="418"/>
        <v/>
      </c>
      <c r="BB382" s="281" t="str">
        <f t="shared" si="419"/>
        <v/>
      </c>
      <c r="BC382" s="953"/>
      <c r="BD382" s="955"/>
      <c r="BE382" s="219" t="str">
        <f t="shared" si="458"/>
        <v>n/a</v>
      </c>
      <c r="BF382" s="215" t="b">
        <f t="shared" si="459"/>
        <v>0</v>
      </c>
      <c r="BG382" s="145" t="b">
        <f t="shared" si="460"/>
        <v>0</v>
      </c>
      <c r="BH382" s="145" t="b">
        <f t="shared" si="461"/>
        <v>0</v>
      </c>
      <c r="BI382" s="216" t="b">
        <f t="shared" si="462"/>
        <v>0</v>
      </c>
      <c r="BJ382" s="215" t="b">
        <f t="shared" si="463"/>
        <v>0</v>
      </c>
      <c r="BK382" s="145" t="b">
        <f t="shared" si="464"/>
        <v>0</v>
      </c>
      <c r="BL382" s="216" t="b">
        <f t="shared" si="465"/>
        <v>0</v>
      </c>
      <c r="BM382" s="217" t="str">
        <f t="shared" si="420"/>
        <v/>
      </c>
      <c r="BN382" s="146" t="str">
        <f t="shared" si="421"/>
        <v/>
      </c>
      <c r="BO382" s="147" t="str">
        <f t="shared" si="422"/>
        <v/>
      </c>
      <c r="BP382" s="148" t="str">
        <f t="shared" si="423"/>
        <v/>
      </c>
      <c r="BT382" s="50">
        <f t="shared" si="413"/>
        <v>359</v>
      </c>
      <c r="BU382" s="50" t="str">
        <f t="shared" si="439"/>
        <v>-</v>
      </c>
      <c r="BW382" s="340"/>
      <c r="BX382" s="333"/>
      <c r="BY382" s="333"/>
      <c r="BZ382" s="333"/>
      <c r="CA382" s="333"/>
      <c r="CB382" s="333"/>
      <c r="CC382" s="333"/>
      <c r="CD382" s="333"/>
      <c r="CE382" s="333"/>
      <c r="CF382" s="333"/>
      <c r="CG382" s="354">
        <f t="shared" si="466"/>
        <v>359</v>
      </c>
      <c r="CH382" s="613">
        <f t="shared" si="467"/>
        <v>0</v>
      </c>
      <c r="CI382" s="613">
        <f t="shared" si="468"/>
        <v>0</v>
      </c>
      <c r="CJ382" s="614" t="str">
        <f t="shared" si="469"/>
        <v/>
      </c>
      <c r="CK382" s="615" t="str">
        <f t="shared" si="470"/>
        <v/>
      </c>
      <c r="CL382" s="610" t="str">
        <f>IF(ISBLANK(H382),"",IF(AND(ISNUMBER(F382),ISNUMBER(G382),ISNUMBER(H382)),ROUND(F382/(H382*G382),2),ROUND(F382/(VALUE(LEFT(H382,SUM(LEN(H382)-LEN(SUBSTITUTE(H382,{"0","1","2","3","4","5","6","7","8","9","."},"")))))*G382),2)))</f>
        <v/>
      </c>
      <c r="CM382" s="616" t="str">
        <f t="shared" si="424"/>
        <v/>
      </c>
      <c r="CN382" s="616" t="str">
        <f>IF(ISNUMBER(P382),MAX('Adjustment factors'!$S$16,(0.2+0.8*P382)),IF(ISTEXT(N382),VLOOKUP(N382,Afactors,2,FALSE),""))</f>
        <v/>
      </c>
      <c r="CO382" s="616" t="str">
        <f>IF(ISNUMBER(S382),MAX('Adjustment factors'!$S$16,0.2+0.8*S382),IF(ISTEXT(Q382),VLOOKUP(Q382,Afactors,2,FALSE),""))</f>
        <v/>
      </c>
      <c r="CP382" s="611" t="str">
        <f t="shared" si="488"/>
        <v/>
      </c>
      <c r="CQ382" s="612" t="str">
        <f t="shared" si="489"/>
        <v/>
      </c>
      <c r="CR382" s="340"/>
      <c r="CS382" s="340"/>
      <c r="CT382" s="340"/>
      <c r="CU382" s="340"/>
      <c r="CV382" s="333"/>
      <c r="CW382" s="333"/>
      <c r="CX382" s="333"/>
      <c r="CY382" s="333"/>
      <c r="DA382" s="313" t="str">
        <f t="shared" si="471"/>
        <v>OK</v>
      </c>
      <c r="DB382" s="313" t="str">
        <f t="shared" si="472"/>
        <v>OK</v>
      </c>
      <c r="DC382" s="313" t="str">
        <f t="shared" si="473"/>
        <v>OK</v>
      </c>
      <c r="DD382" s="313" t="str">
        <f t="shared" si="474"/>
        <v>OK</v>
      </c>
      <c r="DE382" s="153" t="str">
        <f t="shared" si="475"/>
        <v>OK</v>
      </c>
      <c r="DF382" s="314" t="str">
        <f t="shared" si="476"/>
        <v>OK</v>
      </c>
      <c r="DG382" s="482" t="str">
        <f t="shared" si="490"/>
        <v>OK</v>
      </c>
      <c r="DH382" s="482" t="str">
        <f>IF(OR(AND(T382='Adjustment factors'!$R$28,'Class 3, 5-9'!U382='Adjustment factors'!$R$29),AND('Class 3, 5-9'!T382='Adjustment factors'!$R$29,'Class 3, 5-9'!U382='Adjustment factors'!$R$28)),"Invalid combination of adjustment factors",IF(AND(T382=U382,NOT(ISBLANK(T382)),NOT(ISBLANK(U382))),"Same colour factor selected twice","OK"))</f>
        <v>OK</v>
      </c>
      <c r="DI382" s="313" t="str">
        <f t="shared" si="477"/>
        <v>OK</v>
      </c>
      <c r="DJ382" s="153" t="str">
        <f t="shared" si="425"/>
        <v>OK</v>
      </c>
      <c r="DK382" s="153" t="str">
        <f t="shared" si="478"/>
        <v>OK</v>
      </c>
      <c r="DL382" s="313" t="str">
        <f t="shared" si="479"/>
        <v>OK</v>
      </c>
      <c r="DM382" s="153" t="str">
        <f t="shared" si="480"/>
        <v>OK</v>
      </c>
      <c r="DN382" s="153" t="str">
        <f t="shared" si="426"/>
        <v>OK</v>
      </c>
      <c r="DO382" s="154" t="str">
        <f t="shared" si="427"/>
        <v>OK</v>
      </c>
      <c r="DP382" s="153" t="str">
        <f t="shared" si="481"/>
        <v>OK</v>
      </c>
      <c r="DQ382" s="313" t="str">
        <f t="shared" si="482"/>
        <v>OK</v>
      </c>
      <c r="DR382" s="153" t="str">
        <f t="shared" si="428"/>
        <v>OK</v>
      </c>
      <c r="DS382" s="153" t="str">
        <f t="shared" si="483"/>
        <v>OK</v>
      </c>
      <c r="DT382" s="313" t="str">
        <f t="shared" si="491"/>
        <v>OK</v>
      </c>
      <c r="DU382" s="153" t="str">
        <f t="shared" si="484"/>
        <v>OK</v>
      </c>
      <c r="DV382" s="153" t="str">
        <f t="shared" si="429"/>
        <v>OK</v>
      </c>
      <c r="DW382" s="154" t="str">
        <f t="shared" si="430"/>
        <v>OK</v>
      </c>
      <c r="DX382" s="157">
        <f t="shared" si="431"/>
        <v>0</v>
      </c>
      <c r="DY382" s="156" t="str">
        <f t="shared" si="432"/>
        <v>OK</v>
      </c>
    </row>
    <row r="383" spans="1:129" ht="13" hidden="1" x14ac:dyDescent="0.3">
      <c r="A383" s="333"/>
      <c r="B383" s="333"/>
      <c r="C383" s="332" t="str">
        <f t="shared" si="440"/>
        <v>-</v>
      </c>
      <c r="D383" s="584">
        <f t="shared" si="412"/>
        <v>360</v>
      </c>
      <c r="E383" s="585"/>
      <c r="F383" s="586"/>
      <c r="G383" s="600"/>
      <c r="H383" s="587"/>
      <c r="I383" s="601"/>
      <c r="J383" s="585"/>
      <c r="K383" s="617"/>
      <c r="L383" s="602"/>
      <c r="M383" s="603"/>
      <c r="N383" s="588"/>
      <c r="O383" s="604"/>
      <c r="P383" s="605"/>
      <c r="Q383" s="588"/>
      <c r="R383" s="604"/>
      <c r="S383" s="605"/>
      <c r="T383" s="606"/>
      <c r="U383" s="606"/>
      <c r="V383" s="429" t="str">
        <f t="shared" si="437"/>
        <v/>
      </c>
      <c r="W383" s="430" t="str">
        <f t="shared" si="436"/>
        <v/>
      </c>
      <c r="X383" s="66" t="str">
        <f>IF(AND(ISNUMBER(P383),N383=FixedDim),MAX('Adjustment factors'!$S$16,0.2+0.8*P383),IF(ISTEXT(N383),VLOOKUP(N383,Afactors,2,TRUE),""))</f>
        <v/>
      </c>
      <c r="Y383" s="17" t="str">
        <f>IF(AND(ISNUMBER(S383),Q383=FixedDim),MAX('Adjustment factors'!$S$16,0.2+0.8*S383),IF(ISTEXT(Q383),VLOOKUP(Q383,Afactors,2,TRUE),""))</f>
        <v/>
      </c>
      <c r="Z383" s="297" t="str">
        <f>IF(ISBLANK(T383),"",VLOOKUP(T383,'Adjustment factors'!$R$27:$S$30,2,TRUE))</f>
        <v/>
      </c>
      <c r="AA383" s="297" t="str">
        <f>IF(ISBLANK(U383),"",VLOOKUP(U383,'Adjustment factors'!$R$27:$S$30,2,TRUE))</f>
        <v/>
      </c>
      <c r="AB383" s="480">
        <f t="shared" si="485"/>
        <v>1</v>
      </c>
      <c r="AC383" s="18" t="b">
        <f t="shared" si="442"/>
        <v>0</v>
      </c>
      <c r="AD383" s="18" t="b">
        <f t="shared" si="443"/>
        <v>0</v>
      </c>
      <c r="AE383" s="18" t="b">
        <f t="shared" si="433"/>
        <v>0</v>
      </c>
      <c r="AF383" s="17" t="str">
        <f t="shared" si="444"/>
        <v/>
      </c>
      <c r="AG383" s="18" t="str">
        <f t="shared" si="445"/>
        <v/>
      </c>
      <c r="AH383" s="17" t="str">
        <f t="shared" si="434"/>
        <v/>
      </c>
      <c r="AI383" s="297" t="e">
        <f t="shared" si="486"/>
        <v>#VALUE!</v>
      </c>
      <c r="AJ383" s="79" t="e">
        <f t="shared" si="446"/>
        <v>#VALUE!</v>
      </c>
      <c r="AK383" s="17" t="str">
        <f t="shared" si="435"/>
        <v/>
      </c>
      <c r="AL383" s="80" t="e">
        <f t="shared" si="447"/>
        <v>#VALUE!</v>
      </c>
      <c r="AM383" s="139" t="b">
        <f t="shared" si="448"/>
        <v>1</v>
      </c>
      <c r="AN383" s="139" t="b">
        <f>AND(COUNTA(E383)&gt;0,ISNUMBER(F383),OR(COUNT(G383:H383)=0,COUNT(G383:H383)=2,AND(ISNUMBER(G383),ISNUMBER(VALUE(LEFT(H383,SUM(LEN(H383)-LEN(SUBSTITUTE(H383,{"0","1","2","3","4","5","6","7","8","9","."},"")))))))),ISNUMBER(I383),ISTEXT(J383))</f>
        <v>0</v>
      </c>
      <c r="AO383" s="19" t="b">
        <f t="shared" si="449"/>
        <v>0</v>
      </c>
      <c r="AP383" s="19" t="b">
        <f t="shared" si="450"/>
        <v>1</v>
      </c>
      <c r="AQ383" s="19" t="b">
        <f>IF(AND(COUNTBLANK(E383:J383)=6,OR(AN384:AN$523)),NOT(AN383))</f>
        <v>0</v>
      </c>
      <c r="AR383" s="19" t="str">
        <f t="shared" si="451"/>
        <v/>
      </c>
      <c r="AS383" s="19" t="b">
        <f t="shared" si="452"/>
        <v>1</v>
      </c>
      <c r="AT383" s="19" t="str">
        <f t="shared" si="453"/>
        <v/>
      </c>
      <c r="AU383" s="19" t="b">
        <f t="shared" si="454"/>
        <v>1</v>
      </c>
      <c r="AV383" s="140" t="str">
        <f t="shared" si="417"/>
        <v/>
      </c>
      <c r="AW383" s="19" t="str">
        <f t="shared" si="455"/>
        <v/>
      </c>
      <c r="AX383" s="81">
        <f t="shared" si="456"/>
        <v>0</v>
      </c>
      <c r="AY383" s="81" t="str">
        <f t="shared" si="457"/>
        <v/>
      </c>
      <c r="AZ383" s="307" t="str">
        <f t="shared" si="487"/>
        <v/>
      </c>
      <c r="BA383" s="281" t="str">
        <f t="shared" si="418"/>
        <v/>
      </c>
      <c r="BB383" s="281" t="str">
        <f t="shared" si="419"/>
        <v/>
      </c>
      <c r="BC383" s="953"/>
      <c r="BD383" s="955"/>
      <c r="BE383" s="219" t="str">
        <f t="shared" si="458"/>
        <v>n/a</v>
      </c>
      <c r="BF383" s="215" t="b">
        <f t="shared" si="459"/>
        <v>0</v>
      </c>
      <c r="BG383" s="145" t="b">
        <f t="shared" si="460"/>
        <v>0</v>
      </c>
      <c r="BH383" s="145" t="b">
        <f t="shared" si="461"/>
        <v>0</v>
      </c>
      <c r="BI383" s="216" t="b">
        <f t="shared" si="462"/>
        <v>0</v>
      </c>
      <c r="BJ383" s="215" t="b">
        <f t="shared" si="463"/>
        <v>0</v>
      </c>
      <c r="BK383" s="145" t="b">
        <f t="shared" si="464"/>
        <v>0</v>
      </c>
      <c r="BL383" s="216" t="b">
        <f t="shared" si="465"/>
        <v>0</v>
      </c>
      <c r="BM383" s="217" t="str">
        <f t="shared" si="420"/>
        <v/>
      </c>
      <c r="BN383" s="146" t="str">
        <f t="shared" si="421"/>
        <v/>
      </c>
      <c r="BO383" s="147" t="str">
        <f t="shared" si="422"/>
        <v/>
      </c>
      <c r="BP383" s="148" t="str">
        <f t="shared" si="423"/>
        <v/>
      </c>
      <c r="BT383" s="50">
        <f t="shared" si="413"/>
        <v>360</v>
      </c>
      <c r="BU383" s="50" t="str">
        <f t="shared" si="439"/>
        <v>-</v>
      </c>
      <c r="BW383" s="340"/>
      <c r="BX383" s="333"/>
      <c r="BY383" s="333"/>
      <c r="BZ383" s="333"/>
      <c r="CA383" s="333"/>
      <c r="CB383" s="333"/>
      <c r="CC383" s="333"/>
      <c r="CD383" s="333"/>
      <c r="CE383" s="333"/>
      <c r="CF383" s="333"/>
      <c r="CG383" s="354">
        <f t="shared" si="466"/>
        <v>360</v>
      </c>
      <c r="CH383" s="613">
        <f t="shared" si="467"/>
        <v>0</v>
      </c>
      <c r="CI383" s="613">
        <f t="shared" si="468"/>
        <v>0</v>
      </c>
      <c r="CJ383" s="614" t="str">
        <f t="shared" si="469"/>
        <v/>
      </c>
      <c r="CK383" s="615" t="str">
        <f t="shared" si="470"/>
        <v/>
      </c>
      <c r="CL383" s="610" t="str">
        <f>IF(ISBLANK(H383),"",IF(AND(ISNUMBER(F383),ISNUMBER(G383),ISNUMBER(H383)),ROUND(F383/(H383*G383),2),ROUND(F383/(VALUE(LEFT(H383,SUM(LEN(H383)-LEN(SUBSTITUTE(H383,{"0","1","2","3","4","5","6","7","8","9","."},"")))))*G383),2)))</f>
        <v/>
      </c>
      <c r="CM383" s="616" t="str">
        <f t="shared" si="424"/>
        <v/>
      </c>
      <c r="CN383" s="616" t="str">
        <f>IF(ISNUMBER(P383),MAX('Adjustment factors'!$S$16,(0.2+0.8*P383)),IF(ISTEXT(N383),VLOOKUP(N383,Afactors,2,FALSE),""))</f>
        <v/>
      </c>
      <c r="CO383" s="616" t="str">
        <f>IF(ISNUMBER(S383),MAX('Adjustment factors'!$S$16,0.2+0.8*S383),IF(ISTEXT(Q383),VLOOKUP(Q383,Afactors,2,FALSE),""))</f>
        <v/>
      </c>
      <c r="CP383" s="611" t="str">
        <f t="shared" si="488"/>
        <v/>
      </c>
      <c r="CQ383" s="612" t="str">
        <f t="shared" si="489"/>
        <v/>
      </c>
      <c r="CR383" s="340"/>
      <c r="CS383" s="340"/>
      <c r="CT383" s="340"/>
      <c r="CU383" s="340"/>
      <c r="CV383" s="333"/>
      <c r="CW383" s="333"/>
      <c r="CX383" s="333"/>
      <c r="CY383" s="333"/>
      <c r="DA383" s="313" t="str">
        <f t="shared" si="471"/>
        <v>OK</v>
      </c>
      <c r="DB383" s="313" t="str">
        <f t="shared" si="472"/>
        <v>OK</v>
      </c>
      <c r="DC383" s="313" t="str">
        <f t="shared" si="473"/>
        <v>OK</v>
      </c>
      <c r="DD383" s="313" t="str">
        <f t="shared" si="474"/>
        <v>OK</v>
      </c>
      <c r="DE383" s="153" t="str">
        <f t="shared" si="475"/>
        <v>OK</v>
      </c>
      <c r="DF383" s="314" t="str">
        <f t="shared" si="476"/>
        <v>OK</v>
      </c>
      <c r="DG383" s="482" t="str">
        <f t="shared" si="490"/>
        <v>OK</v>
      </c>
      <c r="DH383" s="482" t="str">
        <f>IF(OR(AND(T383='Adjustment factors'!$R$28,'Class 3, 5-9'!U383='Adjustment factors'!$R$29),AND('Class 3, 5-9'!T383='Adjustment factors'!$R$29,'Class 3, 5-9'!U383='Adjustment factors'!$R$28)),"Invalid combination of adjustment factors",IF(AND(T383=U383,NOT(ISBLANK(T383)),NOT(ISBLANK(U383))),"Same colour factor selected twice","OK"))</f>
        <v>OK</v>
      </c>
      <c r="DI383" s="313" t="str">
        <f t="shared" si="477"/>
        <v>OK</v>
      </c>
      <c r="DJ383" s="153" t="str">
        <f t="shared" si="425"/>
        <v>OK</v>
      </c>
      <c r="DK383" s="153" t="str">
        <f t="shared" si="478"/>
        <v>OK</v>
      </c>
      <c r="DL383" s="313" t="str">
        <f t="shared" si="479"/>
        <v>OK</v>
      </c>
      <c r="DM383" s="153" t="str">
        <f t="shared" si="480"/>
        <v>OK</v>
      </c>
      <c r="DN383" s="153" t="str">
        <f t="shared" si="426"/>
        <v>OK</v>
      </c>
      <c r="DO383" s="154" t="str">
        <f t="shared" si="427"/>
        <v>OK</v>
      </c>
      <c r="DP383" s="153" t="str">
        <f t="shared" si="481"/>
        <v>OK</v>
      </c>
      <c r="DQ383" s="313" t="str">
        <f t="shared" si="482"/>
        <v>OK</v>
      </c>
      <c r="DR383" s="153" t="str">
        <f t="shared" si="428"/>
        <v>OK</v>
      </c>
      <c r="DS383" s="153" t="str">
        <f t="shared" si="483"/>
        <v>OK</v>
      </c>
      <c r="DT383" s="313" t="str">
        <f t="shared" si="491"/>
        <v>OK</v>
      </c>
      <c r="DU383" s="153" t="str">
        <f t="shared" si="484"/>
        <v>OK</v>
      </c>
      <c r="DV383" s="153" t="str">
        <f t="shared" si="429"/>
        <v>OK</v>
      </c>
      <c r="DW383" s="154" t="str">
        <f t="shared" si="430"/>
        <v>OK</v>
      </c>
      <c r="DX383" s="157">
        <f t="shared" si="431"/>
        <v>0</v>
      </c>
      <c r="DY383" s="156" t="str">
        <f t="shared" si="432"/>
        <v>OK</v>
      </c>
    </row>
    <row r="384" spans="1:129" ht="13" hidden="1" x14ac:dyDescent="0.3">
      <c r="A384" s="333"/>
      <c r="B384" s="333"/>
      <c r="C384" s="332" t="str">
        <f t="shared" si="440"/>
        <v>-</v>
      </c>
      <c r="D384" s="584">
        <f t="shared" si="412"/>
        <v>361</v>
      </c>
      <c r="E384" s="585"/>
      <c r="F384" s="586"/>
      <c r="G384" s="600"/>
      <c r="H384" s="587"/>
      <c r="I384" s="601"/>
      <c r="J384" s="585"/>
      <c r="K384" s="617"/>
      <c r="L384" s="602"/>
      <c r="M384" s="603"/>
      <c r="N384" s="588"/>
      <c r="O384" s="604"/>
      <c r="P384" s="605"/>
      <c r="Q384" s="588"/>
      <c r="R384" s="604"/>
      <c r="S384" s="605"/>
      <c r="T384" s="606"/>
      <c r="U384" s="606"/>
      <c r="V384" s="429" t="str">
        <f t="shared" si="437"/>
        <v/>
      </c>
      <c r="W384" s="430" t="str">
        <f t="shared" si="436"/>
        <v/>
      </c>
      <c r="X384" s="66" t="str">
        <f>IF(AND(ISNUMBER(P384),N384=FixedDim),MAX('Adjustment factors'!$S$16,0.2+0.8*P384),IF(ISTEXT(N384),VLOOKUP(N384,Afactors,2,TRUE),""))</f>
        <v/>
      </c>
      <c r="Y384" s="17" t="str">
        <f>IF(AND(ISNUMBER(S384),Q384=FixedDim),MAX('Adjustment factors'!$S$16,0.2+0.8*S384),IF(ISTEXT(Q384),VLOOKUP(Q384,Afactors,2,TRUE),""))</f>
        <v/>
      </c>
      <c r="Z384" s="297" t="str">
        <f>IF(ISBLANK(T384),"",VLOOKUP(T384,'Adjustment factors'!$R$27:$S$30,2,TRUE))</f>
        <v/>
      </c>
      <c r="AA384" s="297" t="str">
        <f>IF(ISBLANK(U384),"",VLOOKUP(U384,'Adjustment factors'!$R$27:$S$30,2,TRUE))</f>
        <v/>
      </c>
      <c r="AB384" s="480">
        <f t="shared" si="485"/>
        <v>1</v>
      </c>
      <c r="AC384" s="18" t="b">
        <f t="shared" si="442"/>
        <v>0</v>
      </c>
      <c r="AD384" s="18" t="b">
        <f t="shared" si="443"/>
        <v>0</v>
      </c>
      <c r="AE384" s="18" t="b">
        <f t="shared" si="433"/>
        <v>0</v>
      </c>
      <c r="AF384" s="17" t="str">
        <f t="shared" si="444"/>
        <v/>
      </c>
      <c r="AG384" s="18" t="str">
        <f t="shared" si="445"/>
        <v/>
      </c>
      <c r="AH384" s="17" t="str">
        <f t="shared" si="434"/>
        <v/>
      </c>
      <c r="AI384" s="297" t="e">
        <f t="shared" si="486"/>
        <v>#VALUE!</v>
      </c>
      <c r="AJ384" s="79" t="e">
        <f t="shared" si="446"/>
        <v>#VALUE!</v>
      </c>
      <c r="AK384" s="17" t="str">
        <f t="shared" si="435"/>
        <v/>
      </c>
      <c r="AL384" s="80" t="e">
        <f t="shared" si="447"/>
        <v>#VALUE!</v>
      </c>
      <c r="AM384" s="139" t="b">
        <f t="shared" si="448"/>
        <v>1</v>
      </c>
      <c r="AN384" s="139" t="b">
        <f>AND(COUNTA(E384)&gt;0,ISNUMBER(F384),OR(COUNT(G384:H384)=0,COUNT(G384:H384)=2,AND(ISNUMBER(G384),ISNUMBER(VALUE(LEFT(H384,SUM(LEN(H384)-LEN(SUBSTITUTE(H384,{"0","1","2","3","4","5","6","7","8","9","."},"")))))))),ISNUMBER(I384),ISTEXT(J384))</f>
        <v>0</v>
      </c>
      <c r="AO384" s="19" t="b">
        <f t="shared" si="449"/>
        <v>0</v>
      </c>
      <c r="AP384" s="19" t="b">
        <f t="shared" si="450"/>
        <v>1</v>
      </c>
      <c r="AQ384" s="19" t="b">
        <f>IF(AND(COUNTBLANK(E384:J384)=6,OR(AN385:AN$523)),NOT(AN384))</f>
        <v>0</v>
      </c>
      <c r="AR384" s="19" t="str">
        <f t="shared" si="451"/>
        <v/>
      </c>
      <c r="AS384" s="19" t="b">
        <f t="shared" si="452"/>
        <v>1</v>
      </c>
      <c r="AT384" s="19" t="str">
        <f t="shared" si="453"/>
        <v/>
      </c>
      <c r="AU384" s="19" t="b">
        <f t="shared" si="454"/>
        <v>1</v>
      </c>
      <c r="AV384" s="140" t="str">
        <f t="shared" si="417"/>
        <v/>
      </c>
      <c r="AW384" s="19" t="str">
        <f t="shared" si="455"/>
        <v/>
      </c>
      <c r="AX384" s="81">
        <f t="shared" si="456"/>
        <v>0</v>
      </c>
      <c r="AY384" s="81" t="str">
        <f t="shared" si="457"/>
        <v/>
      </c>
      <c r="AZ384" s="307" t="str">
        <f t="shared" si="487"/>
        <v/>
      </c>
      <c r="BA384" s="281" t="str">
        <f t="shared" si="418"/>
        <v/>
      </c>
      <c r="BB384" s="281" t="str">
        <f t="shared" si="419"/>
        <v/>
      </c>
      <c r="BC384" s="953"/>
      <c r="BD384" s="955"/>
      <c r="BE384" s="219" t="str">
        <f t="shared" si="458"/>
        <v>n/a</v>
      </c>
      <c r="BF384" s="215" t="b">
        <f t="shared" si="459"/>
        <v>0</v>
      </c>
      <c r="BG384" s="145" t="b">
        <f t="shared" si="460"/>
        <v>0</v>
      </c>
      <c r="BH384" s="145" t="b">
        <f t="shared" si="461"/>
        <v>0</v>
      </c>
      <c r="BI384" s="216" t="b">
        <f t="shared" si="462"/>
        <v>0</v>
      </c>
      <c r="BJ384" s="215" t="b">
        <f t="shared" si="463"/>
        <v>0</v>
      </c>
      <c r="BK384" s="145" t="b">
        <f t="shared" si="464"/>
        <v>0</v>
      </c>
      <c r="BL384" s="216" t="b">
        <f t="shared" si="465"/>
        <v>0</v>
      </c>
      <c r="BM384" s="217" t="str">
        <f t="shared" si="420"/>
        <v/>
      </c>
      <c r="BN384" s="146" t="str">
        <f t="shared" si="421"/>
        <v/>
      </c>
      <c r="BO384" s="147" t="str">
        <f t="shared" si="422"/>
        <v/>
      </c>
      <c r="BP384" s="148" t="str">
        <f t="shared" si="423"/>
        <v/>
      </c>
      <c r="BT384" s="50">
        <f t="shared" si="413"/>
        <v>361</v>
      </c>
      <c r="BU384" s="50" t="str">
        <f t="shared" si="439"/>
        <v>-</v>
      </c>
      <c r="BW384" s="340"/>
      <c r="BX384" s="333"/>
      <c r="BY384" s="333"/>
      <c r="BZ384" s="333"/>
      <c r="CA384" s="333"/>
      <c r="CB384" s="333"/>
      <c r="CC384" s="333"/>
      <c r="CD384" s="333"/>
      <c r="CE384" s="333"/>
      <c r="CF384" s="333"/>
      <c r="CG384" s="354">
        <f t="shared" si="466"/>
        <v>361</v>
      </c>
      <c r="CH384" s="613">
        <f t="shared" si="467"/>
        <v>0</v>
      </c>
      <c r="CI384" s="613">
        <f t="shared" si="468"/>
        <v>0</v>
      </c>
      <c r="CJ384" s="614" t="str">
        <f t="shared" si="469"/>
        <v/>
      </c>
      <c r="CK384" s="615" t="str">
        <f t="shared" si="470"/>
        <v/>
      </c>
      <c r="CL384" s="610" t="str">
        <f>IF(ISBLANK(H384),"",IF(AND(ISNUMBER(F384),ISNUMBER(G384),ISNUMBER(H384)),ROUND(F384/(H384*G384),2),ROUND(F384/(VALUE(LEFT(H384,SUM(LEN(H384)-LEN(SUBSTITUTE(H384,{"0","1","2","3","4","5","6","7","8","9","."},"")))))*G384),2)))</f>
        <v/>
      </c>
      <c r="CM384" s="616" t="str">
        <f t="shared" si="424"/>
        <v/>
      </c>
      <c r="CN384" s="616" t="str">
        <f>IF(ISNUMBER(P384),MAX('Adjustment factors'!$S$16,(0.2+0.8*P384)),IF(ISTEXT(N384),VLOOKUP(N384,Afactors,2,FALSE),""))</f>
        <v/>
      </c>
      <c r="CO384" s="616" t="str">
        <f>IF(ISNUMBER(S384),MAX('Adjustment factors'!$S$16,0.2+0.8*S384),IF(ISTEXT(Q384),VLOOKUP(Q384,Afactors,2,FALSE),""))</f>
        <v/>
      </c>
      <c r="CP384" s="611" t="str">
        <f t="shared" si="488"/>
        <v/>
      </c>
      <c r="CQ384" s="612" t="str">
        <f t="shared" si="489"/>
        <v/>
      </c>
      <c r="CR384" s="340"/>
      <c r="CS384" s="340"/>
      <c r="CT384" s="340"/>
      <c r="CU384" s="340"/>
      <c r="CV384" s="333"/>
      <c r="CW384" s="333"/>
      <c r="CX384" s="333"/>
      <c r="CY384" s="333"/>
      <c r="DA384" s="313" t="str">
        <f t="shared" si="471"/>
        <v>OK</v>
      </c>
      <c r="DB384" s="313" t="str">
        <f t="shared" si="472"/>
        <v>OK</v>
      </c>
      <c r="DC384" s="313" t="str">
        <f t="shared" si="473"/>
        <v>OK</v>
      </c>
      <c r="DD384" s="313" t="str">
        <f t="shared" si="474"/>
        <v>OK</v>
      </c>
      <c r="DE384" s="153" t="str">
        <f t="shared" si="475"/>
        <v>OK</v>
      </c>
      <c r="DF384" s="314" t="str">
        <f t="shared" si="476"/>
        <v>OK</v>
      </c>
      <c r="DG384" s="482" t="str">
        <f t="shared" si="490"/>
        <v>OK</v>
      </c>
      <c r="DH384" s="482" t="str">
        <f>IF(OR(AND(T384='Adjustment factors'!$R$28,'Class 3, 5-9'!U384='Adjustment factors'!$R$29),AND('Class 3, 5-9'!T384='Adjustment factors'!$R$29,'Class 3, 5-9'!U384='Adjustment factors'!$R$28)),"Invalid combination of adjustment factors",IF(AND(T384=U384,NOT(ISBLANK(T384)),NOT(ISBLANK(U384))),"Same colour factor selected twice","OK"))</f>
        <v>OK</v>
      </c>
      <c r="DI384" s="313" t="str">
        <f t="shared" si="477"/>
        <v>OK</v>
      </c>
      <c r="DJ384" s="153" t="str">
        <f t="shared" si="425"/>
        <v>OK</v>
      </c>
      <c r="DK384" s="153" t="str">
        <f t="shared" si="478"/>
        <v>OK</v>
      </c>
      <c r="DL384" s="313" t="str">
        <f t="shared" si="479"/>
        <v>OK</v>
      </c>
      <c r="DM384" s="153" t="str">
        <f t="shared" si="480"/>
        <v>OK</v>
      </c>
      <c r="DN384" s="153" t="str">
        <f t="shared" si="426"/>
        <v>OK</v>
      </c>
      <c r="DO384" s="154" t="str">
        <f t="shared" si="427"/>
        <v>OK</v>
      </c>
      <c r="DP384" s="153" t="str">
        <f t="shared" si="481"/>
        <v>OK</v>
      </c>
      <c r="DQ384" s="313" t="str">
        <f t="shared" si="482"/>
        <v>OK</v>
      </c>
      <c r="DR384" s="153" t="str">
        <f t="shared" si="428"/>
        <v>OK</v>
      </c>
      <c r="DS384" s="153" t="str">
        <f t="shared" si="483"/>
        <v>OK</v>
      </c>
      <c r="DT384" s="313" t="str">
        <f t="shared" si="491"/>
        <v>OK</v>
      </c>
      <c r="DU384" s="153" t="str">
        <f t="shared" si="484"/>
        <v>OK</v>
      </c>
      <c r="DV384" s="153" t="str">
        <f t="shared" si="429"/>
        <v>OK</v>
      </c>
      <c r="DW384" s="154" t="str">
        <f t="shared" si="430"/>
        <v>OK</v>
      </c>
      <c r="DX384" s="157">
        <f t="shared" si="431"/>
        <v>0</v>
      </c>
      <c r="DY384" s="156" t="str">
        <f t="shared" si="432"/>
        <v>OK</v>
      </c>
    </row>
    <row r="385" spans="1:129" ht="13" hidden="1" x14ac:dyDescent="0.3">
      <c r="A385" s="333"/>
      <c r="B385" s="333"/>
      <c r="C385" s="332" t="str">
        <f t="shared" si="440"/>
        <v>-</v>
      </c>
      <c r="D385" s="584">
        <f t="shared" ref="D385:D448" si="492">D384+1</f>
        <v>362</v>
      </c>
      <c r="E385" s="585"/>
      <c r="F385" s="586"/>
      <c r="G385" s="600"/>
      <c r="H385" s="587"/>
      <c r="I385" s="601"/>
      <c r="J385" s="585"/>
      <c r="K385" s="617"/>
      <c r="L385" s="602"/>
      <c r="M385" s="603"/>
      <c r="N385" s="588"/>
      <c r="O385" s="604"/>
      <c r="P385" s="605"/>
      <c r="Q385" s="588"/>
      <c r="R385" s="604"/>
      <c r="S385" s="605"/>
      <c r="T385" s="606"/>
      <c r="U385" s="606"/>
      <c r="V385" s="429" t="str">
        <f t="shared" si="437"/>
        <v/>
      </c>
      <c r="W385" s="430" t="str">
        <f t="shared" si="436"/>
        <v/>
      </c>
      <c r="X385" s="66" t="str">
        <f>IF(AND(ISNUMBER(P385),N385=FixedDim),MAX('Adjustment factors'!$S$16,0.2+0.8*P385),IF(ISTEXT(N385),VLOOKUP(N385,Afactors,2,TRUE),""))</f>
        <v/>
      </c>
      <c r="Y385" s="17" t="str">
        <f>IF(AND(ISNUMBER(S385),Q385=FixedDim),MAX('Adjustment factors'!$S$16,0.2+0.8*S385),IF(ISTEXT(Q385),VLOOKUP(Q385,Afactors,2,TRUE),""))</f>
        <v/>
      </c>
      <c r="Z385" s="297" t="str">
        <f>IF(ISBLANK(T385),"",VLOOKUP(T385,'Adjustment factors'!$R$27:$S$30,2,TRUE))</f>
        <v/>
      </c>
      <c r="AA385" s="297" t="str">
        <f>IF(ISBLANK(U385),"",VLOOKUP(U385,'Adjustment factors'!$R$27:$S$30,2,TRUE))</f>
        <v/>
      </c>
      <c r="AB385" s="480">
        <f t="shared" si="485"/>
        <v>1</v>
      </c>
      <c r="AC385" s="18" t="b">
        <f t="shared" si="442"/>
        <v>0</v>
      </c>
      <c r="AD385" s="18" t="b">
        <f t="shared" si="443"/>
        <v>0</v>
      </c>
      <c r="AE385" s="18" t="b">
        <f t="shared" si="433"/>
        <v>0</v>
      </c>
      <c r="AF385" s="17" t="str">
        <f t="shared" si="444"/>
        <v/>
      </c>
      <c r="AG385" s="18" t="str">
        <f t="shared" si="445"/>
        <v/>
      </c>
      <c r="AH385" s="17" t="str">
        <f t="shared" si="434"/>
        <v/>
      </c>
      <c r="AI385" s="297" t="e">
        <f t="shared" si="486"/>
        <v>#VALUE!</v>
      </c>
      <c r="AJ385" s="79" t="e">
        <f t="shared" si="446"/>
        <v>#VALUE!</v>
      </c>
      <c r="AK385" s="17" t="str">
        <f t="shared" si="435"/>
        <v/>
      </c>
      <c r="AL385" s="80" t="e">
        <f t="shared" si="447"/>
        <v>#VALUE!</v>
      </c>
      <c r="AM385" s="139" t="b">
        <f t="shared" si="448"/>
        <v>1</v>
      </c>
      <c r="AN385" s="139" t="b">
        <f>AND(COUNTA(E385)&gt;0,ISNUMBER(F385),OR(COUNT(G385:H385)=0,COUNT(G385:H385)=2,AND(ISNUMBER(G385),ISNUMBER(VALUE(LEFT(H385,SUM(LEN(H385)-LEN(SUBSTITUTE(H385,{"0","1","2","3","4","5","6","7","8","9","."},"")))))))),ISNUMBER(I385),ISTEXT(J385))</f>
        <v>0</v>
      </c>
      <c r="AO385" s="19" t="b">
        <f t="shared" si="449"/>
        <v>0</v>
      </c>
      <c r="AP385" s="19" t="b">
        <f t="shared" si="450"/>
        <v>1</v>
      </c>
      <c r="AQ385" s="19" t="b">
        <f>IF(AND(COUNTBLANK(E385:J385)=6,OR(AN386:AN$523)),NOT(AN385))</f>
        <v>0</v>
      </c>
      <c r="AR385" s="19" t="str">
        <f t="shared" si="451"/>
        <v/>
      </c>
      <c r="AS385" s="19" t="b">
        <f t="shared" si="452"/>
        <v>1</v>
      </c>
      <c r="AT385" s="19" t="str">
        <f t="shared" si="453"/>
        <v/>
      </c>
      <c r="AU385" s="19" t="b">
        <f t="shared" si="454"/>
        <v>1</v>
      </c>
      <c r="AV385" s="140" t="str">
        <f t="shared" si="417"/>
        <v/>
      </c>
      <c r="AW385" s="19" t="str">
        <f t="shared" si="455"/>
        <v/>
      </c>
      <c r="AX385" s="81">
        <f t="shared" si="456"/>
        <v>0</v>
      </c>
      <c r="AY385" s="81" t="str">
        <f t="shared" si="457"/>
        <v/>
      </c>
      <c r="AZ385" s="307" t="str">
        <f t="shared" si="487"/>
        <v/>
      </c>
      <c r="BA385" s="281" t="str">
        <f t="shared" si="418"/>
        <v/>
      </c>
      <c r="BB385" s="281" t="str">
        <f t="shared" si="419"/>
        <v/>
      </c>
      <c r="BC385" s="953"/>
      <c r="BD385" s="955"/>
      <c r="BE385" s="219" t="str">
        <f t="shared" si="458"/>
        <v>n/a</v>
      </c>
      <c r="BF385" s="215" t="b">
        <f t="shared" si="459"/>
        <v>0</v>
      </c>
      <c r="BG385" s="145" t="b">
        <f t="shared" si="460"/>
        <v>0</v>
      </c>
      <c r="BH385" s="145" t="b">
        <f t="shared" si="461"/>
        <v>0</v>
      </c>
      <c r="BI385" s="216" t="b">
        <f t="shared" si="462"/>
        <v>0</v>
      </c>
      <c r="BJ385" s="215" t="b">
        <f t="shared" si="463"/>
        <v>0</v>
      </c>
      <c r="BK385" s="145" t="b">
        <f t="shared" si="464"/>
        <v>0</v>
      </c>
      <c r="BL385" s="216" t="b">
        <f t="shared" si="465"/>
        <v>0</v>
      </c>
      <c r="BM385" s="217" t="str">
        <f t="shared" si="420"/>
        <v/>
      </c>
      <c r="BN385" s="146" t="str">
        <f t="shared" si="421"/>
        <v/>
      </c>
      <c r="BO385" s="147" t="str">
        <f t="shared" si="422"/>
        <v/>
      </c>
      <c r="BP385" s="148" t="str">
        <f t="shared" si="423"/>
        <v/>
      </c>
      <c r="BT385" s="50">
        <f t="shared" ref="BT385:BT448" si="493">BT384+1</f>
        <v>362</v>
      </c>
      <c r="BU385" s="50" t="str">
        <f t="shared" si="439"/>
        <v>-</v>
      </c>
      <c r="BW385" s="340"/>
      <c r="BX385" s="333"/>
      <c r="BY385" s="333"/>
      <c r="BZ385" s="333"/>
      <c r="CA385" s="333"/>
      <c r="CB385" s="333"/>
      <c r="CC385" s="333"/>
      <c r="CD385" s="333"/>
      <c r="CE385" s="333"/>
      <c r="CF385" s="333"/>
      <c r="CG385" s="354">
        <f t="shared" si="466"/>
        <v>362</v>
      </c>
      <c r="CH385" s="613">
        <f t="shared" si="467"/>
        <v>0</v>
      </c>
      <c r="CI385" s="613">
        <f t="shared" si="468"/>
        <v>0</v>
      </c>
      <c r="CJ385" s="614" t="str">
        <f t="shared" si="469"/>
        <v/>
      </c>
      <c r="CK385" s="615" t="str">
        <f t="shared" si="470"/>
        <v/>
      </c>
      <c r="CL385" s="610" t="str">
        <f>IF(ISBLANK(H385),"",IF(AND(ISNUMBER(F385),ISNUMBER(G385),ISNUMBER(H385)),ROUND(F385/(H385*G385),2),ROUND(F385/(VALUE(LEFT(H385,SUM(LEN(H385)-LEN(SUBSTITUTE(H385,{"0","1","2","3","4","5","6","7","8","9","."},"")))))*G385),2)))</f>
        <v/>
      </c>
      <c r="CM385" s="616" t="str">
        <f t="shared" si="424"/>
        <v/>
      </c>
      <c r="CN385" s="616" t="str">
        <f>IF(ISNUMBER(P385),MAX('Adjustment factors'!$S$16,(0.2+0.8*P385)),IF(ISTEXT(N385),VLOOKUP(N385,Afactors,2,FALSE),""))</f>
        <v/>
      </c>
      <c r="CO385" s="616" t="str">
        <f>IF(ISNUMBER(S385),MAX('Adjustment factors'!$S$16,0.2+0.8*S385),IF(ISTEXT(Q385),VLOOKUP(Q385,Afactors,2,FALSE),""))</f>
        <v/>
      </c>
      <c r="CP385" s="611" t="str">
        <f t="shared" si="488"/>
        <v/>
      </c>
      <c r="CQ385" s="612" t="str">
        <f t="shared" si="489"/>
        <v/>
      </c>
      <c r="CR385" s="340"/>
      <c r="CS385" s="340"/>
      <c r="CT385" s="340"/>
      <c r="CU385" s="340"/>
      <c r="CV385" s="333"/>
      <c r="CW385" s="333"/>
      <c r="CX385" s="333"/>
      <c r="CY385" s="333"/>
      <c r="DA385" s="313" t="str">
        <f t="shared" si="471"/>
        <v>OK</v>
      </c>
      <c r="DB385" s="313" t="str">
        <f t="shared" si="472"/>
        <v>OK</v>
      </c>
      <c r="DC385" s="313" t="str">
        <f t="shared" si="473"/>
        <v>OK</v>
      </c>
      <c r="DD385" s="313" t="str">
        <f t="shared" si="474"/>
        <v>OK</v>
      </c>
      <c r="DE385" s="153" t="str">
        <f t="shared" si="475"/>
        <v>OK</v>
      </c>
      <c r="DF385" s="314" t="str">
        <f t="shared" si="476"/>
        <v>OK</v>
      </c>
      <c r="DG385" s="482" t="str">
        <f t="shared" si="490"/>
        <v>OK</v>
      </c>
      <c r="DH385" s="482" t="str">
        <f>IF(OR(AND(T385='Adjustment factors'!$R$28,'Class 3, 5-9'!U385='Adjustment factors'!$R$29),AND('Class 3, 5-9'!T385='Adjustment factors'!$R$29,'Class 3, 5-9'!U385='Adjustment factors'!$R$28)),"Invalid combination of adjustment factors",IF(AND(T385=U385,NOT(ISBLANK(T385)),NOT(ISBLANK(U385))),"Same colour factor selected twice","OK"))</f>
        <v>OK</v>
      </c>
      <c r="DI385" s="313" t="str">
        <f t="shared" si="477"/>
        <v>OK</v>
      </c>
      <c r="DJ385" s="153" t="str">
        <f t="shared" si="425"/>
        <v>OK</v>
      </c>
      <c r="DK385" s="153" t="str">
        <f t="shared" si="478"/>
        <v>OK</v>
      </c>
      <c r="DL385" s="313" t="str">
        <f t="shared" si="479"/>
        <v>OK</v>
      </c>
      <c r="DM385" s="153" t="str">
        <f t="shared" si="480"/>
        <v>OK</v>
      </c>
      <c r="DN385" s="153" t="str">
        <f t="shared" si="426"/>
        <v>OK</v>
      </c>
      <c r="DO385" s="154" t="str">
        <f t="shared" si="427"/>
        <v>OK</v>
      </c>
      <c r="DP385" s="153" t="str">
        <f t="shared" si="481"/>
        <v>OK</v>
      </c>
      <c r="DQ385" s="313" t="str">
        <f t="shared" si="482"/>
        <v>OK</v>
      </c>
      <c r="DR385" s="153" t="str">
        <f t="shared" si="428"/>
        <v>OK</v>
      </c>
      <c r="DS385" s="153" t="str">
        <f t="shared" si="483"/>
        <v>OK</v>
      </c>
      <c r="DT385" s="313" t="str">
        <f t="shared" si="491"/>
        <v>OK</v>
      </c>
      <c r="DU385" s="153" t="str">
        <f t="shared" si="484"/>
        <v>OK</v>
      </c>
      <c r="DV385" s="153" t="str">
        <f t="shared" si="429"/>
        <v>OK</v>
      </c>
      <c r="DW385" s="154" t="str">
        <f t="shared" si="430"/>
        <v>OK</v>
      </c>
      <c r="DX385" s="157">
        <f t="shared" si="431"/>
        <v>0</v>
      </c>
      <c r="DY385" s="156" t="str">
        <f t="shared" si="432"/>
        <v>OK</v>
      </c>
    </row>
    <row r="386" spans="1:129" ht="13" hidden="1" x14ac:dyDescent="0.3">
      <c r="A386" s="333"/>
      <c r="B386" s="333"/>
      <c r="C386" s="332" t="str">
        <f t="shared" si="440"/>
        <v>-</v>
      </c>
      <c r="D386" s="584">
        <f t="shared" si="492"/>
        <v>363</v>
      </c>
      <c r="E386" s="585"/>
      <c r="F386" s="586"/>
      <c r="G386" s="600"/>
      <c r="H386" s="587"/>
      <c r="I386" s="601"/>
      <c r="J386" s="585"/>
      <c r="K386" s="617"/>
      <c r="L386" s="602"/>
      <c r="M386" s="603"/>
      <c r="N386" s="588"/>
      <c r="O386" s="604"/>
      <c r="P386" s="605"/>
      <c r="Q386" s="588"/>
      <c r="R386" s="604"/>
      <c r="S386" s="605"/>
      <c r="T386" s="606"/>
      <c r="U386" s="606"/>
      <c r="V386" s="429" t="str">
        <f t="shared" si="437"/>
        <v/>
      </c>
      <c r="W386" s="430" t="str">
        <f t="shared" si="436"/>
        <v/>
      </c>
      <c r="X386" s="66" t="str">
        <f>IF(AND(ISNUMBER(P386),N386=FixedDim),MAX('Adjustment factors'!$S$16,0.2+0.8*P386),IF(ISTEXT(N386),VLOOKUP(N386,Afactors,2,TRUE),""))</f>
        <v/>
      </c>
      <c r="Y386" s="17" t="str">
        <f>IF(AND(ISNUMBER(S386),Q386=FixedDim),MAX('Adjustment factors'!$S$16,0.2+0.8*S386),IF(ISTEXT(Q386),VLOOKUP(Q386,Afactors,2,TRUE),""))</f>
        <v/>
      </c>
      <c r="Z386" s="297" t="str">
        <f>IF(ISBLANK(T386),"",VLOOKUP(T386,'Adjustment factors'!$R$27:$S$30,2,TRUE))</f>
        <v/>
      </c>
      <c r="AA386" s="297" t="str">
        <f>IF(ISBLANK(U386),"",VLOOKUP(U386,'Adjustment factors'!$R$27:$S$30,2,TRUE))</f>
        <v/>
      </c>
      <c r="AB386" s="480">
        <f t="shared" si="485"/>
        <v>1</v>
      </c>
      <c r="AC386" s="18" t="b">
        <f t="shared" si="442"/>
        <v>0</v>
      </c>
      <c r="AD386" s="18" t="b">
        <f t="shared" si="443"/>
        <v>0</v>
      </c>
      <c r="AE386" s="18" t="b">
        <f t="shared" si="433"/>
        <v>0</v>
      </c>
      <c r="AF386" s="17" t="str">
        <f t="shared" si="444"/>
        <v/>
      </c>
      <c r="AG386" s="18" t="str">
        <f t="shared" si="445"/>
        <v/>
      </c>
      <c r="AH386" s="17" t="str">
        <f t="shared" si="434"/>
        <v/>
      </c>
      <c r="AI386" s="297" t="e">
        <f t="shared" si="486"/>
        <v>#VALUE!</v>
      </c>
      <c r="AJ386" s="79" t="e">
        <f t="shared" si="446"/>
        <v>#VALUE!</v>
      </c>
      <c r="AK386" s="17" t="str">
        <f t="shared" si="435"/>
        <v/>
      </c>
      <c r="AL386" s="80" t="e">
        <f t="shared" si="447"/>
        <v>#VALUE!</v>
      </c>
      <c r="AM386" s="139" t="b">
        <f t="shared" si="448"/>
        <v>1</v>
      </c>
      <c r="AN386" s="139" t="b">
        <f>AND(COUNTA(E386)&gt;0,ISNUMBER(F386),OR(COUNT(G386:H386)=0,COUNT(G386:H386)=2,AND(ISNUMBER(G386),ISNUMBER(VALUE(LEFT(H386,SUM(LEN(H386)-LEN(SUBSTITUTE(H386,{"0","1","2","3","4","5","6","7","8","9","."},"")))))))),ISNUMBER(I386),ISTEXT(J386))</f>
        <v>0</v>
      </c>
      <c r="AO386" s="19" t="b">
        <f t="shared" si="449"/>
        <v>0</v>
      </c>
      <c r="AP386" s="19" t="b">
        <f t="shared" si="450"/>
        <v>1</v>
      </c>
      <c r="AQ386" s="19" t="b">
        <f>IF(AND(COUNTBLANK(E386:J386)=6,OR(AN387:AN$523)),NOT(AN386))</f>
        <v>0</v>
      </c>
      <c r="AR386" s="19" t="str">
        <f t="shared" si="451"/>
        <v/>
      </c>
      <c r="AS386" s="19" t="b">
        <f t="shared" si="452"/>
        <v>1</v>
      </c>
      <c r="AT386" s="19" t="str">
        <f t="shared" si="453"/>
        <v/>
      </c>
      <c r="AU386" s="19" t="b">
        <f t="shared" si="454"/>
        <v>1</v>
      </c>
      <c r="AV386" s="140" t="str">
        <f t="shared" si="417"/>
        <v/>
      </c>
      <c r="AW386" s="19" t="str">
        <f t="shared" si="455"/>
        <v/>
      </c>
      <c r="AX386" s="81">
        <f t="shared" si="456"/>
        <v>0</v>
      </c>
      <c r="AY386" s="81" t="str">
        <f t="shared" si="457"/>
        <v/>
      </c>
      <c r="AZ386" s="307" t="str">
        <f t="shared" si="487"/>
        <v/>
      </c>
      <c r="BA386" s="281" t="str">
        <f t="shared" si="418"/>
        <v/>
      </c>
      <c r="BB386" s="281" t="str">
        <f t="shared" si="419"/>
        <v/>
      </c>
      <c r="BC386" s="953"/>
      <c r="BD386" s="955"/>
      <c r="BE386" s="219" t="str">
        <f t="shared" si="458"/>
        <v>n/a</v>
      </c>
      <c r="BF386" s="215" t="b">
        <f t="shared" si="459"/>
        <v>0</v>
      </c>
      <c r="BG386" s="145" t="b">
        <f t="shared" si="460"/>
        <v>0</v>
      </c>
      <c r="BH386" s="145" t="b">
        <f t="shared" si="461"/>
        <v>0</v>
      </c>
      <c r="BI386" s="216" t="b">
        <f t="shared" si="462"/>
        <v>0</v>
      </c>
      <c r="BJ386" s="215" t="b">
        <f t="shared" si="463"/>
        <v>0</v>
      </c>
      <c r="BK386" s="145" t="b">
        <f t="shared" si="464"/>
        <v>0</v>
      </c>
      <c r="BL386" s="216" t="b">
        <f t="shared" si="465"/>
        <v>0</v>
      </c>
      <c r="BM386" s="217" t="str">
        <f t="shared" si="420"/>
        <v/>
      </c>
      <c r="BN386" s="146" t="str">
        <f t="shared" si="421"/>
        <v/>
      </c>
      <c r="BO386" s="147" t="str">
        <f t="shared" si="422"/>
        <v/>
      </c>
      <c r="BP386" s="148" t="str">
        <f t="shared" si="423"/>
        <v/>
      </c>
      <c r="BT386" s="50">
        <f t="shared" si="493"/>
        <v>363</v>
      </c>
      <c r="BU386" s="50" t="str">
        <f t="shared" si="439"/>
        <v>-</v>
      </c>
      <c r="BW386" s="340"/>
      <c r="BX386" s="333"/>
      <c r="BY386" s="333"/>
      <c r="BZ386" s="333"/>
      <c r="CA386" s="333"/>
      <c r="CB386" s="333"/>
      <c r="CC386" s="333"/>
      <c r="CD386" s="333"/>
      <c r="CE386" s="333"/>
      <c r="CF386" s="333"/>
      <c r="CG386" s="354">
        <f t="shared" si="466"/>
        <v>363</v>
      </c>
      <c r="CH386" s="613">
        <f t="shared" si="467"/>
        <v>0</v>
      </c>
      <c r="CI386" s="613">
        <f t="shared" si="468"/>
        <v>0</v>
      </c>
      <c r="CJ386" s="614" t="str">
        <f t="shared" si="469"/>
        <v/>
      </c>
      <c r="CK386" s="615" t="str">
        <f t="shared" si="470"/>
        <v/>
      </c>
      <c r="CL386" s="610" t="str">
        <f>IF(ISBLANK(H386),"",IF(AND(ISNUMBER(F386),ISNUMBER(G386),ISNUMBER(H386)),ROUND(F386/(H386*G386),2),ROUND(F386/(VALUE(LEFT(H386,SUM(LEN(H386)-LEN(SUBSTITUTE(H386,{"0","1","2","3","4","5","6","7","8","9","."},"")))))*G386),2)))</f>
        <v/>
      </c>
      <c r="CM386" s="616" t="str">
        <f t="shared" si="424"/>
        <v/>
      </c>
      <c r="CN386" s="616" t="str">
        <f>IF(ISNUMBER(P386),MAX('Adjustment factors'!$S$16,(0.2+0.8*P386)),IF(ISTEXT(N386),VLOOKUP(N386,Afactors,2,FALSE),""))</f>
        <v/>
      </c>
      <c r="CO386" s="616" t="str">
        <f>IF(ISNUMBER(S386),MAX('Adjustment factors'!$S$16,0.2+0.8*S386),IF(ISTEXT(Q386),VLOOKUP(Q386,Afactors,2,FALSE),""))</f>
        <v/>
      </c>
      <c r="CP386" s="611" t="str">
        <f t="shared" si="488"/>
        <v/>
      </c>
      <c r="CQ386" s="612" t="str">
        <f t="shared" si="489"/>
        <v/>
      </c>
      <c r="CR386" s="340"/>
      <c r="CS386" s="340"/>
      <c r="CT386" s="340"/>
      <c r="CU386" s="340"/>
      <c r="CV386" s="333"/>
      <c r="CW386" s="333"/>
      <c r="CX386" s="333"/>
      <c r="CY386" s="333"/>
      <c r="DA386" s="313" t="str">
        <f t="shared" si="471"/>
        <v>OK</v>
      </c>
      <c r="DB386" s="313" t="str">
        <f t="shared" si="472"/>
        <v>OK</v>
      </c>
      <c r="DC386" s="313" t="str">
        <f t="shared" si="473"/>
        <v>OK</v>
      </c>
      <c r="DD386" s="313" t="str">
        <f t="shared" si="474"/>
        <v>OK</v>
      </c>
      <c r="DE386" s="153" t="str">
        <f t="shared" si="475"/>
        <v>OK</v>
      </c>
      <c r="DF386" s="314" t="str">
        <f t="shared" si="476"/>
        <v>OK</v>
      </c>
      <c r="DG386" s="482" t="str">
        <f t="shared" si="490"/>
        <v>OK</v>
      </c>
      <c r="DH386" s="482" t="str">
        <f>IF(OR(AND(T386='Adjustment factors'!$R$28,'Class 3, 5-9'!U386='Adjustment factors'!$R$29),AND('Class 3, 5-9'!T386='Adjustment factors'!$R$29,'Class 3, 5-9'!U386='Adjustment factors'!$R$28)),"Invalid combination of adjustment factors",IF(AND(T386=U386,NOT(ISBLANK(T386)),NOT(ISBLANK(U386))),"Same colour factor selected twice","OK"))</f>
        <v>OK</v>
      </c>
      <c r="DI386" s="313" t="str">
        <f t="shared" si="477"/>
        <v>OK</v>
      </c>
      <c r="DJ386" s="153" t="str">
        <f t="shared" si="425"/>
        <v>OK</v>
      </c>
      <c r="DK386" s="153" t="str">
        <f t="shared" si="478"/>
        <v>OK</v>
      </c>
      <c r="DL386" s="313" t="str">
        <f t="shared" si="479"/>
        <v>OK</v>
      </c>
      <c r="DM386" s="153" t="str">
        <f t="shared" si="480"/>
        <v>OK</v>
      </c>
      <c r="DN386" s="153" t="str">
        <f t="shared" si="426"/>
        <v>OK</v>
      </c>
      <c r="DO386" s="154" t="str">
        <f t="shared" si="427"/>
        <v>OK</v>
      </c>
      <c r="DP386" s="153" t="str">
        <f t="shared" si="481"/>
        <v>OK</v>
      </c>
      <c r="DQ386" s="313" t="str">
        <f t="shared" si="482"/>
        <v>OK</v>
      </c>
      <c r="DR386" s="153" t="str">
        <f t="shared" si="428"/>
        <v>OK</v>
      </c>
      <c r="DS386" s="153" t="str">
        <f t="shared" si="483"/>
        <v>OK</v>
      </c>
      <c r="DT386" s="313" t="str">
        <f t="shared" si="491"/>
        <v>OK</v>
      </c>
      <c r="DU386" s="153" t="str">
        <f t="shared" si="484"/>
        <v>OK</v>
      </c>
      <c r="DV386" s="153" t="str">
        <f t="shared" si="429"/>
        <v>OK</v>
      </c>
      <c r="DW386" s="154" t="str">
        <f t="shared" si="430"/>
        <v>OK</v>
      </c>
      <c r="DX386" s="157">
        <f t="shared" si="431"/>
        <v>0</v>
      </c>
      <c r="DY386" s="156" t="str">
        <f t="shared" si="432"/>
        <v>OK</v>
      </c>
    </row>
    <row r="387" spans="1:129" ht="13" hidden="1" x14ac:dyDescent="0.3">
      <c r="A387" s="333"/>
      <c r="B387" s="333"/>
      <c r="C387" s="332" t="str">
        <f t="shared" si="440"/>
        <v>-</v>
      </c>
      <c r="D387" s="584">
        <f t="shared" si="492"/>
        <v>364</v>
      </c>
      <c r="E387" s="585"/>
      <c r="F387" s="586"/>
      <c r="G387" s="600"/>
      <c r="H387" s="587"/>
      <c r="I387" s="601"/>
      <c r="J387" s="585"/>
      <c r="K387" s="617"/>
      <c r="L387" s="602"/>
      <c r="M387" s="603"/>
      <c r="N387" s="588"/>
      <c r="O387" s="604"/>
      <c r="P387" s="605"/>
      <c r="Q387" s="588"/>
      <c r="R387" s="604"/>
      <c r="S387" s="605"/>
      <c r="T387" s="606"/>
      <c r="U387" s="606"/>
      <c r="V387" s="429" t="str">
        <f t="shared" si="437"/>
        <v/>
      </c>
      <c r="W387" s="430" t="str">
        <f t="shared" si="436"/>
        <v/>
      </c>
      <c r="X387" s="66" t="str">
        <f>IF(AND(ISNUMBER(P387),N387=FixedDim),MAX('Adjustment factors'!$S$16,0.2+0.8*P387),IF(ISTEXT(N387),VLOOKUP(N387,Afactors,2,TRUE),""))</f>
        <v/>
      </c>
      <c r="Y387" s="17" t="str">
        <f>IF(AND(ISNUMBER(S387),Q387=FixedDim),MAX('Adjustment factors'!$S$16,0.2+0.8*S387),IF(ISTEXT(Q387),VLOOKUP(Q387,Afactors,2,TRUE),""))</f>
        <v/>
      </c>
      <c r="Z387" s="297" t="str">
        <f>IF(ISBLANK(T387),"",VLOOKUP(T387,'Adjustment factors'!$R$27:$S$30,2,TRUE))</f>
        <v/>
      </c>
      <c r="AA387" s="297" t="str">
        <f>IF(ISBLANK(U387),"",VLOOKUP(U387,'Adjustment factors'!$R$27:$S$30,2,TRUE))</f>
        <v/>
      </c>
      <c r="AB387" s="480">
        <f t="shared" si="485"/>
        <v>1</v>
      </c>
      <c r="AC387" s="18" t="b">
        <f t="shared" si="442"/>
        <v>0</v>
      </c>
      <c r="AD387" s="18" t="b">
        <f t="shared" si="443"/>
        <v>0</v>
      </c>
      <c r="AE387" s="18" t="b">
        <f t="shared" si="433"/>
        <v>0</v>
      </c>
      <c r="AF387" s="17" t="str">
        <f t="shared" si="444"/>
        <v/>
      </c>
      <c r="AG387" s="18" t="str">
        <f t="shared" si="445"/>
        <v/>
      </c>
      <c r="AH387" s="17" t="str">
        <f t="shared" si="434"/>
        <v/>
      </c>
      <c r="AI387" s="297" t="e">
        <f t="shared" si="486"/>
        <v>#VALUE!</v>
      </c>
      <c r="AJ387" s="79" t="e">
        <f t="shared" si="446"/>
        <v>#VALUE!</v>
      </c>
      <c r="AK387" s="17" t="str">
        <f t="shared" si="435"/>
        <v/>
      </c>
      <c r="AL387" s="80" t="e">
        <f t="shared" si="447"/>
        <v>#VALUE!</v>
      </c>
      <c r="AM387" s="139" t="b">
        <f t="shared" si="448"/>
        <v>1</v>
      </c>
      <c r="AN387" s="139" t="b">
        <f>AND(COUNTA(E387)&gt;0,ISNUMBER(F387),OR(COUNT(G387:H387)=0,COUNT(G387:H387)=2,AND(ISNUMBER(G387),ISNUMBER(VALUE(LEFT(H387,SUM(LEN(H387)-LEN(SUBSTITUTE(H387,{"0","1","2","3","4","5","6","7","8","9","."},"")))))))),ISNUMBER(I387),ISTEXT(J387))</f>
        <v>0</v>
      </c>
      <c r="AO387" s="19" t="b">
        <f t="shared" si="449"/>
        <v>0</v>
      </c>
      <c r="AP387" s="19" t="b">
        <f t="shared" si="450"/>
        <v>1</v>
      </c>
      <c r="AQ387" s="19" t="b">
        <f>IF(AND(COUNTBLANK(E387:J387)=6,OR(AN388:AN$523)),NOT(AN387))</f>
        <v>0</v>
      </c>
      <c r="AR387" s="19" t="str">
        <f t="shared" si="451"/>
        <v/>
      </c>
      <c r="AS387" s="19" t="b">
        <f t="shared" si="452"/>
        <v>1</v>
      </c>
      <c r="AT387" s="19" t="str">
        <f t="shared" si="453"/>
        <v/>
      </c>
      <c r="AU387" s="19" t="b">
        <f t="shared" si="454"/>
        <v>1</v>
      </c>
      <c r="AV387" s="140" t="str">
        <f t="shared" si="417"/>
        <v/>
      </c>
      <c r="AW387" s="19" t="str">
        <f t="shared" si="455"/>
        <v/>
      </c>
      <c r="AX387" s="81">
        <f t="shared" si="456"/>
        <v>0</v>
      </c>
      <c r="AY387" s="81" t="str">
        <f t="shared" si="457"/>
        <v/>
      </c>
      <c r="AZ387" s="307" t="str">
        <f t="shared" si="487"/>
        <v/>
      </c>
      <c r="BA387" s="281" t="str">
        <f t="shared" si="418"/>
        <v/>
      </c>
      <c r="BB387" s="281" t="str">
        <f t="shared" si="419"/>
        <v/>
      </c>
      <c r="BC387" s="953"/>
      <c r="BD387" s="955"/>
      <c r="BE387" s="219" t="str">
        <f t="shared" si="458"/>
        <v>n/a</v>
      </c>
      <c r="BF387" s="215" t="b">
        <f t="shared" si="459"/>
        <v>0</v>
      </c>
      <c r="BG387" s="145" t="b">
        <f t="shared" si="460"/>
        <v>0</v>
      </c>
      <c r="BH387" s="145" t="b">
        <f t="shared" si="461"/>
        <v>0</v>
      </c>
      <c r="BI387" s="216" t="b">
        <f t="shared" si="462"/>
        <v>0</v>
      </c>
      <c r="BJ387" s="215" t="b">
        <f t="shared" si="463"/>
        <v>0</v>
      </c>
      <c r="BK387" s="145" t="b">
        <f t="shared" si="464"/>
        <v>0</v>
      </c>
      <c r="BL387" s="216" t="b">
        <f t="shared" si="465"/>
        <v>0</v>
      </c>
      <c r="BM387" s="217" t="str">
        <f t="shared" si="420"/>
        <v/>
      </c>
      <c r="BN387" s="146" t="str">
        <f t="shared" si="421"/>
        <v/>
      </c>
      <c r="BO387" s="147" t="str">
        <f t="shared" si="422"/>
        <v/>
      </c>
      <c r="BP387" s="148" t="str">
        <f t="shared" si="423"/>
        <v/>
      </c>
      <c r="BT387" s="50">
        <f t="shared" si="493"/>
        <v>364</v>
      </c>
      <c r="BU387" s="50" t="str">
        <f t="shared" si="439"/>
        <v>-</v>
      </c>
      <c r="BW387" s="340"/>
      <c r="BX387" s="333"/>
      <c r="BY387" s="333"/>
      <c r="BZ387" s="333"/>
      <c r="CA387" s="333"/>
      <c r="CB387" s="333"/>
      <c r="CC387" s="333"/>
      <c r="CD387" s="333"/>
      <c r="CE387" s="333"/>
      <c r="CF387" s="333"/>
      <c r="CG387" s="354">
        <f t="shared" si="466"/>
        <v>364</v>
      </c>
      <c r="CH387" s="613">
        <f t="shared" si="467"/>
        <v>0</v>
      </c>
      <c r="CI387" s="613">
        <f t="shared" si="468"/>
        <v>0</v>
      </c>
      <c r="CJ387" s="614" t="str">
        <f t="shared" si="469"/>
        <v/>
      </c>
      <c r="CK387" s="615" t="str">
        <f t="shared" si="470"/>
        <v/>
      </c>
      <c r="CL387" s="610" t="str">
        <f>IF(ISBLANK(H387),"",IF(AND(ISNUMBER(F387),ISNUMBER(G387),ISNUMBER(H387)),ROUND(F387/(H387*G387),2),ROUND(F387/(VALUE(LEFT(H387,SUM(LEN(H387)-LEN(SUBSTITUTE(H387,{"0","1","2","3","4","5","6","7","8","9","."},"")))))*G387),2)))</f>
        <v/>
      </c>
      <c r="CM387" s="616" t="str">
        <f t="shared" si="424"/>
        <v/>
      </c>
      <c r="CN387" s="616" t="str">
        <f>IF(ISNUMBER(P387),MAX('Adjustment factors'!$S$16,(0.2+0.8*P387)),IF(ISTEXT(N387),VLOOKUP(N387,Afactors,2,FALSE),""))</f>
        <v/>
      </c>
      <c r="CO387" s="616" t="str">
        <f>IF(ISNUMBER(S387),MAX('Adjustment factors'!$S$16,0.2+0.8*S387),IF(ISTEXT(Q387),VLOOKUP(Q387,Afactors,2,FALSE),""))</f>
        <v/>
      </c>
      <c r="CP387" s="611" t="str">
        <f t="shared" si="488"/>
        <v/>
      </c>
      <c r="CQ387" s="612" t="str">
        <f t="shared" si="489"/>
        <v/>
      </c>
      <c r="CR387" s="340"/>
      <c r="CS387" s="340"/>
      <c r="CT387" s="340"/>
      <c r="CU387" s="340"/>
      <c r="CV387" s="333"/>
      <c r="CW387" s="333"/>
      <c r="CX387" s="333"/>
      <c r="CY387" s="333"/>
      <c r="DA387" s="313" t="str">
        <f t="shared" si="471"/>
        <v>OK</v>
      </c>
      <c r="DB387" s="313" t="str">
        <f t="shared" si="472"/>
        <v>OK</v>
      </c>
      <c r="DC387" s="313" t="str">
        <f t="shared" si="473"/>
        <v>OK</v>
      </c>
      <c r="DD387" s="313" t="str">
        <f t="shared" si="474"/>
        <v>OK</v>
      </c>
      <c r="DE387" s="153" t="str">
        <f t="shared" si="475"/>
        <v>OK</v>
      </c>
      <c r="DF387" s="314" t="str">
        <f t="shared" si="476"/>
        <v>OK</v>
      </c>
      <c r="DG387" s="482" t="str">
        <f t="shared" si="490"/>
        <v>OK</v>
      </c>
      <c r="DH387" s="482" t="str">
        <f>IF(OR(AND(T387='Adjustment factors'!$R$28,'Class 3, 5-9'!U387='Adjustment factors'!$R$29),AND('Class 3, 5-9'!T387='Adjustment factors'!$R$29,'Class 3, 5-9'!U387='Adjustment factors'!$R$28)),"Invalid combination of adjustment factors",IF(AND(T387=U387,NOT(ISBLANK(T387)),NOT(ISBLANK(U387))),"Same colour factor selected twice","OK"))</f>
        <v>OK</v>
      </c>
      <c r="DI387" s="313" t="str">
        <f t="shared" si="477"/>
        <v>OK</v>
      </c>
      <c r="DJ387" s="153" t="str">
        <f t="shared" si="425"/>
        <v>OK</v>
      </c>
      <c r="DK387" s="153" t="str">
        <f t="shared" si="478"/>
        <v>OK</v>
      </c>
      <c r="DL387" s="313" t="str">
        <f t="shared" si="479"/>
        <v>OK</v>
      </c>
      <c r="DM387" s="153" t="str">
        <f t="shared" si="480"/>
        <v>OK</v>
      </c>
      <c r="DN387" s="153" t="str">
        <f t="shared" si="426"/>
        <v>OK</v>
      </c>
      <c r="DO387" s="154" t="str">
        <f t="shared" si="427"/>
        <v>OK</v>
      </c>
      <c r="DP387" s="153" t="str">
        <f t="shared" si="481"/>
        <v>OK</v>
      </c>
      <c r="DQ387" s="313" t="str">
        <f t="shared" si="482"/>
        <v>OK</v>
      </c>
      <c r="DR387" s="153" t="str">
        <f t="shared" si="428"/>
        <v>OK</v>
      </c>
      <c r="DS387" s="153" t="str">
        <f t="shared" si="483"/>
        <v>OK</v>
      </c>
      <c r="DT387" s="313" t="str">
        <f t="shared" si="491"/>
        <v>OK</v>
      </c>
      <c r="DU387" s="153" t="str">
        <f t="shared" si="484"/>
        <v>OK</v>
      </c>
      <c r="DV387" s="153" t="str">
        <f t="shared" si="429"/>
        <v>OK</v>
      </c>
      <c r="DW387" s="154" t="str">
        <f t="shared" si="430"/>
        <v>OK</v>
      </c>
      <c r="DX387" s="157">
        <f t="shared" si="431"/>
        <v>0</v>
      </c>
      <c r="DY387" s="156" t="str">
        <f t="shared" si="432"/>
        <v>OK</v>
      </c>
    </row>
    <row r="388" spans="1:129" ht="13" hidden="1" x14ac:dyDescent="0.3">
      <c r="A388" s="333"/>
      <c r="B388" s="333"/>
      <c r="C388" s="332" t="str">
        <f t="shared" si="440"/>
        <v>-</v>
      </c>
      <c r="D388" s="584">
        <f t="shared" si="492"/>
        <v>365</v>
      </c>
      <c r="E388" s="585"/>
      <c r="F388" s="586"/>
      <c r="G388" s="600"/>
      <c r="H388" s="587"/>
      <c r="I388" s="601"/>
      <c r="J388" s="585"/>
      <c r="K388" s="617"/>
      <c r="L388" s="602"/>
      <c r="M388" s="603"/>
      <c r="N388" s="588"/>
      <c r="O388" s="604"/>
      <c r="P388" s="605"/>
      <c r="Q388" s="588"/>
      <c r="R388" s="604"/>
      <c r="S388" s="605"/>
      <c r="T388" s="606"/>
      <c r="U388" s="606"/>
      <c r="V388" s="429" t="str">
        <f t="shared" si="437"/>
        <v/>
      </c>
      <c r="W388" s="430" t="str">
        <f t="shared" si="436"/>
        <v/>
      </c>
      <c r="X388" s="66" t="str">
        <f>IF(AND(ISNUMBER(P388),N388=FixedDim),MAX('Adjustment factors'!$S$16,0.2+0.8*P388),IF(ISTEXT(N388),VLOOKUP(N388,Afactors,2,TRUE),""))</f>
        <v/>
      </c>
      <c r="Y388" s="17" t="str">
        <f>IF(AND(ISNUMBER(S388),Q388=FixedDim),MAX('Adjustment factors'!$S$16,0.2+0.8*S388),IF(ISTEXT(Q388),VLOOKUP(Q388,Afactors,2,TRUE),""))</f>
        <v/>
      </c>
      <c r="Z388" s="297" t="str">
        <f>IF(ISBLANK(T388),"",VLOOKUP(T388,'Adjustment factors'!$R$27:$S$30,2,TRUE))</f>
        <v/>
      </c>
      <c r="AA388" s="297" t="str">
        <f>IF(ISBLANK(U388),"",VLOOKUP(U388,'Adjustment factors'!$R$27:$S$30,2,TRUE))</f>
        <v/>
      </c>
      <c r="AB388" s="480">
        <f t="shared" si="485"/>
        <v>1</v>
      </c>
      <c r="AC388" s="18" t="b">
        <f t="shared" si="442"/>
        <v>0</v>
      </c>
      <c r="AD388" s="18" t="b">
        <f t="shared" si="443"/>
        <v>0</v>
      </c>
      <c r="AE388" s="18" t="b">
        <f t="shared" si="433"/>
        <v>0</v>
      </c>
      <c r="AF388" s="17" t="str">
        <f t="shared" si="444"/>
        <v/>
      </c>
      <c r="AG388" s="18" t="str">
        <f t="shared" si="445"/>
        <v/>
      </c>
      <c r="AH388" s="17" t="str">
        <f t="shared" si="434"/>
        <v/>
      </c>
      <c r="AI388" s="297" t="e">
        <f t="shared" si="486"/>
        <v>#VALUE!</v>
      </c>
      <c r="AJ388" s="79" t="e">
        <f t="shared" si="446"/>
        <v>#VALUE!</v>
      </c>
      <c r="AK388" s="17" t="str">
        <f t="shared" si="435"/>
        <v/>
      </c>
      <c r="AL388" s="80" t="e">
        <f t="shared" si="447"/>
        <v>#VALUE!</v>
      </c>
      <c r="AM388" s="139" t="b">
        <f t="shared" si="448"/>
        <v>1</v>
      </c>
      <c r="AN388" s="139" t="b">
        <f>AND(COUNTA(E388)&gt;0,ISNUMBER(F388),OR(COUNT(G388:H388)=0,COUNT(G388:H388)=2,AND(ISNUMBER(G388),ISNUMBER(VALUE(LEFT(H388,SUM(LEN(H388)-LEN(SUBSTITUTE(H388,{"0","1","2","3","4","5","6","7","8","9","."},"")))))))),ISNUMBER(I388),ISTEXT(J388))</f>
        <v>0</v>
      </c>
      <c r="AO388" s="19" t="b">
        <f t="shared" si="449"/>
        <v>0</v>
      </c>
      <c r="AP388" s="19" t="b">
        <f t="shared" si="450"/>
        <v>1</v>
      </c>
      <c r="AQ388" s="19" t="b">
        <f>IF(AND(COUNTBLANK(E388:J388)=6,OR(AN389:AN$523)),NOT(AN388))</f>
        <v>0</v>
      </c>
      <c r="AR388" s="19" t="str">
        <f t="shared" si="451"/>
        <v/>
      </c>
      <c r="AS388" s="19" t="b">
        <f t="shared" si="452"/>
        <v>1</v>
      </c>
      <c r="AT388" s="19" t="str">
        <f t="shared" si="453"/>
        <v/>
      </c>
      <c r="AU388" s="19" t="b">
        <f t="shared" si="454"/>
        <v>1</v>
      </c>
      <c r="AV388" s="140" t="str">
        <f t="shared" si="417"/>
        <v/>
      </c>
      <c r="AW388" s="19" t="str">
        <f t="shared" si="455"/>
        <v/>
      </c>
      <c r="AX388" s="81">
        <f t="shared" si="456"/>
        <v>0</v>
      </c>
      <c r="AY388" s="81" t="str">
        <f t="shared" si="457"/>
        <v/>
      </c>
      <c r="AZ388" s="307" t="str">
        <f t="shared" si="487"/>
        <v/>
      </c>
      <c r="BA388" s="281" t="str">
        <f t="shared" si="418"/>
        <v/>
      </c>
      <c r="BB388" s="281" t="str">
        <f t="shared" si="419"/>
        <v/>
      </c>
      <c r="BC388" s="953"/>
      <c r="BD388" s="955"/>
      <c r="BE388" s="219" t="str">
        <f t="shared" si="458"/>
        <v>n/a</v>
      </c>
      <c r="BF388" s="215" t="b">
        <f t="shared" si="459"/>
        <v>0</v>
      </c>
      <c r="BG388" s="145" t="b">
        <f t="shared" si="460"/>
        <v>0</v>
      </c>
      <c r="BH388" s="145" t="b">
        <f t="shared" si="461"/>
        <v>0</v>
      </c>
      <c r="BI388" s="216" t="b">
        <f t="shared" si="462"/>
        <v>0</v>
      </c>
      <c r="BJ388" s="215" t="b">
        <f t="shared" si="463"/>
        <v>0</v>
      </c>
      <c r="BK388" s="145" t="b">
        <f t="shared" si="464"/>
        <v>0</v>
      </c>
      <c r="BL388" s="216" t="b">
        <f t="shared" si="465"/>
        <v>0</v>
      </c>
      <c r="BM388" s="217" t="str">
        <f t="shared" si="420"/>
        <v/>
      </c>
      <c r="BN388" s="146" t="str">
        <f t="shared" si="421"/>
        <v/>
      </c>
      <c r="BO388" s="147" t="str">
        <f t="shared" si="422"/>
        <v/>
      </c>
      <c r="BP388" s="148" t="str">
        <f t="shared" si="423"/>
        <v/>
      </c>
      <c r="BT388" s="50">
        <f t="shared" si="493"/>
        <v>365</v>
      </c>
      <c r="BU388" s="50" t="str">
        <f t="shared" si="439"/>
        <v>-</v>
      </c>
      <c r="BW388" s="340"/>
      <c r="BX388" s="333"/>
      <c r="BY388" s="333"/>
      <c r="BZ388" s="333"/>
      <c r="CA388" s="333"/>
      <c r="CB388" s="333"/>
      <c r="CC388" s="333"/>
      <c r="CD388" s="333"/>
      <c r="CE388" s="333"/>
      <c r="CF388" s="333"/>
      <c r="CG388" s="354">
        <f t="shared" si="466"/>
        <v>365</v>
      </c>
      <c r="CH388" s="613">
        <f t="shared" si="467"/>
        <v>0</v>
      </c>
      <c r="CI388" s="613">
        <f t="shared" si="468"/>
        <v>0</v>
      </c>
      <c r="CJ388" s="614" t="str">
        <f t="shared" si="469"/>
        <v/>
      </c>
      <c r="CK388" s="615" t="str">
        <f t="shared" si="470"/>
        <v/>
      </c>
      <c r="CL388" s="610" t="str">
        <f>IF(ISBLANK(H388),"",IF(AND(ISNUMBER(F388),ISNUMBER(G388),ISNUMBER(H388)),ROUND(F388/(H388*G388),2),ROUND(F388/(VALUE(LEFT(H388,SUM(LEN(H388)-LEN(SUBSTITUTE(H388,{"0","1","2","3","4","5","6","7","8","9","."},"")))))*G388),2)))</f>
        <v/>
      </c>
      <c r="CM388" s="616" t="str">
        <f t="shared" si="424"/>
        <v/>
      </c>
      <c r="CN388" s="616" t="str">
        <f>IF(ISNUMBER(P388),MAX('Adjustment factors'!$S$16,(0.2+0.8*P388)),IF(ISTEXT(N388),VLOOKUP(N388,Afactors,2,FALSE),""))</f>
        <v/>
      </c>
      <c r="CO388" s="616" t="str">
        <f>IF(ISNUMBER(S388),MAX('Adjustment factors'!$S$16,0.2+0.8*S388),IF(ISTEXT(Q388),VLOOKUP(Q388,Afactors,2,FALSE),""))</f>
        <v/>
      </c>
      <c r="CP388" s="611" t="str">
        <f t="shared" si="488"/>
        <v/>
      </c>
      <c r="CQ388" s="612" t="str">
        <f t="shared" si="489"/>
        <v/>
      </c>
      <c r="CR388" s="340"/>
      <c r="CS388" s="340"/>
      <c r="CT388" s="340"/>
      <c r="CU388" s="340"/>
      <c r="CV388" s="333"/>
      <c r="CW388" s="333"/>
      <c r="CX388" s="333"/>
      <c r="CY388" s="333"/>
      <c r="DA388" s="313" t="str">
        <f t="shared" si="471"/>
        <v>OK</v>
      </c>
      <c r="DB388" s="313" t="str">
        <f t="shared" si="472"/>
        <v>OK</v>
      </c>
      <c r="DC388" s="313" t="str">
        <f t="shared" si="473"/>
        <v>OK</v>
      </c>
      <c r="DD388" s="313" t="str">
        <f t="shared" si="474"/>
        <v>OK</v>
      </c>
      <c r="DE388" s="153" t="str">
        <f t="shared" si="475"/>
        <v>OK</v>
      </c>
      <c r="DF388" s="314" t="str">
        <f t="shared" si="476"/>
        <v>OK</v>
      </c>
      <c r="DG388" s="482" t="str">
        <f t="shared" si="490"/>
        <v>OK</v>
      </c>
      <c r="DH388" s="482" t="str">
        <f>IF(OR(AND(T388='Adjustment factors'!$R$28,'Class 3, 5-9'!U388='Adjustment factors'!$R$29),AND('Class 3, 5-9'!T388='Adjustment factors'!$R$29,'Class 3, 5-9'!U388='Adjustment factors'!$R$28)),"Invalid combination of adjustment factors",IF(AND(T388=U388,NOT(ISBLANK(T388)),NOT(ISBLANK(U388))),"Same colour factor selected twice","OK"))</f>
        <v>OK</v>
      </c>
      <c r="DI388" s="313" t="str">
        <f t="shared" si="477"/>
        <v>OK</v>
      </c>
      <c r="DJ388" s="153" t="str">
        <f t="shared" si="425"/>
        <v>OK</v>
      </c>
      <c r="DK388" s="153" t="str">
        <f t="shared" si="478"/>
        <v>OK</v>
      </c>
      <c r="DL388" s="313" t="str">
        <f t="shared" si="479"/>
        <v>OK</v>
      </c>
      <c r="DM388" s="153" t="str">
        <f t="shared" si="480"/>
        <v>OK</v>
      </c>
      <c r="DN388" s="153" t="str">
        <f t="shared" si="426"/>
        <v>OK</v>
      </c>
      <c r="DO388" s="154" t="str">
        <f t="shared" si="427"/>
        <v>OK</v>
      </c>
      <c r="DP388" s="153" t="str">
        <f t="shared" si="481"/>
        <v>OK</v>
      </c>
      <c r="DQ388" s="313" t="str">
        <f t="shared" si="482"/>
        <v>OK</v>
      </c>
      <c r="DR388" s="153" t="str">
        <f t="shared" si="428"/>
        <v>OK</v>
      </c>
      <c r="DS388" s="153" t="str">
        <f t="shared" si="483"/>
        <v>OK</v>
      </c>
      <c r="DT388" s="313" t="str">
        <f t="shared" si="491"/>
        <v>OK</v>
      </c>
      <c r="DU388" s="153" t="str">
        <f t="shared" si="484"/>
        <v>OK</v>
      </c>
      <c r="DV388" s="153" t="str">
        <f t="shared" si="429"/>
        <v>OK</v>
      </c>
      <c r="DW388" s="154" t="str">
        <f t="shared" si="430"/>
        <v>OK</v>
      </c>
      <c r="DX388" s="157">
        <f t="shared" si="431"/>
        <v>0</v>
      </c>
      <c r="DY388" s="156" t="str">
        <f t="shared" si="432"/>
        <v>OK</v>
      </c>
    </row>
    <row r="389" spans="1:129" ht="13" hidden="1" x14ac:dyDescent="0.3">
      <c r="A389" s="333"/>
      <c r="B389" s="333"/>
      <c r="C389" s="332" t="str">
        <f t="shared" si="440"/>
        <v>-</v>
      </c>
      <c r="D389" s="584">
        <f t="shared" si="492"/>
        <v>366</v>
      </c>
      <c r="E389" s="585"/>
      <c r="F389" s="586"/>
      <c r="G389" s="600"/>
      <c r="H389" s="587"/>
      <c r="I389" s="601"/>
      <c r="J389" s="585"/>
      <c r="K389" s="617"/>
      <c r="L389" s="602"/>
      <c r="M389" s="603"/>
      <c r="N389" s="588"/>
      <c r="O389" s="604"/>
      <c r="P389" s="605"/>
      <c r="Q389" s="588"/>
      <c r="R389" s="604"/>
      <c r="S389" s="605"/>
      <c r="T389" s="606"/>
      <c r="U389" s="606"/>
      <c r="V389" s="429" t="str">
        <f t="shared" si="437"/>
        <v/>
      </c>
      <c r="W389" s="430" t="str">
        <f t="shared" si="436"/>
        <v/>
      </c>
      <c r="X389" s="66" t="str">
        <f>IF(AND(ISNUMBER(P389),N389=FixedDim),MAX('Adjustment factors'!$S$16,0.2+0.8*P389),IF(ISTEXT(N389),VLOOKUP(N389,Afactors,2,TRUE),""))</f>
        <v/>
      </c>
      <c r="Y389" s="17" t="str">
        <f>IF(AND(ISNUMBER(S389),Q389=FixedDim),MAX('Adjustment factors'!$S$16,0.2+0.8*S389),IF(ISTEXT(Q389),VLOOKUP(Q389,Afactors,2,TRUE),""))</f>
        <v/>
      </c>
      <c r="Z389" s="297" t="str">
        <f>IF(ISBLANK(T389),"",VLOOKUP(T389,'Adjustment factors'!$R$27:$S$30,2,TRUE))</f>
        <v/>
      </c>
      <c r="AA389" s="297" t="str">
        <f>IF(ISBLANK(U389),"",VLOOKUP(U389,'Adjustment factors'!$R$27:$S$30,2,TRUE))</f>
        <v/>
      </c>
      <c r="AB389" s="480">
        <f t="shared" si="485"/>
        <v>1</v>
      </c>
      <c r="AC389" s="18" t="b">
        <f t="shared" si="442"/>
        <v>0</v>
      </c>
      <c r="AD389" s="18" t="b">
        <f t="shared" si="443"/>
        <v>0</v>
      </c>
      <c r="AE389" s="18" t="b">
        <f t="shared" si="433"/>
        <v>0</v>
      </c>
      <c r="AF389" s="17" t="str">
        <f t="shared" si="444"/>
        <v/>
      </c>
      <c r="AG389" s="18" t="str">
        <f t="shared" si="445"/>
        <v/>
      </c>
      <c r="AH389" s="17" t="str">
        <f t="shared" si="434"/>
        <v/>
      </c>
      <c r="AI389" s="297" t="e">
        <f t="shared" si="486"/>
        <v>#VALUE!</v>
      </c>
      <c r="AJ389" s="79" t="e">
        <f t="shared" si="446"/>
        <v>#VALUE!</v>
      </c>
      <c r="AK389" s="17" t="str">
        <f t="shared" si="435"/>
        <v/>
      </c>
      <c r="AL389" s="80" t="e">
        <f t="shared" si="447"/>
        <v>#VALUE!</v>
      </c>
      <c r="AM389" s="139" t="b">
        <f t="shared" si="448"/>
        <v>1</v>
      </c>
      <c r="AN389" s="139" t="b">
        <f>AND(COUNTA(E389)&gt;0,ISNUMBER(F389),OR(COUNT(G389:H389)=0,COUNT(G389:H389)=2,AND(ISNUMBER(G389),ISNUMBER(VALUE(LEFT(H389,SUM(LEN(H389)-LEN(SUBSTITUTE(H389,{"0","1","2","3","4","5","6","7","8","9","."},"")))))))),ISNUMBER(I389),ISTEXT(J389))</f>
        <v>0</v>
      </c>
      <c r="AO389" s="19" t="b">
        <f t="shared" si="449"/>
        <v>0</v>
      </c>
      <c r="AP389" s="19" t="b">
        <f t="shared" si="450"/>
        <v>1</v>
      </c>
      <c r="AQ389" s="19" t="b">
        <f>IF(AND(COUNTBLANK(E389:J389)=6,OR(AN390:AN$523)),NOT(AN389))</f>
        <v>0</v>
      </c>
      <c r="AR389" s="19" t="str">
        <f t="shared" si="451"/>
        <v/>
      </c>
      <c r="AS389" s="19" t="b">
        <f t="shared" si="452"/>
        <v>1</v>
      </c>
      <c r="AT389" s="19" t="str">
        <f t="shared" si="453"/>
        <v/>
      </c>
      <c r="AU389" s="19" t="b">
        <f t="shared" si="454"/>
        <v>1</v>
      </c>
      <c r="AV389" s="140" t="str">
        <f t="shared" ref="AV389:AV423" si="494">IF(AND(AM389,AN389,AR389,AT389),IF(ISNUMBER(AG389),ROUND(AL389,0),ROUND(AJ389,0)),"")</f>
        <v/>
      </c>
      <c r="AW389" s="19" t="str">
        <f t="shared" si="455"/>
        <v/>
      </c>
      <c r="AX389" s="81">
        <f t="shared" si="456"/>
        <v>0</v>
      </c>
      <c r="AY389" s="81" t="str">
        <f t="shared" si="457"/>
        <v/>
      </c>
      <c r="AZ389" s="307" t="str">
        <f t="shared" si="487"/>
        <v/>
      </c>
      <c r="BA389" s="281" t="str">
        <f t="shared" ref="BA389:BA423" si="495">IF(DI389&lt;&gt;"OK",DI389,IF(DJ389&lt;&gt;"OK",DJ389,IF(DK389&lt;&gt;"OK",DK389,IF(DL389&lt;&gt;"OK",DL389,IF(DM389&lt;&gt;"OK",DM389,IF(DN389&lt;&gt;"OK",DN389,IF(DO389&lt;&gt;"OK",DO389,BB389)))))))</f>
        <v/>
      </c>
      <c r="BB389" s="281" t="str">
        <f t="shared" ref="BB389:BB423" si="496">IF(DP389&lt;&gt;"OK",DP389,IF(DQ389&lt;&gt;"OK",DQ389,IF(DR389&lt;&gt;"OK",DR389,IF(DS389&lt;&gt;"OK",DS389,IF(DT389&lt;&gt;"OK",DT389,IF(DU389&lt;&gt;"OK",DU389,IF(DV389&lt;&gt;"OK",DV389,IF(DW389&lt;&gt;"OK",DW389,IF(DY389&lt;&gt;"OK",DY389,"")))))))))</f>
        <v/>
      </c>
      <c r="BC389" s="953"/>
      <c r="BD389" s="955"/>
      <c r="BE389" s="219" t="str">
        <f t="shared" si="458"/>
        <v>n/a</v>
      </c>
      <c r="BF389" s="215" t="b">
        <f t="shared" si="459"/>
        <v>0</v>
      </c>
      <c r="BG389" s="145" t="b">
        <f t="shared" si="460"/>
        <v>0</v>
      </c>
      <c r="BH389" s="145" t="b">
        <f t="shared" si="461"/>
        <v>0</v>
      </c>
      <c r="BI389" s="216" t="b">
        <f t="shared" si="462"/>
        <v>0</v>
      </c>
      <c r="BJ389" s="215" t="b">
        <f t="shared" si="463"/>
        <v>0</v>
      </c>
      <c r="BK389" s="145" t="b">
        <f t="shared" si="464"/>
        <v>0</v>
      </c>
      <c r="BL389" s="216" t="b">
        <f t="shared" si="465"/>
        <v>0</v>
      </c>
      <c r="BM389" s="217" t="str">
        <f t="shared" ref="BM389:BM423" si="497">IF(AN389,AX389/ADIPLone,"")</f>
        <v/>
      </c>
      <c r="BN389" s="146" t="str">
        <f t="shared" ref="BN389:BN423" si="498">IF(AN389,percentage,"")</f>
        <v/>
      </c>
      <c r="BO389" s="147" t="str">
        <f t="shared" ref="BO389:BO423" si="499">IF(AN389,MIPDLONE&gt;=ADIPLone,"")</f>
        <v/>
      </c>
      <c r="BP389" s="148" t="str">
        <f t="shared" ref="BP389:BP423" si="500">IF(AND(AN389,AR389,AT389),TEXT(BM389,"0%")&amp;" of "&amp;TEXT(BN389*100,"General")&amp;"%","")</f>
        <v/>
      </c>
      <c r="BT389" s="50">
        <f t="shared" si="493"/>
        <v>366</v>
      </c>
      <c r="BU389" s="50" t="str">
        <f t="shared" si="439"/>
        <v>-</v>
      </c>
      <c r="BW389" s="340"/>
      <c r="BX389" s="333"/>
      <c r="BY389" s="333"/>
      <c r="BZ389" s="333"/>
      <c r="CA389" s="333"/>
      <c r="CB389" s="333"/>
      <c r="CC389" s="333"/>
      <c r="CD389" s="333"/>
      <c r="CE389" s="333"/>
      <c r="CF389" s="333"/>
      <c r="CG389" s="354">
        <f t="shared" si="466"/>
        <v>366</v>
      </c>
      <c r="CH389" s="613">
        <f t="shared" si="467"/>
        <v>0</v>
      </c>
      <c r="CI389" s="613">
        <f t="shared" si="468"/>
        <v>0</v>
      </c>
      <c r="CJ389" s="614" t="str">
        <f t="shared" si="469"/>
        <v/>
      </c>
      <c r="CK389" s="615" t="str">
        <f t="shared" si="470"/>
        <v/>
      </c>
      <c r="CL389" s="610" t="str">
        <f>IF(ISBLANK(H389),"",IF(AND(ISNUMBER(F389),ISNUMBER(G389),ISNUMBER(H389)),ROUND(F389/(H389*G389),2),ROUND(F389/(VALUE(LEFT(H389,SUM(LEN(H389)-LEN(SUBSTITUTE(H389,{"0","1","2","3","4","5","6","7","8","9","."},"")))))*G389),2)))</f>
        <v/>
      </c>
      <c r="CM389" s="616" t="str">
        <f t="shared" ref="CM389:CM423" si="501">IF(CL389&lt;1.5,ROUND(0.5+CL389/3,2),"")</f>
        <v/>
      </c>
      <c r="CN389" s="616" t="str">
        <f>IF(ISNUMBER(P389),MAX('Adjustment factors'!$S$16,(0.2+0.8*P389)),IF(ISTEXT(N389),VLOOKUP(N389,Afactors,2,FALSE),""))</f>
        <v/>
      </c>
      <c r="CO389" s="616" t="str">
        <f>IF(ISNUMBER(S389),MAX('Adjustment factors'!$S$16,0.2+0.8*S389),IF(ISTEXT(Q389),VLOOKUP(Q389,Afactors,2,FALSE),""))</f>
        <v/>
      </c>
      <c r="CP389" s="611" t="str">
        <f t="shared" si="488"/>
        <v/>
      </c>
      <c r="CQ389" s="612" t="str">
        <f t="shared" si="489"/>
        <v/>
      </c>
      <c r="CR389" s="340"/>
      <c r="CS389" s="340"/>
      <c r="CT389" s="340"/>
      <c r="CU389" s="340"/>
      <c r="CV389" s="333"/>
      <c r="CW389" s="333"/>
      <c r="CX389" s="333"/>
      <c r="CY389" s="333"/>
      <c r="DA389" s="313" t="str">
        <f t="shared" si="471"/>
        <v>OK</v>
      </c>
      <c r="DB389" s="313" t="str">
        <f t="shared" si="472"/>
        <v>OK</v>
      </c>
      <c r="DC389" s="313" t="str">
        <f t="shared" si="473"/>
        <v>OK</v>
      </c>
      <c r="DD389" s="313" t="str">
        <f t="shared" si="474"/>
        <v>OK</v>
      </c>
      <c r="DE389" s="153" t="str">
        <f t="shared" si="475"/>
        <v>OK</v>
      </c>
      <c r="DF389" s="314" t="str">
        <f t="shared" si="476"/>
        <v>OK</v>
      </c>
      <c r="DG389" s="482" t="str">
        <f t="shared" si="490"/>
        <v>OK</v>
      </c>
      <c r="DH389" s="482" t="str">
        <f>IF(OR(AND(T389='Adjustment factors'!$R$28,'Class 3, 5-9'!U389='Adjustment factors'!$R$29),AND('Class 3, 5-9'!T389='Adjustment factors'!$R$29,'Class 3, 5-9'!U389='Adjustment factors'!$R$28)),"Invalid combination of adjustment factors",IF(AND(T389=U389,NOT(ISBLANK(T389)),NOT(ISBLANK(U389))),"Same colour factor selected twice","OK"))</f>
        <v>OK</v>
      </c>
      <c r="DI389" s="313" t="str">
        <f t="shared" si="477"/>
        <v>OK</v>
      </c>
      <c r="DJ389" s="153" t="str">
        <f t="shared" ref="DJ389:DJ423" si="502">"OK"</f>
        <v>OK</v>
      </c>
      <c r="DK389" s="153" t="str">
        <f t="shared" si="478"/>
        <v>OK</v>
      </c>
      <c r="DL389" s="313" t="str">
        <f t="shared" si="479"/>
        <v>OK</v>
      </c>
      <c r="DM389" s="153" t="str">
        <f t="shared" si="480"/>
        <v>OK</v>
      </c>
      <c r="DN389" s="153" t="str">
        <f t="shared" ref="DN389:DN423" si="503">IF(ISNUMBER(FIND("NA",$N389)),"Adjustment Factor not applicable","OK")</f>
        <v>OK</v>
      </c>
      <c r="DO389" s="154" t="str">
        <f t="shared" ref="DO389:DO423" si="504">"OK"</f>
        <v>OK</v>
      </c>
      <c r="DP389" s="153" t="str">
        <f t="shared" si="481"/>
        <v>OK</v>
      </c>
      <c r="DQ389" s="313" t="str">
        <f t="shared" si="482"/>
        <v>OK</v>
      </c>
      <c r="DR389" s="153" t="str">
        <f t="shared" ref="DR389:DR423" si="505">"OK"</f>
        <v>OK</v>
      </c>
      <c r="DS389" s="153" t="str">
        <f t="shared" si="483"/>
        <v>OK</v>
      </c>
      <c r="DT389" s="313" t="str">
        <f t="shared" si="491"/>
        <v>OK</v>
      </c>
      <c r="DU389" s="153" t="str">
        <f t="shared" si="484"/>
        <v>OK</v>
      </c>
      <c r="DV389" s="153" t="str">
        <f t="shared" ref="DV389:DV423" si="506">IF(ISNUMBER(FIND("NA",$Q389)),"Adjustment Factor not applicable","OK")</f>
        <v>OK</v>
      </c>
      <c r="DW389" s="154" t="str">
        <f t="shared" ref="DW389:DW423" si="507">"OK"</f>
        <v>OK</v>
      </c>
      <c r="DX389" s="157">
        <f t="shared" ref="DX389:DX423" si="508">COUNTIF(DA389:DW389,"&lt;&gt;OK")</f>
        <v>0</v>
      </c>
      <c r="DY389" s="156" t="str">
        <f t="shared" ref="DY389:DY423" si="509">IF(AQ389,"ROW SKIPPED (OK if intentional)","OK")</f>
        <v>OK</v>
      </c>
    </row>
    <row r="390" spans="1:129" ht="13" hidden="1" x14ac:dyDescent="0.3">
      <c r="A390" s="333"/>
      <c r="B390" s="333"/>
      <c r="C390" s="332" t="str">
        <f t="shared" si="440"/>
        <v>-</v>
      </c>
      <c r="D390" s="584">
        <f t="shared" si="492"/>
        <v>367</v>
      </c>
      <c r="E390" s="585"/>
      <c r="F390" s="586"/>
      <c r="G390" s="600"/>
      <c r="H390" s="587"/>
      <c r="I390" s="601"/>
      <c r="J390" s="585"/>
      <c r="K390" s="617"/>
      <c r="L390" s="602"/>
      <c r="M390" s="603"/>
      <c r="N390" s="588"/>
      <c r="O390" s="604"/>
      <c r="P390" s="605"/>
      <c r="Q390" s="588"/>
      <c r="R390" s="604"/>
      <c r="S390" s="605"/>
      <c r="T390" s="606"/>
      <c r="U390" s="606"/>
      <c r="V390" s="429" t="str">
        <f t="shared" si="437"/>
        <v/>
      </c>
      <c r="W390" s="430" t="str">
        <f t="shared" si="436"/>
        <v/>
      </c>
      <c r="X390" s="66" t="str">
        <f>IF(AND(ISNUMBER(P390),N390=FixedDim),MAX('Adjustment factors'!$S$16,0.2+0.8*P390),IF(ISTEXT(N390),VLOOKUP(N390,Afactors,2,TRUE),""))</f>
        <v/>
      </c>
      <c r="Y390" s="17" t="str">
        <f>IF(AND(ISNUMBER(S390),Q390=FixedDim),MAX('Adjustment factors'!$S$16,0.2+0.8*S390),IF(ISTEXT(Q390),VLOOKUP(Q390,Afactors,2,TRUE),""))</f>
        <v/>
      </c>
      <c r="Z390" s="297" t="str">
        <f>IF(ISBLANK(T390),"",VLOOKUP(T390,'Adjustment factors'!$R$27:$S$30,2,TRUE))</f>
        <v/>
      </c>
      <c r="AA390" s="297" t="str">
        <f>IF(ISBLANK(U390),"",VLOOKUP(U390,'Adjustment factors'!$R$27:$S$30,2,TRUE))</f>
        <v/>
      </c>
      <c r="AB390" s="480">
        <f t="shared" si="485"/>
        <v>1</v>
      </c>
      <c r="AC390" s="18" t="b">
        <f t="shared" si="442"/>
        <v>0</v>
      </c>
      <c r="AD390" s="18" t="b">
        <f t="shared" si="443"/>
        <v>0</v>
      </c>
      <c r="AE390" s="18" t="b">
        <f t="shared" ref="AE390:AE423" si="510">ISNUMBER(CM390)</f>
        <v>0</v>
      </c>
      <c r="AF390" s="17" t="str">
        <f t="shared" si="444"/>
        <v/>
      </c>
      <c r="AG390" s="18" t="str">
        <f t="shared" si="445"/>
        <v/>
      </c>
      <c r="AH390" s="17" t="str">
        <f t="shared" ref="AH390:AH424" si="511">IF(AE390,CK390/CM390,"")</f>
        <v/>
      </c>
      <c r="AI390" s="297" t="e">
        <f t="shared" si="486"/>
        <v>#VALUE!</v>
      </c>
      <c r="AJ390" s="79" t="e">
        <f t="shared" si="446"/>
        <v>#VALUE!</v>
      </c>
      <c r="AK390" s="17" t="str">
        <f t="shared" si="435"/>
        <v/>
      </c>
      <c r="AL390" s="80" t="e">
        <f t="shared" si="447"/>
        <v>#VALUE!</v>
      </c>
      <c r="AM390" s="139" t="b">
        <f t="shared" si="448"/>
        <v>1</v>
      </c>
      <c r="AN390" s="139" t="b">
        <f>AND(COUNTA(E390)&gt;0,ISNUMBER(F390),OR(COUNT(G390:H390)=0,COUNT(G390:H390)=2,AND(ISNUMBER(G390),ISNUMBER(VALUE(LEFT(H390,SUM(LEN(H390)-LEN(SUBSTITUTE(H390,{"0","1","2","3","4","5","6","7","8","9","."},"")))))))),ISNUMBER(I390),ISTEXT(J390))</f>
        <v>0</v>
      </c>
      <c r="AO390" s="19" t="b">
        <f t="shared" si="449"/>
        <v>0</v>
      </c>
      <c r="AP390" s="19" t="b">
        <f t="shared" si="450"/>
        <v>1</v>
      </c>
      <c r="AQ390" s="19" t="b">
        <f>IF(AND(COUNTBLANK(E390:J390)=6,OR(AN391:AN$523)),NOT(AN390))</f>
        <v>0</v>
      </c>
      <c r="AR390" s="19" t="str">
        <f t="shared" si="451"/>
        <v/>
      </c>
      <c r="AS390" s="19" t="b">
        <f t="shared" si="452"/>
        <v>1</v>
      </c>
      <c r="AT390" s="19" t="str">
        <f t="shared" si="453"/>
        <v/>
      </c>
      <c r="AU390" s="19" t="b">
        <f t="shared" si="454"/>
        <v>1</v>
      </c>
      <c r="AV390" s="140" t="str">
        <f t="shared" si="494"/>
        <v/>
      </c>
      <c r="AW390" s="19" t="str">
        <f t="shared" si="455"/>
        <v/>
      </c>
      <c r="AX390" s="81">
        <f t="shared" si="456"/>
        <v>0</v>
      </c>
      <c r="AY390" s="81" t="str">
        <f t="shared" si="457"/>
        <v/>
      </c>
      <c r="AZ390" s="307" t="str">
        <f t="shared" si="487"/>
        <v/>
      </c>
      <c r="BA390" s="281" t="str">
        <f t="shared" si="495"/>
        <v/>
      </c>
      <c r="BB390" s="281" t="str">
        <f t="shared" si="496"/>
        <v/>
      </c>
      <c r="BC390" s="953"/>
      <c r="BD390" s="955"/>
      <c r="BE390" s="219" t="str">
        <f t="shared" si="458"/>
        <v>n/a</v>
      </c>
      <c r="BF390" s="215" t="b">
        <f t="shared" si="459"/>
        <v>0</v>
      </c>
      <c r="BG390" s="145" t="b">
        <f t="shared" si="460"/>
        <v>0</v>
      </c>
      <c r="BH390" s="145" t="b">
        <f t="shared" si="461"/>
        <v>0</v>
      </c>
      <c r="BI390" s="216" t="b">
        <f t="shared" si="462"/>
        <v>0</v>
      </c>
      <c r="BJ390" s="215" t="b">
        <f t="shared" si="463"/>
        <v>0</v>
      </c>
      <c r="BK390" s="145" t="b">
        <f t="shared" si="464"/>
        <v>0</v>
      </c>
      <c r="BL390" s="216" t="b">
        <f t="shared" si="465"/>
        <v>0</v>
      </c>
      <c r="BM390" s="217" t="str">
        <f t="shared" si="497"/>
        <v/>
      </c>
      <c r="BN390" s="146" t="str">
        <f t="shared" si="498"/>
        <v/>
      </c>
      <c r="BO390" s="147" t="str">
        <f t="shared" si="499"/>
        <v/>
      </c>
      <c r="BP390" s="148" t="str">
        <f t="shared" si="500"/>
        <v/>
      </c>
      <c r="BT390" s="50">
        <f t="shared" si="493"/>
        <v>367</v>
      </c>
      <c r="BU390" s="50" t="str">
        <f t="shared" si="439"/>
        <v>-</v>
      </c>
      <c r="BW390" s="340"/>
      <c r="BX390" s="333"/>
      <c r="BY390" s="333"/>
      <c r="BZ390" s="333"/>
      <c r="CA390" s="333"/>
      <c r="CB390" s="333"/>
      <c r="CC390" s="333"/>
      <c r="CD390" s="333"/>
      <c r="CE390" s="333"/>
      <c r="CF390" s="333"/>
      <c r="CG390" s="354">
        <f t="shared" si="466"/>
        <v>367</v>
      </c>
      <c r="CH390" s="613">
        <f t="shared" si="467"/>
        <v>0</v>
      </c>
      <c r="CI390" s="613">
        <f t="shared" si="468"/>
        <v>0</v>
      </c>
      <c r="CJ390" s="614" t="str">
        <f t="shared" si="469"/>
        <v/>
      </c>
      <c r="CK390" s="615" t="str">
        <f t="shared" si="470"/>
        <v/>
      </c>
      <c r="CL390" s="610" t="str">
        <f>IF(ISBLANK(H390),"",IF(AND(ISNUMBER(F390),ISNUMBER(G390),ISNUMBER(H390)),ROUND(F390/(H390*G390),2),ROUND(F390/(VALUE(LEFT(H390,SUM(LEN(H390)-LEN(SUBSTITUTE(H390,{"0","1","2","3","4","5","6","7","8","9","."},"")))))*G390),2)))</f>
        <v/>
      </c>
      <c r="CM390" s="616" t="str">
        <f t="shared" si="501"/>
        <v/>
      </c>
      <c r="CN390" s="616" t="str">
        <f>IF(ISNUMBER(P390),MAX('Adjustment factors'!$S$16,(0.2+0.8*P390)),IF(ISTEXT(N390),VLOOKUP(N390,Afactors,2,FALSE),""))</f>
        <v/>
      </c>
      <c r="CO390" s="616" t="str">
        <f>IF(ISNUMBER(S390),MAX('Adjustment factors'!$S$16,0.2+0.8*S390),IF(ISTEXT(Q390),VLOOKUP(Q390,Afactors,2,FALSE),""))</f>
        <v/>
      </c>
      <c r="CP390" s="611" t="str">
        <f t="shared" si="488"/>
        <v/>
      </c>
      <c r="CQ390" s="612" t="str">
        <f t="shared" si="489"/>
        <v/>
      </c>
      <c r="CR390" s="340"/>
      <c r="CS390" s="340"/>
      <c r="CT390" s="340"/>
      <c r="CU390" s="340"/>
      <c r="CV390" s="333"/>
      <c r="CW390" s="333"/>
      <c r="CX390" s="333"/>
      <c r="CY390" s="333"/>
      <c r="DA390" s="313" t="str">
        <f t="shared" si="471"/>
        <v>OK</v>
      </c>
      <c r="DB390" s="313" t="str">
        <f t="shared" si="472"/>
        <v>OK</v>
      </c>
      <c r="DC390" s="313" t="str">
        <f t="shared" si="473"/>
        <v>OK</v>
      </c>
      <c r="DD390" s="313" t="str">
        <f t="shared" si="474"/>
        <v>OK</v>
      </c>
      <c r="DE390" s="153" t="str">
        <f t="shared" si="475"/>
        <v>OK</v>
      </c>
      <c r="DF390" s="314" t="str">
        <f t="shared" si="476"/>
        <v>OK</v>
      </c>
      <c r="DG390" s="482" t="str">
        <f t="shared" si="490"/>
        <v>OK</v>
      </c>
      <c r="DH390" s="482" t="str">
        <f>IF(OR(AND(T390='Adjustment factors'!$R$28,'Class 3, 5-9'!U390='Adjustment factors'!$R$29),AND('Class 3, 5-9'!T390='Adjustment factors'!$R$29,'Class 3, 5-9'!U390='Adjustment factors'!$R$28)),"Invalid combination of adjustment factors",IF(AND(T390=U390,NOT(ISBLANK(T390)),NOT(ISBLANK(U390))),"Same colour factor selected twice","OK"))</f>
        <v>OK</v>
      </c>
      <c r="DI390" s="313" t="str">
        <f t="shared" si="477"/>
        <v>OK</v>
      </c>
      <c r="DJ390" s="153" t="str">
        <f t="shared" si="502"/>
        <v>OK</v>
      </c>
      <c r="DK390" s="153" t="str">
        <f t="shared" si="478"/>
        <v>OK</v>
      </c>
      <c r="DL390" s="313" t="str">
        <f t="shared" si="479"/>
        <v>OK</v>
      </c>
      <c r="DM390" s="153" t="str">
        <f t="shared" si="480"/>
        <v>OK</v>
      </c>
      <c r="DN390" s="153" t="str">
        <f t="shared" si="503"/>
        <v>OK</v>
      </c>
      <c r="DO390" s="154" t="str">
        <f t="shared" si="504"/>
        <v>OK</v>
      </c>
      <c r="DP390" s="153" t="str">
        <f t="shared" si="481"/>
        <v>OK</v>
      </c>
      <c r="DQ390" s="313" t="str">
        <f t="shared" si="482"/>
        <v>OK</v>
      </c>
      <c r="DR390" s="153" t="str">
        <f t="shared" si="505"/>
        <v>OK</v>
      </c>
      <c r="DS390" s="153" t="str">
        <f t="shared" si="483"/>
        <v>OK</v>
      </c>
      <c r="DT390" s="313" t="str">
        <f t="shared" si="491"/>
        <v>OK</v>
      </c>
      <c r="DU390" s="153" t="str">
        <f t="shared" si="484"/>
        <v>OK</v>
      </c>
      <c r="DV390" s="153" t="str">
        <f t="shared" si="506"/>
        <v>OK</v>
      </c>
      <c r="DW390" s="154" t="str">
        <f t="shared" si="507"/>
        <v>OK</v>
      </c>
      <c r="DX390" s="157">
        <f t="shared" si="508"/>
        <v>0</v>
      </c>
      <c r="DY390" s="156" t="str">
        <f t="shared" si="509"/>
        <v>OK</v>
      </c>
    </row>
    <row r="391" spans="1:129" ht="13" hidden="1" x14ac:dyDescent="0.3">
      <c r="A391" s="333"/>
      <c r="B391" s="333"/>
      <c r="C391" s="332" t="str">
        <f t="shared" si="440"/>
        <v>-</v>
      </c>
      <c r="D391" s="584">
        <f t="shared" si="492"/>
        <v>368</v>
      </c>
      <c r="E391" s="585"/>
      <c r="F391" s="586"/>
      <c r="G391" s="600"/>
      <c r="H391" s="587"/>
      <c r="I391" s="601"/>
      <c r="J391" s="585"/>
      <c r="K391" s="617"/>
      <c r="L391" s="602"/>
      <c r="M391" s="603"/>
      <c r="N391" s="588"/>
      <c r="O391" s="604"/>
      <c r="P391" s="605"/>
      <c r="Q391" s="588"/>
      <c r="R391" s="604"/>
      <c r="S391" s="605"/>
      <c r="T391" s="606"/>
      <c r="U391" s="606"/>
      <c r="V391" s="429" t="str">
        <f t="shared" si="437"/>
        <v/>
      </c>
      <c r="W391" s="430" t="str">
        <f t="shared" si="436"/>
        <v/>
      </c>
      <c r="X391" s="66" t="str">
        <f>IF(AND(ISNUMBER(P391),N391=FixedDim),MAX('Adjustment factors'!$S$16,0.2+0.8*P391),IF(ISTEXT(N391),VLOOKUP(N391,Afactors,2,TRUE),""))</f>
        <v/>
      </c>
      <c r="Y391" s="17" t="str">
        <f>IF(AND(ISNUMBER(S391),Q391=FixedDim),MAX('Adjustment factors'!$S$16,0.2+0.8*S391),IF(ISTEXT(Q391),VLOOKUP(Q391,Afactors,2,TRUE),""))</f>
        <v/>
      </c>
      <c r="Z391" s="297" t="str">
        <f>IF(ISBLANK(T391),"",VLOOKUP(T391,'Adjustment factors'!$R$27:$S$30,2,TRUE))</f>
        <v/>
      </c>
      <c r="AA391" s="297" t="str">
        <f>IF(ISBLANK(U391),"",VLOOKUP(U391,'Adjustment factors'!$R$27:$S$30,2,TRUE))</f>
        <v/>
      </c>
      <c r="AB391" s="480">
        <f t="shared" si="485"/>
        <v>1</v>
      </c>
      <c r="AC391" s="18" t="b">
        <f t="shared" si="442"/>
        <v>0</v>
      </c>
      <c r="AD391" s="18" t="b">
        <f t="shared" si="443"/>
        <v>0</v>
      </c>
      <c r="AE391" s="18" t="b">
        <f t="shared" si="510"/>
        <v>0</v>
      </c>
      <c r="AF391" s="17" t="str">
        <f t="shared" si="444"/>
        <v/>
      </c>
      <c r="AG391" s="18" t="str">
        <f t="shared" si="445"/>
        <v/>
      </c>
      <c r="AH391" s="17" t="str">
        <f t="shared" si="511"/>
        <v/>
      </c>
      <c r="AI391" s="297" t="e">
        <f t="shared" si="486"/>
        <v>#VALUE!</v>
      </c>
      <c r="AJ391" s="79" t="e">
        <f t="shared" si="446"/>
        <v>#VALUE!</v>
      </c>
      <c r="AK391" s="17" t="str">
        <f t="shared" ref="AK391:AK423" si="512">IF(AD391,(AF391*(AG391+((1-AG391)/2))),"")</f>
        <v/>
      </c>
      <c r="AL391" s="80" t="e">
        <f t="shared" si="447"/>
        <v>#VALUE!</v>
      </c>
      <c r="AM391" s="139" t="b">
        <f t="shared" si="448"/>
        <v>1</v>
      </c>
      <c r="AN391" s="139" t="b">
        <f>AND(COUNTA(E391)&gt;0,ISNUMBER(F391),OR(COUNT(G391:H391)=0,COUNT(G391:H391)=2,AND(ISNUMBER(G391),ISNUMBER(VALUE(LEFT(H391,SUM(LEN(H391)-LEN(SUBSTITUTE(H391,{"0","1","2","3","4","5","6","7","8","9","."},"")))))))),ISNUMBER(I391),ISTEXT(J391))</f>
        <v>0</v>
      </c>
      <c r="AO391" s="19" t="b">
        <f t="shared" si="449"/>
        <v>0</v>
      </c>
      <c r="AP391" s="19" t="b">
        <f t="shared" si="450"/>
        <v>1</v>
      </c>
      <c r="AQ391" s="19" t="b">
        <f>IF(AND(COUNTBLANK(E391:J391)=6,OR(AN392:AN$523)),NOT(AN391))</f>
        <v>0</v>
      </c>
      <c r="AR391" s="19" t="str">
        <f t="shared" si="451"/>
        <v/>
      </c>
      <c r="AS391" s="19" t="b">
        <f t="shared" si="452"/>
        <v>1</v>
      </c>
      <c r="AT391" s="19" t="str">
        <f t="shared" si="453"/>
        <v/>
      </c>
      <c r="AU391" s="19" t="b">
        <f t="shared" si="454"/>
        <v>1</v>
      </c>
      <c r="AV391" s="140" t="str">
        <f t="shared" si="494"/>
        <v/>
      </c>
      <c r="AW391" s="19" t="str">
        <f t="shared" si="455"/>
        <v/>
      </c>
      <c r="AX391" s="81">
        <f t="shared" si="456"/>
        <v>0</v>
      </c>
      <c r="AY391" s="81" t="str">
        <f t="shared" si="457"/>
        <v/>
      </c>
      <c r="AZ391" s="307" t="str">
        <f t="shared" si="487"/>
        <v/>
      </c>
      <c r="BA391" s="281" t="str">
        <f t="shared" si="495"/>
        <v/>
      </c>
      <c r="BB391" s="281" t="str">
        <f t="shared" si="496"/>
        <v/>
      </c>
      <c r="BC391" s="953"/>
      <c r="BD391" s="955"/>
      <c r="BE391" s="219" t="str">
        <f t="shared" si="458"/>
        <v>n/a</v>
      </c>
      <c r="BF391" s="215" t="b">
        <f t="shared" si="459"/>
        <v>0</v>
      </c>
      <c r="BG391" s="145" t="b">
        <f t="shared" si="460"/>
        <v>0</v>
      </c>
      <c r="BH391" s="145" t="b">
        <f t="shared" si="461"/>
        <v>0</v>
      </c>
      <c r="BI391" s="216" t="b">
        <f t="shared" si="462"/>
        <v>0</v>
      </c>
      <c r="BJ391" s="215" t="b">
        <f t="shared" si="463"/>
        <v>0</v>
      </c>
      <c r="BK391" s="145" t="b">
        <f t="shared" si="464"/>
        <v>0</v>
      </c>
      <c r="BL391" s="216" t="b">
        <f t="shared" si="465"/>
        <v>0</v>
      </c>
      <c r="BM391" s="217" t="str">
        <f t="shared" si="497"/>
        <v/>
      </c>
      <c r="BN391" s="146" t="str">
        <f t="shared" si="498"/>
        <v/>
      </c>
      <c r="BO391" s="147" t="str">
        <f t="shared" si="499"/>
        <v/>
      </c>
      <c r="BP391" s="148" t="str">
        <f t="shared" si="500"/>
        <v/>
      </c>
      <c r="BT391" s="50">
        <f t="shared" si="493"/>
        <v>368</v>
      </c>
      <c r="BU391" s="50" t="str">
        <f t="shared" si="439"/>
        <v>-</v>
      </c>
      <c r="BW391" s="340"/>
      <c r="BX391" s="333"/>
      <c r="BY391" s="333"/>
      <c r="BZ391" s="333"/>
      <c r="CA391" s="333"/>
      <c r="CB391" s="333"/>
      <c r="CC391" s="333"/>
      <c r="CD391" s="333"/>
      <c r="CE391" s="333"/>
      <c r="CF391" s="333"/>
      <c r="CG391" s="354">
        <f t="shared" si="466"/>
        <v>368</v>
      </c>
      <c r="CH391" s="613">
        <f t="shared" si="467"/>
        <v>0</v>
      </c>
      <c r="CI391" s="613">
        <f t="shared" si="468"/>
        <v>0</v>
      </c>
      <c r="CJ391" s="614" t="str">
        <f t="shared" si="469"/>
        <v/>
      </c>
      <c r="CK391" s="615" t="str">
        <f t="shared" si="470"/>
        <v/>
      </c>
      <c r="CL391" s="610" t="str">
        <f>IF(ISBLANK(H391),"",IF(AND(ISNUMBER(F391),ISNUMBER(G391),ISNUMBER(H391)),ROUND(F391/(H391*G391),2),ROUND(F391/(VALUE(LEFT(H391,SUM(LEN(H391)-LEN(SUBSTITUTE(H391,{"0","1","2","3","4","5","6","7","8","9","."},"")))))*G391),2)))</f>
        <v/>
      </c>
      <c r="CM391" s="616" t="str">
        <f t="shared" si="501"/>
        <v/>
      </c>
      <c r="CN391" s="616" t="str">
        <f>IF(ISNUMBER(P391),MAX('Adjustment factors'!$S$16,(0.2+0.8*P391)),IF(ISTEXT(N391),VLOOKUP(N391,Afactors,2,FALSE),""))</f>
        <v/>
      </c>
      <c r="CO391" s="616" t="str">
        <f>IF(ISNUMBER(S391),MAX('Adjustment factors'!$S$16,0.2+0.8*S391),IF(ISTEXT(Q391),VLOOKUP(Q391,Afactors,2,FALSE),""))</f>
        <v/>
      </c>
      <c r="CP391" s="611" t="str">
        <f t="shared" si="488"/>
        <v/>
      </c>
      <c r="CQ391" s="612" t="str">
        <f t="shared" si="489"/>
        <v/>
      </c>
      <c r="CR391" s="340"/>
      <c r="CS391" s="340"/>
      <c r="CT391" s="340"/>
      <c r="CU391" s="340"/>
      <c r="CV391" s="333"/>
      <c r="CW391" s="333"/>
      <c r="CX391" s="333"/>
      <c r="CY391" s="333"/>
      <c r="DA391" s="313" t="str">
        <f t="shared" si="471"/>
        <v>OK</v>
      </c>
      <c r="DB391" s="313" t="str">
        <f t="shared" si="472"/>
        <v>OK</v>
      </c>
      <c r="DC391" s="313" t="str">
        <f t="shared" si="473"/>
        <v>OK</v>
      </c>
      <c r="DD391" s="313" t="str">
        <f t="shared" si="474"/>
        <v>OK</v>
      </c>
      <c r="DE391" s="153" t="str">
        <f t="shared" si="475"/>
        <v>OK</v>
      </c>
      <c r="DF391" s="314" t="str">
        <f t="shared" si="476"/>
        <v>OK</v>
      </c>
      <c r="DG391" s="482" t="str">
        <f t="shared" si="490"/>
        <v>OK</v>
      </c>
      <c r="DH391" s="482" t="str">
        <f>IF(OR(AND(T391='Adjustment factors'!$R$28,'Class 3, 5-9'!U391='Adjustment factors'!$R$29),AND('Class 3, 5-9'!T391='Adjustment factors'!$R$29,'Class 3, 5-9'!U391='Adjustment factors'!$R$28)),"Invalid combination of adjustment factors",IF(AND(T391=U391,NOT(ISBLANK(T391)),NOT(ISBLANK(U391))),"Same colour factor selected twice","OK"))</f>
        <v>OK</v>
      </c>
      <c r="DI391" s="313" t="str">
        <f t="shared" si="477"/>
        <v>OK</v>
      </c>
      <c r="DJ391" s="153" t="str">
        <f t="shared" si="502"/>
        <v>OK</v>
      </c>
      <c r="DK391" s="153" t="str">
        <f t="shared" si="478"/>
        <v>OK</v>
      </c>
      <c r="DL391" s="313" t="str">
        <f t="shared" si="479"/>
        <v>OK</v>
      </c>
      <c r="DM391" s="153" t="str">
        <f t="shared" si="480"/>
        <v>OK</v>
      </c>
      <c r="DN391" s="153" t="str">
        <f t="shared" si="503"/>
        <v>OK</v>
      </c>
      <c r="DO391" s="154" t="str">
        <f t="shared" si="504"/>
        <v>OK</v>
      </c>
      <c r="DP391" s="153" t="str">
        <f t="shared" si="481"/>
        <v>OK</v>
      </c>
      <c r="DQ391" s="313" t="str">
        <f t="shared" si="482"/>
        <v>OK</v>
      </c>
      <c r="DR391" s="153" t="str">
        <f t="shared" si="505"/>
        <v>OK</v>
      </c>
      <c r="DS391" s="153" t="str">
        <f t="shared" si="483"/>
        <v>OK</v>
      </c>
      <c r="DT391" s="313" t="str">
        <f t="shared" si="491"/>
        <v>OK</v>
      </c>
      <c r="DU391" s="153" t="str">
        <f t="shared" si="484"/>
        <v>OK</v>
      </c>
      <c r="DV391" s="153" t="str">
        <f t="shared" si="506"/>
        <v>OK</v>
      </c>
      <c r="DW391" s="154" t="str">
        <f t="shared" si="507"/>
        <v>OK</v>
      </c>
      <c r="DX391" s="157">
        <f t="shared" si="508"/>
        <v>0</v>
      </c>
      <c r="DY391" s="156" t="str">
        <f t="shared" si="509"/>
        <v>OK</v>
      </c>
    </row>
    <row r="392" spans="1:129" ht="13" hidden="1" x14ac:dyDescent="0.3">
      <c r="A392" s="333"/>
      <c r="B392" s="333"/>
      <c r="C392" s="332" t="str">
        <f t="shared" si="440"/>
        <v>-</v>
      </c>
      <c r="D392" s="584">
        <f t="shared" si="492"/>
        <v>369</v>
      </c>
      <c r="E392" s="585"/>
      <c r="F392" s="586"/>
      <c r="G392" s="600"/>
      <c r="H392" s="587"/>
      <c r="I392" s="601"/>
      <c r="J392" s="585"/>
      <c r="K392" s="617"/>
      <c r="L392" s="602"/>
      <c r="M392" s="603"/>
      <c r="N392" s="588"/>
      <c r="O392" s="604"/>
      <c r="P392" s="605"/>
      <c r="Q392" s="588"/>
      <c r="R392" s="604"/>
      <c r="S392" s="605"/>
      <c r="T392" s="606"/>
      <c r="U392" s="606"/>
      <c r="V392" s="429" t="str">
        <f t="shared" si="437"/>
        <v/>
      </c>
      <c r="W392" s="430" t="str">
        <f t="shared" ref="W392:W423" si="513">AW392</f>
        <v/>
      </c>
      <c r="X392" s="66" t="str">
        <f>IF(AND(ISNUMBER(P392),N392=FixedDim),MAX('Adjustment factors'!$S$16,0.2+0.8*P392),IF(ISTEXT(N392),VLOOKUP(N392,Afactors,2,TRUE),""))</f>
        <v/>
      </c>
      <c r="Y392" s="17" t="str">
        <f>IF(AND(ISNUMBER(S392),Q392=FixedDim),MAX('Adjustment factors'!$S$16,0.2+0.8*S392),IF(ISTEXT(Q392),VLOOKUP(Q392,Afactors,2,TRUE),""))</f>
        <v/>
      </c>
      <c r="Z392" s="297" t="str">
        <f>IF(ISBLANK(T392),"",VLOOKUP(T392,'Adjustment factors'!$R$27:$S$30,2,TRUE))</f>
        <v/>
      </c>
      <c r="AA392" s="297" t="str">
        <f>IF(ISBLANK(U392),"",VLOOKUP(U392,'Adjustment factors'!$R$27:$S$30,2,TRUE))</f>
        <v/>
      </c>
      <c r="AB392" s="480">
        <f t="shared" si="485"/>
        <v>1</v>
      </c>
      <c r="AC392" s="18" t="b">
        <f t="shared" si="442"/>
        <v>0</v>
      </c>
      <c r="AD392" s="18" t="b">
        <f t="shared" si="443"/>
        <v>0</v>
      </c>
      <c r="AE392" s="18" t="b">
        <f t="shared" si="510"/>
        <v>0</v>
      </c>
      <c r="AF392" s="17" t="str">
        <f t="shared" si="444"/>
        <v/>
      </c>
      <c r="AG392" s="18" t="str">
        <f t="shared" si="445"/>
        <v/>
      </c>
      <c r="AH392" s="17" t="str">
        <f t="shared" si="511"/>
        <v/>
      </c>
      <c r="AI392" s="297" t="e">
        <f t="shared" si="486"/>
        <v>#VALUE!</v>
      </c>
      <c r="AJ392" s="79" t="e">
        <f t="shared" si="446"/>
        <v>#VALUE!</v>
      </c>
      <c r="AK392" s="17" t="str">
        <f t="shared" si="512"/>
        <v/>
      </c>
      <c r="AL392" s="80" t="e">
        <f t="shared" si="447"/>
        <v>#VALUE!</v>
      </c>
      <c r="AM392" s="139" t="b">
        <f t="shared" si="448"/>
        <v>1</v>
      </c>
      <c r="AN392" s="139" t="b">
        <f>AND(COUNTA(E392)&gt;0,ISNUMBER(F392),OR(COUNT(G392:H392)=0,COUNT(G392:H392)=2,AND(ISNUMBER(G392),ISNUMBER(VALUE(LEFT(H392,SUM(LEN(H392)-LEN(SUBSTITUTE(H392,{"0","1","2","3","4","5","6","7","8","9","."},"")))))))),ISNUMBER(I392),ISTEXT(J392))</f>
        <v>0</v>
      </c>
      <c r="AO392" s="19" t="b">
        <f t="shared" si="449"/>
        <v>0</v>
      </c>
      <c r="AP392" s="19" t="b">
        <f t="shared" si="450"/>
        <v>1</v>
      </c>
      <c r="AQ392" s="19" t="b">
        <f>IF(AND(COUNTBLANK(E392:J392)=6,OR(AN393:AN$523)),NOT(AN392))</f>
        <v>0</v>
      </c>
      <c r="AR392" s="19" t="str">
        <f t="shared" si="451"/>
        <v/>
      </c>
      <c r="AS392" s="19" t="b">
        <f t="shared" si="452"/>
        <v>1</v>
      </c>
      <c r="AT392" s="19" t="str">
        <f t="shared" si="453"/>
        <v/>
      </c>
      <c r="AU392" s="19" t="b">
        <f t="shared" si="454"/>
        <v>1</v>
      </c>
      <c r="AV392" s="140" t="str">
        <f t="shared" si="494"/>
        <v/>
      </c>
      <c r="AW392" s="19" t="str">
        <f t="shared" si="455"/>
        <v/>
      </c>
      <c r="AX392" s="81">
        <f t="shared" si="456"/>
        <v>0</v>
      </c>
      <c r="AY392" s="81" t="str">
        <f t="shared" si="457"/>
        <v/>
      </c>
      <c r="AZ392" s="307" t="str">
        <f t="shared" si="487"/>
        <v/>
      </c>
      <c r="BA392" s="281" t="str">
        <f t="shared" si="495"/>
        <v/>
      </c>
      <c r="BB392" s="281" t="str">
        <f t="shared" si="496"/>
        <v/>
      </c>
      <c r="BC392" s="953"/>
      <c r="BD392" s="955"/>
      <c r="BE392" s="219" t="str">
        <f t="shared" si="458"/>
        <v>n/a</v>
      </c>
      <c r="BF392" s="215" t="b">
        <f t="shared" si="459"/>
        <v>0</v>
      </c>
      <c r="BG392" s="145" t="b">
        <f t="shared" si="460"/>
        <v>0</v>
      </c>
      <c r="BH392" s="145" t="b">
        <f t="shared" si="461"/>
        <v>0</v>
      </c>
      <c r="BI392" s="216" t="b">
        <f t="shared" si="462"/>
        <v>0</v>
      </c>
      <c r="BJ392" s="215" t="b">
        <f t="shared" si="463"/>
        <v>0</v>
      </c>
      <c r="BK392" s="145" t="b">
        <f t="shared" si="464"/>
        <v>0</v>
      </c>
      <c r="BL392" s="216" t="b">
        <f t="shared" si="465"/>
        <v>0</v>
      </c>
      <c r="BM392" s="217" t="str">
        <f t="shared" si="497"/>
        <v/>
      </c>
      <c r="BN392" s="146" t="str">
        <f t="shared" si="498"/>
        <v/>
      </c>
      <c r="BO392" s="147" t="str">
        <f t="shared" si="499"/>
        <v/>
      </c>
      <c r="BP392" s="148" t="str">
        <f t="shared" si="500"/>
        <v/>
      </c>
      <c r="BT392" s="50">
        <f t="shared" si="493"/>
        <v>369</v>
      </c>
      <c r="BU392" s="50" t="str">
        <f t="shared" si="439"/>
        <v>-</v>
      </c>
      <c r="BW392" s="340"/>
      <c r="BX392" s="333"/>
      <c r="BY392" s="333"/>
      <c r="BZ392" s="333"/>
      <c r="CA392" s="333"/>
      <c r="CB392" s="333"/>
      <c r="CC392" s="333"/>
      <c r="CD392" s="333"/>
      <c r="CE392" s="333"/>
      <c r="CF392" s="333"/>
      <c r="CG392" s="354">
        <f t="shared" si="466"/>
        <v>369</v>
      </c>
      <c r="CH392" s="613">
        <f t="shared" si="467"/>
        <v>0</v>
      </c>
      <c r="CI392" s="613">
        <f t="shared" si="468"/>
        <v>0</v>
      </c>
      <c r="CJ392" s="614" t="str">
        <f t="shared" si="469"/>
        <v/>
      </c>
      <c r="CK392" s="615" t="str">
        <f t="shared" si="470"/>
        <v/>
      </c>
      <c r="CL392" s="610" t="str">
        <f>IF(ISBLANK(H392),"",IF(AND(ISNUMBER(F392),ISNUMBER(G392),ISNUMBER(H392)),ROUND(F392/(H392*G392),2),ROUND(F392/(VALUE(LEFT(H392,SUM(LEN(H392)-LEN(SUBSTITUTE(H392,{"0","1","2","3","4","5","6","7","8","9","."},"")))))*G392),2)))</f>
        <v/>
      </c>
      <c r="CM392" s="616" t="str">
        <f t="shared" si="501"/>
        <v/>
      </c>
      <c r="CN392" s="616" t="str">
        <f>IF(ISNUMBER(P392),MAX('Adjustment factors'!$S$16,(0.2+0.8*P392)),IF(ISTEXT(N392),VLOOKUP(N392,Afactors,2,FALSE),""))</f>
        <v/>
      </c>
      <c r="CO392" s="616" t="str">
        <f>IF(ISNUMBER(S392),MAX('Adjustment factors'!$S$16,0.2+0.8*S392),IF(ISTEXT(Q392),VLOOKUP(Q392,Afactors,2,FALSE),""))</f>
        <v/>
      </c>
      <c r="CP392" s="611" t="str">
        <f t="shared" si="488"/>
        <v/>
      </c>
      <c r="CQ392" s="612" t="str">
        <f t="shared" si="489"/>
        <v/>
      </c>
      <c r="CR392" s="340"/>
      <c r="CS392" s="340"/>
      <c r="CT392" s="340"/>
      <c r="CU392" s="340"/>
      <c r="CV392" s="333"/>
      <c r="CW392" s="333"/>
      <c r="CX392" s="333"/>
      <c r="CY392" s="333"/>
      <c r="DA392" s="313" t="str">
        <f t="shared" si="471"/>
        <v>OK</v>
      </c>
      <c r="DB392" s="313" t="str">
        <f t="shared" si="472"/>
        <v>OK</v>
      </c>
      <c r="DC392" s="313" t="str">
        <f t="shared" si="473"/>
        <v>OK</v>
      </c>
      <c r="DD392" s="313" t="str">
        <f t="shared" si="474"/>
        <v>OK</v>
      </c>
      <c r="DE392" s="153" t="str">
        <f t="shared" si="475"/>
        <v>OK</v>
      </c>
      <c r="DF392" s="314" t="str">
        <f t="shared" si="476"/>
        <v>OK</v>
      </c>
      <c r="DG392" s="482" t="str">
        <f t="shared" si="490"/>
        <v>OK</v>
      </c>
      <c r="DH392" s="482" t="str">
        <f>IF(OR(AND(T392='Adjustment factors'!$R$28,'Class 3, 5-9'!U392='Adjustment factors'!$R$29),AND('Class 3, 5-9'!T392='Adjustment factors'!$R$29,'Class 3, 5-9'!U392='Adjustment factors'!$R$28)),"Invalid combination of adjustment factors",IF(AND(T392=U392,NOT(ISBLANK(T392)),NOT(ISBLANK(U392))),"Same colour factor selected twice","OK"))</f>
        <v>OK</v>
      </c>
      <c r="DI392" s="313" t="str">
        <f t="shared" si="477"/>
        <v>OK</v>
      </c>
      <c r="DJ392" s="153" t="str">
        <f t="shared" si="502"/>
        <v>OK</v>
      </c>
      <c r="DK392" s="153" t="str">
        <f t="shared" si="478"/>
        <v>OK</v>
      </c>
      <c r="DL392" s="313" t="str">
        <f t="shared" si="479"/>
        <v>OK</v>
      </c>
      <c r="DM392" s="153" t="str">
        <f t="shared" si="480"/>
        <v>OK</v>
      </c>
      <c r="DN392" s="153" t="str">
        <f t="shared" si="503"/>
        <v>OK</v>
      </c>
      <c r="DO392" s="154" t="str">
        <f t="shared" si="504"/>
        <v>OK</v>
      </c>
      <c r="DP392" s="153" t="str">
        <f t="shared" si="481"/>
        <v>OK</v>
      </c>
      <c r="DQ392" s="313" t="str">
        <f t="shared" si="482"/>
        <v>OK</v>
      </c>
      <c r="DR392" s="153" t="str">
        <f t="shared" si="505"/>
        <v>OK</v>
      </c>
      <c r="DS392" s="153" t="str">
        <f t="shared" si="483"/>
        <v>OK</v>
      </c>
      <c r="DT392" s="313" t="str">
        <f t="shared" si="491"/>
        <v>OK</v>
      </c>
      <c r="DU392" s="153" t="str">
        <f t="shared" si="484"/>
        <v>OK</v>
      </c>
      <c r="DV392" s="153" t="str">
        <f t="shared" si="506"/>
        <v>OK</v>
      </c>
      <c r="DW392" s="154" t="str">
        <f t="shared" si="507"/>
        <v>OK</v>
      </c>
      <c r="DX392" s="157">
        <f t="shared" si="508"/>
        <v>0</v>
      </c>
      <c r="DY392" s="156" t="str">
        <f t="shared" si="509"/>
        <v>OK</v>
      </c>
    </row>
    <row r="393" spans="1:129" ht="13" hidden="1" x14ac:dyDescent="0.3">
      <c r="A393" s="333"/>
      <c r="B393" s="333"/>
      <c r="C393" s="332" t="str">
        <f t="shared" si="440"/>
        <v>-</v>
      </c>
      <c r="D393" s="584">
        <f t="shared" si="492"/>
        <v>370</v>
      </c>
      <c r="E393" s="585"/>
      <c r="F393" s="586"/>
      <c r="G393" s="600"/>
      <c r="H393" s="587"/>
      <c r="I393" s="601"/>
      <c r="J393" s="585"/>
      <c r="K393" s="617"/>
      <c r="L393" s="602"/>
      <c r="M393" s="603"/>
      <c r="N393" s="588"/>
      <c r="O393" s="604"/>
      <c r="P393" s="605"/>
      <c r="Q393" s="588"/>
      <c r="R393" s="604"/>
      <c r="S393" s="605"/>
      <c r="T393" s="606"/>
      <c r="U393" s="606"/>
      <c r="V393" s="429" t="str">
        <f t="shared" si="437"/>
        <v/>
      </c>
      <c r="W393" s="430" t="str">
        <f t="shared" si="513"/>
        <v/>
      </c>
      <c r="X393" s="66" t="str">
        <f>IF(AND(ISNUMBER(P393),N393=FixedDim),MAX('Adjustment factors'!$S$16,0.2+0.8*P393),IF(ISTEXT(N393),VLOOKUP(N393,Afactors,2,TRUE),""))</f>
        <v/>
      </c>
      <c r="Y393" s="17" t="str">
        <f>IF(AND(ISNUMBER(S393),Q393=FixedDim),MAX('Adjustment factors'!$S$16,0.2+0.8*S393),IF(ISTEXT(Q393),VLOOKUP(Q393,Afactors,2,TRUE),""))</f>
        <v/>
      </c>
      <c r="Z393" s="297" t="str">
        <f>IF(ISBLANK(T393),"",VLOOKUP(T393,'Adjustment factors'!$R$27:$S$30,2,TRUE))</f>
        <v/>
      </c>
      <c r="AA393" s="297" t="str">
        <f>IF(ISBLANK(U393),"",VLOOKUP(U393,'Adjustment factors'!$R$27:$S$30,2,TRUE))</f>
        <v/>
      </c>
      <c r="AB393" s="480">
        <f t="shared" si="485"/>
        <v>1</v>
      </c>
      <c r="AC393" s="18" t="b">
        <f t="shared" si="442"/>
        <v>0</v>
      </c>
      <c r="AD393" s="18" t="b">
        <f t="shared" si="443"/>
        <v>0</v>
      </c>
      <c r="AE393" s="18" t="b">
        <f t="shared" si="510"/>
        <v>0</v>
      </c>
      <c r="AF393" s="17" t="str">
        <f t="shared" si="444"/>
        <v/>
      </c>
      <c r="AG393" s="18" t="str">
        <f t="shared" si="445"/>
        <v/>
      </c>
      <c r="AH393" s="17" t="str">
        <f t="shared" si="511"/>
        <v/>
      </c>
      <c r="AI393" s="297" t="e">
        <f t="shared" si="486"/>
        <v>#VALUE!</v>
      </c>
      <c r="AJ393" s="79" t="e">
        <f t="shared" si="446"/>
        <v>#VALUE!</v>
      </c>
      <c r="AK393" s="17" t="str">
        <f t="shared" si="512"/>
        <v/>
      </c>
      <c r="AL393" s="80" t="e">
        <f t="shared" si="447"/>
        <v>#VALUE!</v>
      </c>
      <c r="AM393" s="139" t="b">
        <f t="shared" si="448"/>
        <v>1</v>
      </c>
      <c r="AN393" s="139" t="b">
        <f>AND(COUNTA(E393)&gt;0,ISNUMBER(F393),OR(COUNT(G393:H393)=0,COUNT(G393:H393)=2,AND(ISNUMBER(G393),ISNUMBER(VALUE(LEFT(H393,SUM(LEN(H393)-LEN(SUBSTITUTE(H393,{"0","1","2","3","4","5","6","7","8","9","."},"")))))))),ISNUMBER(I393),ISTEXT(J393))</f>
        <v>0</v>
      </c>
      <c r="AO393" s="19" t="b">
        <f t="shared" si="449"/>
        <v>0</v>
      </c>
      <c r="AP393" s="19" t="b">
        <f t="shared" si="450"/>
        <v>1</v>
      </c>
      <c r="AQ393" s="19" t="b">
        <f>IF(AND(COUNTBLANK(E393:J393)=6,OR(AN394:AN$523)),NOT(AN393))</f>
        <v>0</v>
      </c>
      <c r="AR393" s="19" t="str">
        <f t="shared" si="451"/>
        <v/>
      </c>
      <c r="AS393" s="19" t="b">
        <f t="shared" si="452"/>
        <v>1</v>
      </c>
      <c r="AT393" s="19" t="str">
        <f t="shared" si="453"/>
        <v/>
      </c>
      <c r="AU393" s="19" t="b">
        <f t="shared" si="454"/>
        <v>1</v>
      </c>
      <c r="AV393" s="140" t="str">
        <f t="shared" si="494"/>
        <v/>
      </c>
      <c r="AW393" s="19" t="str">
        <f t="shared" si="455"/>
        <v/>
      </c>
      <c r="AX393" s="81">
        <f t="shared" si="456"/>
        <v>0</v>
      </c>
      <c r="AY393" s="81" t="str">
        <f t="shared" si="457"/>
        <v/>
      </c>
      <c r="AZ393" s="307" t="str">
        <f t="shared" si="487"/>
        <v/>
      </c>
      <c r="BA393" s="281" t="str">
        <f t="shared" si="495"/>
        <v/>
      </c>
      <c r="BB393" s="281" t="str">
        <f t="shared" si="496"/>
        <v/>
      </c>
      <c r="BC393" s="953"/>
      <c r="BD393" s="955"/>
      <c r="BE393" s="219" t="str">
        <f t="shared" si="458"/>
        <v>n/a</v>
      </c>
      <c r="BF393" s="215" t="b">
        <f t="shared" si="459"/>
        <v>0</v>
      </c>
      <c r="BG393" s="145" t="b">
        <f t="shared" si="460"/>
        <v>0</v>
      </c>
      <c r="BH393" s="145" t="b">
        <f t="shared" si="461"/>
        <v>0</v>
      </c>
      <c r="BI393" s="216" t="b">
        <f t="shared" si="462"/>
        <v>0</v>
      </c>
      <c r="BJ393" s="215" t="b">
        <f t="shared" si="463"/>
        <v>0</v>
      </c>
      <c r="BK393" s="145" t="b">
        <f t="shared" si="464"/>
        <v>0</v>
      </c>
      <c r="BL393" s="216" t="b">
        <f t="shared" si="465"/>
        <v>0</v>
      </c>
      <c r="BM393" s="217" t="str">
        <f t="shared" si="497"/>
        <v/>
      </c>
      <c r="BN393" s="146" t="str">
        <f t="shared" si="498"/>
        <v/>
      </c>
      <c r="BO393" s="147" t="str">
        <f t="shared" si="499"/>
        <v/>
      </c>
      <c r="BP393" s="148" t="str">
        <f t="shared" si="500"/>
        <v/>
      </c>
      <c r="BT393" s="50">
        <f t="shared" si="493"/>
        <v>370</v>
      </c>
      <c r="BU393" s="50" t="str">
        <f t="shared" si="439"/>
        <v>-</v>
      </c>
      <c r="BW393" s="340"/>
      <c r="BX393" s="333"/>
      <c r="BY393" s="333"/>
      <c r="BZ393" s="333"/>
      <c r="CA393" s="333"/>
      <c r="CB393" s="333"/>
      <c r="CC393" s="333"/>
      <c r="CD393" s="333"/>
      <c r="CE393" s="333"/>
      <c r="CF393" s="333"/>
      <c r="CG393" s="354">
        <f t="shared" si="466"/>
        <v>370</v>
      </c>
      <c r="CH393" s="613">
        <f t="shared" si="467"/>
        <v>0</v>
      </c>
      <c r="CI393" s="613">
        <f t="shared" si="468"/>
        <v>0</v>
      </c>
      <c r="CJ393" s="614" t="str">
        <f t="shared" si="469"/>
        <v/>
      </c>
      <c r="CK393" s="615" t="str">
        <f t="shared" si="470"/>
        <v/>
      </c>
      <c r="CL393" s="610" t="str">
        <f>IF(ISBLANK(H393),"",IF(AND(ISNUMBER(F393),ISNUMBER(G393),ISNUMBER(H393)),ROUND(F393/(H393*G393),2),ROUND(F393/(VALUE(LEFT(H393,SUM(LEN(H393)-LEN(SUBSTITUTE(H393,{"0","1","2","3","4","5","6","7","8","9","."},"")))))*G393),2)))</f>
        <v/>
      </c>
      <c r="CM393" s="616" t="str">
        <f t="shared" si="501"/>
        <v/>
      </c>
      <c r="CN393" s="616" t="str">
        <f>IF(ISNUMBER(P393),MAX('Adjustment factors'!$S$16,(0.2+0.8*P393)),IF(ISTEXT(N393),VLOOKUP(N393,Afactors,2,FALSE),""))</f>
        <v/>
      </c>
      <c r="CO393" s="616" t="str">
        <f>IF(ISNUMBER(S393),MAX('Adjustment factors'!$S$16,0.2+0.8*S393),IF(ISTEXT(Q393),VLOOKUP(Q393,Afactors,2,FALSE),""))</f>
        <v/>
      </c>
      <c r="CP393" s="611" t="str">
        <f t="shared" si="488"/>
        <v/>
      </c>
      <c r="CQ393" s="612" t="str">
        <f t="shared" si="489"/>
        <v/>
      </c>
      <c r="CR393" s="340"/>
      <c r="CS393" s="340"/>
      <c r="CT393" s="340"/>
      <c r="CU393" s="340"/>
      <c r="CV393" s="333"/>
      <c r="CW393" s="333"/>
      <c r="CX393" s="333"/>
      <c r="CY393" s="333"/>
      <c r="DA393" s="313" t="str">
        <f t="shared" si="471"/>
        <v>OK</v>
      </c>
      <c r="DB393" s="313" t="str">
        <f t="shared" si="472"/>
        <v>OK</v>
      </c>
      <c r="DC393" s="313" t="str">
        <f t="shared" si="473"/>
        <v>OK</v>
      </c>
      <c r="DD393" s="313" t="str">
        <f t="shared" si="474"/>
        <v>OK</v>
      </c>
      <c r="DE393" s="153" t="str">
        <f t="shared" si="475"/>
        <v>OK</v>
      </c>
      <c r="DF393" s="314" t="str">
        <f t="shared" si="476"/>
        <v>OK</v>
      </c>
      <c r="DG393" s="482" t="str">
        <f t="shared" si="490"/>
        <v>OK</v>
      </c>
      <c r="DH393" s="482" t="str">
        <f>IF(OR(AND(T393='Adjustment factors'!$R$28,'Class 3, 5-9'!U393='Adjustment factors'!$R$29),AND('Class 3, 5-9'!T393='Adjustment factors'!$R$29,'Class 3, 5-9'!U393='Adjustment factors'!$R$28)),"Invalid combination of adjustment factors",IF(AND(T393=U393,NOT(ISBLANK(T393)),NOT(ISBLANK(U393))),"Same colour factor selected twice","OK"))</f>
        <v>OK</v>
      </c>
      <c r="DI393" s="313" t="str">
        <f t="shared" si="477"/>
        <v>OK</v>
      </c>
      <c r="DJ393" s="153" t="str">
        <f t="shared" si="502"/>
        <v>OK</v>
      </c>
      <c r="DK393" s="153" t="str">
        <f t="shared" si="478"/>
        <v>OK</v>
      </c>
      <c r="DL393" s="313" t="str">
        <f t="shared" si="479"/>
        <v>OK</v>
      </c>
      <c r="DM393" s="153" t="str">
        <f t="shared" si="480"/>
        <v>OK</v>
      </c>
      <c r="DN393" s="153" t="str">
        <f t="shared" si="503"/>
        <v>OK</v>
      </c>
      <c r="DO393" s="154" t="str">
        <f t="shared" si="504"/>
        <v>OK</v>
      </c>
      <c r="DP393" s="153" t="str">
        <f t="shared" si="481"/>
        <v>OK</v>
      </c>
      <c r="DQ393" s="313" t="str">
        <f t="shared" si="482"/>
        <v>OK</v>
      </c>
      <c r="DR393" s="153" t="str">
        <f t="shared" si="505"/>
        <v>OK</v>
      </c>
      <c r="DS393" s="153" t="str">
        <f t="shared" si="483"/>
        <v>OK</v>
      </c>
      <c r="DT393" s="313" t="str">
        <f t="shared" si="491"/>
        <v>OK</v>
      </c>
      <c r="DU393" s="153" t="str">
        <f t="shared" si="484"/>
        <v>OK</v>
      </c>
      <c r="DV393" s="153" t="str">
        <f t="shared" si="506"/>
        <v>OK</v>
      </c>
      <c r="DW393" s="154" t="str">
        <f t="shared" si="507"/>
        <v>OK</v>
      </c>
      <c r="DX393" s="157">
        <f t="shared" si="508"/>
        <v>0</v>
      </c>
      <c r="DY393" s="156" t="str">
        <f t="shared" si="509"/>
        <v>OK</v>
      </c>
    </row>
    <row r="394" spans="1:129" ht="13" hidden="1" x14ac:dyDescent="0.3">
      <c r="A394" s="333"/>
      <c r="B394" s="333"/>
      <c r="C394" s="332" t="str">
        <f t="shared" si="440"/>
        <v>-</v>
      </c>
      <c r="D394" s="584">
        <f t="shared" si="492"/>
        <v>371</v>
      </c>
      <c r="E394" s="585"/>
      <c r="F394" s="586"/>
      <c r="G394" s="600"/>
      <c r="H394" s="587"/>
      <c r="I394" s="601"/>
      <c r="J394" s="585"/>
      <c r="K394" s="617"/>
      <c r="L394" s="602"/>
      <c r="M394" s="603"/>
      <c r="N394" s="588"/>
      <c r="O394" s="604"/>
      <c r="P394" s="605"/>
      <c r="Q394" s="588"/>
      <c r="R394" s="604"/>
      <c r="S394" s="605"/>
      <c r="T394" s="606"/>
      <c r="U394" s="606"/>
      <c r="V394" s="429" t="str">
        <f t="shared" ref="V394:V428" si="514">AV394</f>
        <v/>
      </c>
      <c r="W394" s="430" t="str">
        <f t="shared" si="513"/>
        <v/>
      </c>
      <c r="X394" s="66" t="str">
        <f>IF(AND(ISNUMBER(P394),N394=FixedDim),MAX('Adjustment factors'!$S$16,0.2+0.8*P394),IF(ISTEXT(N394),VLOOKUP(N394,Afactors,2,TRUE),""))</f>
        <v/>
      </c>
      <c r="Y394" s="17" t="str">
        <f>IF(AND(ISNUMBER(S394),Q394=FixedDim),MAX('Adjustment factors'!$S$16,0.2+0.8*S394),IF(ISTEXT(Q394),VLOOKUP(Q394,Afactors,2,TRUE),""))</f>
        <v/>
      </c>
      <c r="Z394" s="297" t="str">
        <f>IF(ISBLANK(T394),"",VLOOKUP(T394,'Adjustment factors'!$R$27:$S$30,2,TRUE))</f>
        <v/>
      </c>
      <c r="AA394" s="297" t="str">
        <f>IF(ISBLANK(U394),"",VLOOKUP(U394,'Adjustment factors'!$R$27:$S$30,2,TRUE))</f>
        <v/>
      </c>
      <c r="AB394" s="480">
        <f t="shared" si="485"/>
        <v>1</v>
      </c>
      <c r="AC394" s="18" t="b">
        <f t="shared" si="442"/>
        <v>0</v>
      </c>
      <c r="AD394" s="18" t="b">
        <f t="shared" si="443"/>
        <v>0</v>
      </c>
      <c r="AE394" s="18" t="b">
        <f t="shared" si="510"/>
        <v>0</v>
      </c>
      <c r="AF394" s="17" t="str">
        <f t="shared" si="444"/>
        <v/>
      </c>
      <c r="AG394" s="18" t="str">
        <f t="shared" si="445"/>
        <v/>
      </c>
      <c r="AH394" s="17" t="str">
        <f t="shared" si="511"/>
        <v/>
      </c>
      <c r="AI394" s="297" t="e">
        <f t="shared" si="486"/>
        <v>#VALUE!</v>
      </c>
      <c r="AJ394" s="79" t="e">
        <f t="shared" si="446"/>
        <v>#VALUE!</v>
      </c>
      <c r="AK394" s="17" t="str">
        <f t="shared" si="512"/>
        <v/>
      </c>
      <c r="AL394" s="80" t="e">
        <f t="shared" si="447"/>
        <v>#VALUE!</v>
      </c>
      <c r="AM394" s="139" t="b">
        <f t="shared" si="448"/>
        <v>1</v>
      </c>
      <c r="AN394" s="139" t="b">
        <f>AND(COUNTA(E394)&gt;0,ISNUMBER(F394),OR(COUNT(G394:H394)=0,COUNT(G394:H394)=2,AND(ISNUMBER(G394),ISNUMBER(VALUE(LEFT(H394,SUM(LEN(H394)-LEN(SUBSTITUTE(H394,{"0","1","2","3","4","5","6","7","8","9","."},"")))))))),ISNUMBER(I394),ISTEXT(J394))</f>
        <v>0</v>
      </c>
      <c r="AO394" s="19" t="b">
        <f t="shared" si="449"/>
        <v>0</v>
      </c>
      <c r="AP394" s="19" t="b">
        <f t="shared" si="450"/>
        <v>1</v>
      </c>
      <c r="AQ394" s="19" t="b">
        <f>IF(AND(COUNTBLANK(E394:J394)=6,OR(AN395:AN$523)),NOT(AN394))</f>
        <v>0</v>
      </c>
      <c r="AR394" s="19" t="str">
        <f t="shared" si="451"/>
        <v/>
      </c>
      <c r="AS394" s="19" t="b">
        <f t="shared" si="452"/>
        <v>1</v>
      </c>
      <c r="AT394" s="19" t="str">
        <f t="shared" si="453"/>
        <v/>
      </c>
      <c r="AU394" s="19" t="b">
        <f t="shared" si="454"/>
        <v>1</v>
      </c>
      <c r="AV394" s="140" t="str">
        <f t="shared" si="494"/>
        <v/>
      </c>
      <c r="AW394" s="19" t="str">
        <f t="shared" si="455"/>
        <v/>
      </c>
      <c r="AX394" s="81">
        <f t="shared" si="456"/>
        <v>0</v>
      </c>
      <c r="AY394" s="81" t="str">
        <f t="shared" si="457"/>
        <v/>
      </c>
      <c r="AZ394" s="307" t="str">
        <f t="shared" si="487"/>
        <v/>
      </c>
      <c r="BA394" s="281" t="str">
        <f t="shared" si="495"/>
        <v/>
      </c>
      <c r="BB394" s="281" t="str">
        <f t="shared" si="496"/>
        <v/>
      </c>
      <c r="BC394" s="953"/>
      <c r="BD394" s="955"/>
      <c r="BE394" s="219" t="str">
        <f t="shared" si="458"/>
        <v>n/a</v>
      </c>
      <c r="BF394" s="215" t="b">
        <f t="shared" si="459"/>
        <v>0</v>
      </c>
      <c r="BG394" s="145" t="b">
        <f t="shared" si="460"/>
        <v>0</v>
      </c>
      <c r="BH394" s="145" t="b">
        <f t="shared" si="461"/>
        <v>0</v>
      </c>
      <c r="BI394" s="216" t="b">
        <f t="shared" si="462"/>
        <v>0</v>
      </c>
      <c r="BJ394" s="215" t="b">
        <f t="shared" si="463"/>
        <v>0</v>
      </c>
      <c r="BK394" s="145" t="b">
        <f t="shared" si="464"/>
        <v>0</v>
      </c>
      <c r="BL394" s="216" t="b">
        <f t="shared" si="465"/>
        <v>0</v>
      </c>
      <c r="BM394" s="217" t="str">
        <f t="shared" si="497"/>
        <v/>
      </c>
      <c r="BN394" s="146" t="str">
        <f t="shared" si="498"/>
        <v/>
      </c>
      <c r="BO394" s="147" t="str">
        <f t="shared" si="499"/>
        <v/>
      </c>
      <c r="BP394" s="148" t="str">
        <f t="shared" si="500"/>
        <v/>
      </c>
      <c r="BT394" s="50">
        <f t="shared" si="493"/>
        <v>371</v>
      </c>
      <c r="BU394" s="50" t="str">
        <f t="shared" si="439"/>
        <v>-</v>
      </c>
      <c r="BW394" s="340"/>
      <c r="BX394" s="333"/>
      <c r="BY394" s="333"/>
      <c r="BZ394" s="333"/>
      <c r="CA394" s="333"/>
      <c r="CB394" s="333"/>
      <c r="CC394" s="333"/>
      <c r="CD394" s="333"/>
      <c r="CE394" s="333"/>
      <c r="CF394" s="333"/>
      <c r="CG394" s="354">
        <f t="shared" si="466"/>
        <v>371</v>
      </c>
      <c r="CH394" s="613">
        <f t="shared" si="467"/>
        <v>0</v>
      </c>
      <c r="CI394" s="613">
        <f t="shared" si="468"/>
        <v>0</v>
      </c>
      <c r="CJ394" s="614" t="str">
        <f t="shared" si="469"/>
        <v/>
      </c>
      <c r="CK394" s="615" t="str">
        <f t="shared" si="470"/>
        <v/>
      </c>
      <c r="CL394" s="610" t="str">
        <f>IF(ISBLANK(H394),"",IF(AND(ISNUMBER(F394),ISNUMBER(G394),ISNUMBER(H394)),ROUND(F394/(H394*G394),2),ROUND(F394/(VALUE(LEFT(H394,SUM(LEN(H394)-LEN(SUBSTITUTE(H394,{"0","1","2","3","4","5","6","7","8","9","."},"")))))*G394),2)))</f>
        <v/>
      </c>
      <c r="CM394" s="616" t="str">
        <f t="shared" si="501"/>
        <v/>
      </c>
      <c r="CN394" s="616" t="str">
        <f>IF(ISNUMBER(P394),MAX('Adjustment factors'!$S$16,(0.2+0.8*P394)),IF(ISTEXT(N394),VLOOKUP(N394,Afactors,2,FALSE),""))</f>
        <v/>
      </c>
      <c r="CO394" s="616" t="str">
        <f>IF(ISNUMBER(S394),MAX('Adjustment factors'!$S$16,0.2+0.8*S394),IF(ISTEXT(Q394),VLOOKUP(Q394,Afactors,2,FALSE),""))</f>
        <v/>
      </c>
      <c r="CP394" s="611" t="str">
        <f t="shared" si="488"/>
        <v/>
      </c>
      <c r="CQ394" s="612" t="str">
        <f t="shared" si="489"/>
        <v/>
      </c>
      <c r="CR394" s="340"/>
      <c r="CS394" s="340"/>
      <c r="CT394" s="340"/>
      <c r="CU394" s="340"/>
      <c r="CV394" s="333"/>
      <c r="CW394" s="333"/>
      <c r="CX394" s="333"/>
      <c r="CY394" s="333"/>
      <c r="DA394" s="313" t="str">
        <f t="shared" si="471"/>
        <v>OK</v>
      </c>
      <c r="DB394" s="313" t="str">
        <f t="shared" si="472"/>
        <v>OK</v>
      </c>
      <c r="DC394" s="313" t="str">
        <f t="shared" si="473"/>
        <v>OK</v>
      </c>
      <c r="DD394" s="313" t="str">
        <f t="shared" si="474"/>
        <v>OK</v>
      </c>
      <c r="DE394" s="153" t="str">
        <f t="shared" si="475"/>
        <v>OK</v>
      </c>
      <c r="DF394" s="314" t="str">
        <f t="shared" si="476"/>
        <v>OK</v>
      </c>
      <c r="DG394" s="482" t="str">
        <f t="shared" si="490"/>
        <v>OK</v>
      </c>
      <c r="DH394" s="482" t="str">
        <f>IF(OR(AND(T394='Adjustment factors'!$R$28,'Class 3, 5-9'!U394='Adjustment factors'!$R$29),AND('Class 3, 5-9'!T394='Adjustment factors'!$R$29,'Class 3, 5-9'!U394='Adjustment factors'!$R$28)),"Invalid combination of adjustment factors",IF(AND(T394=U394,NOT(ISBLANK(T394)),NOT(ISBLANK(U394))),"Same colour factor selected twice","OK"))</f>
        <v>OK</v>
      </c>
      <c r="DI394" s="313" t="str">
        <f t="shared" si="477"/>
        <v>OK</v>
      </c>
      <c r="DJ394" s="153" t="str">
        <f t="shared" si="502"/>
        <v>OK</v>
      </c>
      <c r="DK394" s="153" t="str">
        <f t="shared" si="478"/>
        <v>OK</v>
      </c>
      <c r="DL394" s="313" t="str">
        <f t="shared" si="479"/>
        <v>OK</v>
      </c>
      <c r="DM394" s="153" t="str">
        <f t="shared" si="480"/>
        <v>OK</v>
      </c>
      <c r="DN394" s="153" t="str">
        <f t="shared" si="503"/>
        <v>OK</v>
      </c>
      <c r="DO394" s="154" t="str">
        <f t="shared" si="504"/>
        <v>OK</v>
      </c>
      <c r="DP394" s="153" t="str">
        <f t="shared" si="481"/>
        <v>OK</v>
      </c>
      <c r="DQ394" s="313" t="str">
        <f t="shared" si="482"/>
        <v>OK</v>
      </c>
      <c r="DR394" s="153" t="str">
        <f t="shared" si="505"/>
        <v>OK</v>
      </c>
      <c r="DS394" s="153" t="str">
        <f t="shared" si="483"/>
        <v>OK</v>
      </c>
      <c r="DT394" s="313" t="str">
        <f t="shared" si="491"/>
        <v>OK</v>
      </c>
      <c r="DU394" s="153" t="str">
        <f t="shared" si="484"/>
        <v>OK</v>
      </c>
      <c r="DV394" s="153" t="str">
        <f t="shared" si="506"/>
        <v>OK</v>
      </c>
      <c r="DW394" s="154" t="str">
        <f t="shared" si="507"/>
        <v>OK</v>
      </c>
      <c r="DX394" s="157">
        <f t="shared" si="508"/>
        <v>0</v>
      </c>
      <c r="DY394" s="156" t="str">
        <f t="shared" si="509"/>
        <v>OK</v>
      </c>
    </row>
    <row r="395" spans="1:129" ht="13" hidden="1" x14ac:dyDescent="0.3">
      <c r="A395" s="333"/>
      <c r="B395" s="333"/>
      <c r="C395" s="332" t="str">
        <f t="shared" si="440"/>
        <v>-</v>
      </c>
      <c r="D395" s="584">
        <f t="shared" si="492"/>
        <v>372</v>
      </c>
      <c r="E395" s="585"/>
      <c r="F395" s="586"/>
      <c r="G395" s="600"/>
      <c r="H395" s="587"/>
      <c r="I395" s="601"/>
      <c r="J395" s="585"/>
      <c r="K395" s="617"/>
      <c r="L395" s="602"/>
      <c r="M395" s="603"/>
      <c r="N395" s="588"/>
      <c r="O395" s="604"/>
      <c r="P395" s="605"/>
      <c r="Q395" s="588"/>
      <c r="R395" s="604"/>
      <c r="S395" s="605"/>
      <c r="T395" s="606"/>
      <c r="U395" s="606"/>
      <c r="V395" s="429" t="str">
        <f t="shared" si="514"/>
        <v/>
      </c>
      <c r="W395" s="430" t="str">
        <f t="shared" si="513"/>
        <v/>
      </c>
      <c r="X395" s="66" t="str">
        <f>IF(AND(ISNUMBER(P395),N395=FixedDim),MAX('Adjustment factors'!$S$16,0.2+0.8*P395),IF(ISTEXT(N395),VLOOKUP(N395,Afactors,2,TRUE),""))</f>
        <v/>
      </c>
      <c r="Y395" s="17" t="str">
        <f>IF(AND(ISNUMBER(S395),Q395=FixedDim),MAX('Adjustment factors'!$S$16,0.2+0.8*S395),IF(ISTEXT(Q395),VLOOKUP(Q395,Afactors,2,TRUE),""))</f>
        <v/>
      </c>
      <c r="Z395" s="297" t="str">
        <f>IF(ISBLANK(T395),"",VLOOKUP(T395,'Adjustment factors'!$R$27:$S$30,2,TRUE))</f>
        <v/>
      </c>
      <c r="AA395" s="297" t="str">
        <f>IF(ISBLANK(U395),"",VLOOKUP(U395,'Adjustment factors'!$R$27:$S$30,2,TRUE))</f>
        <v/>
      </c>
      <c r="AB395" s="480">
        <f t="shared" si="485"/>
        <v>1</v>
      </c>
      <c r="AC395" s="18" t="b">
        <f t="shared" si="442"/>
        <v>0</v>
      </c>
      <c r="AD395" s="18" t="b">
        <f t="shared" si="443"/>
        <v>0</v>
      </c>
      <c r="AE395" s="18" t="b">
        <f t="shared" si="510"/>
        <v>0</v>
      </c>
      <c r="AF395" s="17" t="str">
        <f t="shared" si="444"/>
        <v/>
      </c>
      <c r="AG395" s="18" t="str">
        <f t="shared" si="445"/>
        <v/>
      </c>
      <c r="AH395" s="17" t="str">
        <f t="shared" si="511"/>
        <v/>
      </c>
      <c r="AI395" s="297" t="e">
        <f t="shared" si="486"/>
        <v>#VALUE!</v>
      </c>
      <c r="AJ395" s="79" t="e">
        <f t="shared" si="446"/>
        <v>#VALUE!</v>
      </c>
      <c r="AK395" s="17" t="str">
        <f t="shared" si="512"/>
        <v/>
      </c>
      <c r="AL395" s="80" t="e">
        <f t="shared" si="447"/>
        <v>#VALUE!</v>
      </c>
      <c r="AM395" s="139" t="b">
        <f t="shared" si="448"/>
        <v>1</v>
      </c>
      <c r="AN395" s="139" t="b">
        <f>AND(COUNTA(E395)&gt;0,ISNUMBER(F395),OR(COUNT(G395:H395)=0,COUNT(G395:H395)=2,AND(ISNUMBER(G395),ISNUMBER(VALUE(LEFT(H395,SUM(LEN(H395)-LEN(SUBSTITUTE(H395,{"0","1","2","3","4","5","6","7","8","9","."},"")))))))),ISNUMBER(I395),ISTEXT(J395))</f>
        <v>0</v>
      </c>
      <c r="AO395" s="19" t="b">
        <f t="shared" si="449"/>
        <v>0</v>
      </c>
      <c r="AP395" s="19" t="b">
        <f t="shared" si="450"/>
        <v>1</v>
      </c>
      <c r="AQ395" s="19" t="b">
        <f>IF(AND(COUNTBLANK(E395:J395)=6,OR(AN396:AN$523)),NOT(AN395))</f>
        <v>0</v>
      </c>
      <c r="AR395" s="19" t="str">
        <f t="shared" si="451"/>
        <v/>
      </c>
      <c r="AS395" s="19" t="b">
        <f t="shared" si="452"/>
        <v>1</v>
      </c>
      <c r="AT395" s="19" t="str">
        <f t="shared" si="453"/>
        <v/>
      </c>
      <c r="AU395" s="19" t="b">
        <f t="shared" si="454"/>
        <v>1</v>
      </c>
      <c r="AV395" s="140" t="str">
        <f t="shared" si="494"/>
        <v/>
      </c>
      <c r="AW395" s="19" t="str">
        <f t="shared" si="455"/>
        <v/>
      </c>
      <c r="AX395" s="81">
        <f t="shared" si="456"/>
        <v>0</v>
      </c>
      <c r="AY395" s="81" t="str">
        <f t="shared" si="457"/>
        <v/>
      </c>
      <c r="AZ395" s="307" t="str">
        <f t="shared" si="487"/>
        <v/>
      </c>
      <c r="BA395" s="281" t="str">
        <f t="shared" si="495"/>
        <v/>
      </c>
      <c r="BB395" s="281" t="str">
        <f t="shared" si="496"/>
        <v/>
      </c>
      <c r="BC395" s="953"/>
      <c r="BD395" s="955"/>
      <c r="BE395" s="219" t="str">
        <f t="shared" si="458"/>
        <v>n/a</v>
      </c>
      <c r="BF395" s="215" t="b">
        <f t="shared" si="459"/>
        <v>0</v>
      </c>
      <c r="BG395" s="145" t="b">
        <f t="shared" si="460"/>
        <v>0</v>
      </c>
      <c r="BH395" s="145" t="b">
        <f t="shared" si="461"/>
        <v>0</v>
      </c>
      <c r="BI395" s="216" t="b">
        <f t="shared" si="462"/>
        <v>0</v>
      </c>
      <c r="BJ395" s="215" t="b">
        <f t="shared" si="463"/>
        <v>0</v>
      </c>
      <c r="BK395" s="145" t="b">
        <f t="shared" si="464"/>
        <v>0</v>
      </c>
      <c r="BL395" s="216" t="b">
        <f t="shared" si="465"/>
        <v>0</v>
      </c>
      <c r="BM395" s="217" t="str">
        <f t="shared" si="497"/>
        <v/>
      </c>
      <c r="BN395" s="146" t="str">
        <f t="shared" si="498"/>
        <v/>
      </c>
      <c r="BO395" s="147" t="str">
        <f t="shared" si="499"/>
        <v/>
      </c>
      <c r="BP395" s="148" t="str">
        <f t="shared" si="500"/>
        <v/>
      </c>
      <c r="BT395" s="50">
        <f t="shared" si="493"/>
        <v>372</v>
      </c>
      <c r="BU395" s="50" t="str">
        <f t="shared" si="439"/>
        <v>-</v>
      </c>
      <c r="BW395" s="340"/>
      <c r="BX395" s="333"/>
      <c r="BY395" s="333"/>
      <c r="BZ395" s="333"/>
      <c r="CA395" s="333"/>
      <c r="CB395" s="333"/>
      <c r="CC395" s="333"/>
      <c r="CD395" s="333"/>
      <c r="CE395" s="333"/>
      <c r="CF395" s="333"/>
      <c r="CG395" s="354">
        <f t="shared" si="466"/>
        <v>372</v>
      </c>
      <c r="CH395" s="613">
        <f t="shared" si="467"/>
        <v>0</v>
      </c>
      <c r="CI395" s="613">
        <f t="shared" si="468"/>
        <v>0</v>
      </c>
      <c r="CJ395" s="614" t="str">
        <f t="shared" si="469"/>
        <v/>
      </c>
      <c r="CK395" s="615" t="str">
        <f t="shared" si="470"/>
        <v/>
      </c>
      <c r="CL395" s="610" t="str">
        <f>IF(ISBLANK(H395),"",IF(AND(ISNUMBER(F395),ISNUMBER(G395),ISNUMBER(H395)),ROUND(F395/(H395*G395),2),ROUND(F395/(VALUE(LEFT(H395,SUM(LEN(H395)-LEN(SUBSTITUTE(H395,{"0","1","2","3","4","5","6","7","8","9","."},"")))))*G395),2)))</f>
        <v/>
      </c>
      <c r="CM395" s="616" t="str">
        <f t="shared" si="501"/>
        <v/>
      </c>
      <c r="CN395" s="616" t="str">
        <f>IF(ISNUMBER(P395),MAX('Adjustment factors'!$S$16,(0.2+0.8*P395)),IF(ISTEXT(N395),VLOOKUP(N395,Afactors,2,FALSE),""))</f>
        <v/>
      </c>
      <c r="CO395" s="616" t="str">
        <f>IF(ISNUMBER(S395),MAX('Adjustment factors'!$S$16,0.2+0.8*S395),IF(ISTEXT(Q395),VLOOKUP(Q395,Afactors,2,FALSE),""))</f>
        <v/>
      </c>
      <c r="CP395" s="611" t="str">
        <f t="shared" si="488"/>
        <v/>
      </c>
      <c r="CQ395" s="612" t="str">
        <f t="shared" si="489"/>
        <v/>
      </c>
      <c r="CR395" s="340"/>
      <c r="CS395" s="340"/>
      <c r="CT395" s="340"/>
      <c r="CU395" s="340"/>
      <c r="CV395" s="333"/>
      <c r="CW395" s="333"/>
      <c r="CX395" s="333"/>
      <c r="CY395" s="333"/>
      <c r="DA395" s="313" t="str">
        <f t="shared" si="471"/>
        <v>OK</v>
      </c>
      <c r="DB395" s="313" t="str">
        <f t="shared" si="472"/>
        <v>OK</v>
      </c>
      <c r="DC395" s="313" t="str">
        <f t="shared" si="473"/>
        <v>OK</v>
      </c>
      <c r="DD395" s="313" t="str">
        <f t="shared" si="474"/>
        <v>OK</v>
      </c>
      <c r="DE395" s="153" t="str">
        <f t="shared" si="475"/>
        <v>OK</v>
      </c>
      <c r="DF395" s="314" t="str">
        <f t="shared" si="476"/>
        <v>OK</v>
      </c>
      <c r="DG395" s="482" t="str">
        <f t="shared" si="490"/>
        <v>OK</v>
      </c>
      <c r="DH395" s="482" t="str">
        <f>IF(OR(AND(T395='Adjustment factors'!$R$28,'Class 3, 5-9'!U395='Adjustment factors'!$R$29),AND('Class 3, 5-9'!T395='Adjustment factors'!$R$29,'Class 3, 5-9'!U395='Adjustment factors'!$R$28)),"Invalid combination of adjustment factors",IF(AND(T395=U395,NOT(ISBLANK(T395)),NOT(ISBLANK(U395))),"Same colour factor selected twice","OK"))</f>
        <v>OK</v>
      </c>
      <c r="DI395" s="313" t="str">
        <f t="shared" si="477"/>
        <v>OK</v>
      </c>
      <c r="DJ395" s="153" t="str">
        <f t="shared" si="502"/>
        <v>OK</v>
      </c>
      <c r="DK395" s="153" t="str">
        <f t="shared" si="478"/>
        <v>OK</v>
      </c>
      <c r="DL395" s="313" t="str">
        <f t="shared" si="479"/>
        <v>OK</v>
      </c>
      <c r="DM395" s="153" t="str">
        <f t="shared" si="480"/>
        <v>OK</v>
      </c>
      <c r="DN395" s="153" t="str">
        <f t="shared" si="503"/>
        <v>OK</v>
      </c>
      <c r="DO395" s="154" t="str">
        <f t="shared" si="504"/>
        <v>OK</v>
      </c>
      <c r="DP395" s="153" t="str">
        <f t="shared" si="481"/>
        <v>OK</v>
      </c>
      <c r="DQ395" s="313" t="str">
        <f t="shared" si="482"/>
        <v>OK</v>
      </c>
      <c r="DR395" s="153" t="str">
        <f t="shared" si="505"/>
        <v>OK</v>
      </c>
      <c r="DS395" s="153" t="str">
        <f t="shared" si="483"/>
        <v>OK</v>
      </c>
      <c r="DT395" s="313" t="str">
        <f t="shared" si="491"/>
        <v>OK</v>
      </c>
      <c r="DU395" s="153" t="str">
        <f t="shared" si="484"/>
        <v>OK</v>
      </c>
      <c r="DV395" s="153" t="str">
        <f t="shared" si="506"/>
        <v>OK</v>
      </c>
      <c r="DW395" s="154" t="str">
        <f t="shared" si="507"/>
        <v>OK</v>
      </c>
      <c r="DX395" s="157">
        <f t="shared" si="508"/>
        <v>0</v>
      </c>
      <c r="DY395" s="156" t="str">
        <f t="shared" si="509"/>
        <v>OK</v>
      </c>
    </row>
    <row r="396" spans="1:129" ht="13" hidden="1" x14ac:dyDescent="0.3">
      <c r="A396" s="333"/>
      <c r="B396" s="333"/>
      <c r="C396" s="332" t="str">
        <f t="shared" si="440"/>
        <v>-</v>
      </c>
      <c r="D396" s="584">
        <f t="shared" si="492"/>
        <v>373</v>
      </c>
      <c r="E396" s="585"/>
      <c r="F396" s="586"/>
      <c r="G396" s="600"/>
      <c r="H396" s="587"/>
      <c r="I396" s="601"/>
      <c r="J396" s="585"/>
      <c r="K396" s="617"/>
      <c r="L396" s="602"/>
      <c r="M396" s="603"/>
      <c r="N396" s="588"/>
      <c r="O396" s="604"/>
      <c r="P396" s="605"/>
      <c r="Q396" s="588"/>
      <c r="R396" s="604"/>
      <c r="S396" s="605"/>
      <c r="T396" s="606"/>
      <c r="U396" s="606"/>
      <c r="V396" s="429" t="str">
        <f t="shared" si="514"/>
        <v/>
      </c>
      <c r="W396" s="430" t="str">
        <f t="shared" si="513"/>
        <v/>
      </c>
      <c r="X396" s="66" t="str">
        <f>IF(AND(ISNUMBER(P396),N396=FixedDim),MAX('Adjustment factors'!$S$16,0.2+0.8*P396),IF(ISTEXT(N396),VLOOKUP(N396,Afactors,2,TRUE),""))</f>
        <v/>
      </c>
      <c r="Y396" s="17" t="str">
        <f>IF(AND(ISNUMBER(S396),Q396=FixedDim),MAX('Adjustment factors'!$S$16,0.2+0.8*S396),IF(ISTEXT(Q396),VLOOKUP(Q396,Afactors,2,TRUE),""))</f>
        <v/>
      </c>
      <c r="Z396" s="297" t="str">
        <f>IF(ISBLANK(T396),"",VLOOKUP(T396,'Adjustment factors'!$R$27:$S$30,2,TRUE))</f>
        <v/>
      </c>
      <c r="AA396" s="297" t="str">
        <f>IF(ISBLANK(U396),"",VLOOKUP(U396,'Adjustment factors'!$R$27:$S$30,2,TRUE))</f>
        <v/>
      </c>
      <c r="AB396" s="480">
        <f t="shared" si="485"/>
        <v>1</v>
      </c>
      <c r="AC396" s="18" t="b">
        <f t="shared" si="442"/>
        <v>0</v>
      </c>
      <c r="AD396" s="18" t="b">
        <f t="shared" si="443"/>
        <v>0</v>
      </c>
      <c r="AE396" s="18" t="b">
        <f t="shared" si="510"/>
        <v>0</v>
      </c>
      <c r="AF396" s="17" t="str">
        <f t="shared" si="444"/>
        <v/>
      </c>
      <c r="AG396" s="18" t="str">
        <f t="shared" si="445"/>
        <v/>
      </c>
      <c r="AH396" s="17" t="str">
        <f t="shared" si="511"/>
        <v/>
      </c>
      <c r="AI396" s="297" t="e">
        <f t="shared" si="486"/>
        <v>#VALUE!</v>
      </c>
      <c r="AJ396" s="79" t="e">
        <f t="shared" si="446"/>
        <v>#VALUE!</v>
      </c>
      <c r="AK396" s="17" t="str">
        <f t="shared" si="512"/>
        <v/>
      </c>
      <c r="AL396" s="80" t="e">
        <f t="shared" si="447"/>
        <v>#VALUE!</v>
      </c>
      <c r="AM396" s="139" t="b">
        <f t="shared" si="448"/>
        <v>1</v>
      </c>
      <c r="AN396" s="139" t="b">
        <f>AND(COUNTA(E396)&gt;0,ISNUMBER(F396),OR(COUNT(G396:H396)=0,COUNT(G396:H396)=2,AND(ISNUMBER(G396),ISNUMBER(VALUE(LEFT(H396,SUM(LEN(H396)-LEN(SUBSTITUTE(H396,{"0","1","2","3","4","5","6","7","8","9","."},"")))))))),ISNUMBER(I396),ISTEXT(J396))</f>
        <v>0</v>
      </c>
      <c r="AO396" s="19" t="b">
        <f t="shared" si="449"/>
        <v>0</v>
      </c>
      <c r="AP396" s="19" t="b">
        <f t="shared" si="450"/>
        <v>1</v>
      </c>
      <c r="AQ396" s="19" t="b">
        <f>IF(AND(COUNTBLANK(E396:J396)=6,OR(AN397:AN$523)),NOT(AN396))</f>
        <v>0</v>
      </c>
      <c r="AR396" s="19" t="str">
        <f t="shared" si="451"/>
        <v/>
      </c>
      <c r="AS396" s="19" t="b">
        <f t="shared" si="452"/>
        <v>1</v>
      </c>
      <c r="AT396" s="19" t="str">
        <f t="shared" si="453"/>
        <v/>
      </c>
      <c r="AU396" s="19" t="b">
        <f t="shared" si="454"/>
        <v>1</v>
      </c>
      <c r="AV396" s="140" t="str">
        <f t="shared" si="494"/>
        <v/>
      </c>
      <c r="AW396" s="19" t="str">
        <f t="shared" si="455"/>
        <v/>
      </c>
      <c r="AX396" s="81">
        <f t="shared" si="456"/>
        <v>0</v>
      </c>
      <c r="AY396" s="81" t="str">
        <f t="shared" si="457"/>
        <v/>
      </c>
      <c r="AZ396" s="307" t="str">
        <f t="shared" si="487"/>
        <v/>
      </c>
      <c r="BA396" s="281" t="str">
        <f t="shared" si="495"/>
        <v/>
      </c>
      <c r="BB396" s="281" t="str">
        <f t="shared" si="496"/>
        <v/>
      </c>
      <c r="BC396" s="953"/>
      <c r="BD396" s="955"/>
      <c r="BE396" s="219" t="str">
        <f t="shared" si="458"/>
        <v>n/a</v>
      </c>
      <c r="BF396" s="215" t="b">
        <f t="shared" si="459"/>
        <v>0</v>
      </c>
      <c r="BG396" s="145" t="b">
        <f t="shared" si="460"/>
        <v>0</v>
      </c>
      <c r="BH396" s="145" t="b">
        <f t="shared" si="461"/>
        <v>0</v>
      </c>
      <c r="BI396" s="216" t="b">
        <f t="shared" si="462"/>
        <v>0</v>
      </c>
      <c r="BJ396" s="215" t="b">
        <f t="shared" si="463"/>
        <v>0</v>
      </c>
      <c r="BK396" s="145" t="b">
        <f t="shared" si="464"/>
        <v>0</v>
      </c>
      <c r="BL396" s="216" t="b">
        <f t="shared" si="465"/>
        <v>0</v>
      </c>
      <c r="BM396" s="217" t="str">
        <f t="shared" si="497"/>
        <v/>
      </c>
      <c r="BN396" s="146" t="str">
        <f t="shared" si="498"/>
        <v/>
      </c>
      <c r="BO396" s="147" t="str">
        <f t="shared" si="499"/>
        <v/>
      </c>
      <c r="BP396" s="148" t="str">
        <f t="shared" si="500"/>
        <v/>
      </c>
      <c r="BT396" s="50">
        <f t="shared" si="493"/>
        <v>373</v>
      </c>
      <c r="BU396" s="50" t="str">
        <f t="shared" si="439"/>
        <v>-</v>
      </c>
      <c r="BW396" s="340"/>
      <c r="BX396" s="333"/>
      <c r="BY396" s="333"/>
      <c r="BZ396" s="333"/>
      <c r="CA396" s="333"/>
      <c r="CB396" s="333"/>
      <c r="CC396" s="333"/>
      <c r="CD396" s="333"/>
      <c r="CE396" s="333"/>
      <c r="CF396" s="333"/>
      <c r="CG396" s="354">
        <f t="shared" si="466"/>
        <v>373</v>
      </c>
      <c r="CH396" s="613">
        <f t="shared" si="467"/>
        <v>0</v>
      </c>
      <c r="CI396" s="613">
        <f t="shared" si="468"/>
        <v>0</v>
      </c>
      <c r="CJ396" s="614" t="str">
        <f t="shared" si="469"/>
        <v/>
      </c>
      <c r="CK396" s="615" t="str">
        <f t="shared" si="470"/>
        <v/>
      </c>
      <c r="CL396" s="610" t="str">
        <f>IF(ISBLANK(H396),"",IF(AND(ISNUMBER(F396),ISNUMBER(G396),ISNUMBER(H396)),ROUND(F396/(H396*G396),2),ROUND(F396/(VALUE(LEFT(H396,SUM(LEN(H396)-LEN(SUBSTITUTE(H396,{"0","1","2","3","4","5","6","7","8","9","."},"")))))*G396),2)))</f>
        <v/>
      </c>
      <c r="CM396" s="616" t="str">
        <f t="shared" si="501"/>
        <v/>
      </c>
      <c r="CN396" s="616" t="str">
        <f>IF(ISNUMBER(P396),MAX('Adjustment factors'!$S$16,(0.2+0.8*P396)),IF(ISTEXT(N396),VLOOKUP(N396,Afactors,2,FALSE),""))</f>
        <v/>
      </c>
      <c r="CO396" s="616" t="str">
        <f>IF(ISNUMBER(S396),MAX('Adjustment factors'!$S$16,0.2+0.8*S396),IF(ISTEXT(Q396),VLOOKUP(Q396,Afactors,2,FALSE),""))</f>
        <v/>
      </c>
      <c r="CP396" s="611" t="str">
        <f t="shared" si="488"/>
        <v/>
      </c>
      <c r="CQ396" s="612" t="str">
        <f t="shared" si="489"/>
        <v/>
      </c>
      <c r="CR396" s="340"/>
      <c r="CS396" s="340"/>
      <c r="CT396" s="340"/>
      <c r="CU396" s="340"/>
      <c r="CV396" s="333"/>
      <c r="CW396" s="333"/>
      <c r="CX396" s="333"/>
      <c r="CY396" s="333"/>
      <c r="DA396" s="313" t="str">
        <f t="shared" si="471"/>
        <v>OK</v>
      </c>
      <c r="DB396" s="313" t="str">
        <f t="shared" si="472"/>
        <v>OK</v>
      </c>
      <c r="DC396" s="313" t="str">
        <f t="shared" si="473"/>
        <v>OK</v>
      </c>
      <c r="DD396" s="313" t="str">
        <f t="shared" si="474"/>
        <v>OK</v>
      </c>
      <c r="DE396" s="153" t="str">
        <f t="shared" si="475"/>
        <v>OK</v>
      </c>
      <c r="DF396" s="314" t="str">
        <f t="shared" si="476"/>
        <v>OK</v>
      </c>
      <c r="DG396" s="482" t="str">
        <f t="shared" si="490"/>
        <v>OK</v>
      </c>
      <c r="DH396" s="482" t="str">
        <f>IF(OR(AND(T396='Adjustment factors'!$R$28,'Class 3, 5-9'!U396='Adjustment factors'!$R$29),AND('Class 3, 5-9'!T396='Adjustment factors'!$R$29,'Class 3, 5-9'!U396='Adjustment factors'!$R$28)),"Invalid combination of adjustment factors",IF(AND(T396=U396,NOT(ISBLANK(T396)),NOT(ISBLANK(U396))),"Same colour factor selected twice","OK"))</f>
        <v>OK</v>
      </c>
      <c r="DI396" s="313" t="str">
        <f t="shared" si="477"/>
        <v>OK</v>
      </c>
      <c r="DJ396" s="153" t="str">
        <f t="shared" si="502"/>
        <v>OK</v>
      </c>
      <c r="DK396" s="153" t="str">
        <f t="shared" si="478"/>
        <v>OK</v>
      </c>
      <c r="DL396" s="313" t="str">
        <f t="shared" si="479"/>
        <v>OK</v>
      </c>
      <c r="DM396" s="153" t="str">
        <f t="shared" si="480"/>
        <v>OK</v>
      </c>
      <c r="DN396" s="153" t="str">
        <f t="shared" si="503"/>
        <v>OK</v>
      </c>
      <c r="DO396" s="154" t="str">
        <f t="shared" si="504"/>
        <v>OK</v>
      </c>
      <c r="DP396" s="153" t="str">
        <f t="shared" si="481"/>
        <v>OK</v>
      </c>
      <c r="DQ396" s="313" t="str">
        <f t="shared" si="482"/>
        <v>OK</v>
      </c>
      <c r="DR396" s="153" t="str">
        <f t="shared" si="505"/>
        <v>OK</v>
      </c>
      <c r="DS396" s="153" t="str">
        <f t="shared" si="483"/>
        <v>OK</v>
      </c>
      <c r="DT396" s="313" t="str">
        <f t="shared" si="491"/>
        <v>OK</v>
      </c>
      <c r="DU396" s="153" t="str">
        <f t="shared" si="484"/>
        <v>OK</v>
      </c>
      <c r="DV396" s="153" t="str">
        <f t="shared" si="506"/>
        <v>OK</v>
      </c>
      <c r="DW396" s="154" t="str">
        <f t="shared" si="507"/>
        <v>OK</v>
      </c>
      <c r="DX396" s="157">
        <f t="shared" si="508"/>
        <v>0</v>
      </c>
      <c r="DY396" s="156" t="str">
        <f t="shared" si="509"/>
        <v>OK</v>
      </c>
    </row>
    <row r="397" spans="1:129" ht="13" hidden="1" x14ac:dyDescent="0.3">
      <c r="A397" s="333"/>
      <c r="B397" s="333"/>
      <c r="C397" s="332" t="str">
        <f t="shared" si="440"/>
        <v>-</v>
      </c>
      <c r="D397" s="584">
        <f t="shared" si="492"/>
        <v>374</v>
      </c>
      <c r="E397" s="585"/>
      <c r="F397" s="586"/>
      <c r="G397" s="600"/>
      <c r="H397" s="587"/>
      <c r="I397" s="601"/>
      <c r="J397" s="585"/>
      <c r="K397" s="617"/>
      <c r="L397" s="602"/>
      <c r="M397" s="603"/>
      <c r="N397" s="588"/>
      <c r="O397" s="604"/>
      <c r="P397" s="605"/>
      <c r="Q397" s="588"/>
      <c r="R397" s="604"/>
      <c r="S397" s="605"/>
      <c r="T397" s="606"/>
      <c r="U397" s="606"/>
      <c r="V397" s="429" t="str">
        <f t="shared" si="514"/>
        <v/>
      </c>
      <c r="W397" s="430" t="str">
        <f t="shared" si="513"/>
        <v/>
      </c>
      <c r="X397" s="66" t="str">
        <f>IF(AND(ISNUMBER(P397),N397=FixedDim),MAX('Adjustment factors'!$S$16,0.2+0.8*P397),IF(ISTEXT(N397),VLOOKUP(N397,Afactors,2,TRUE),""))</f>
        <v/>
      </c>
      <c r="Y397" s="17" t="str">
        <f>IF(AND(ISNUMBER(S397),Q397=FixedDim),MAX('Adjustment factors'!$S$16,0.2+0.8*S397),IF(ISTEXT(Q397),VLOOKUP(Q397,Afactors,2,TRUE),""))</f>
        <v/>
      </c>
      <c r="Z397" s="297" t="str">
        <f>IF(ISBLANK(T397),"",VLOOKUP(T397,'Adjustment factors'!$R$27:$S$30,2,TRUE))</f>
        <v/>
      </c>
      <c r="AA397" s="297" t="str">
        <f>IF(ISBLANK(U397),"",VLOOKUP(U397,'Adjustment factors'!$R$27:$S$30,2,TRUE))</f>
        <v/>
      </c>
      <c r="AB397" s="480">
        <f t="shared" si="485"/>
        <v>1</v>
      </c>
      <c r="AC397" s="18" t="b">
        <f t="shared" si="442"/>
        <v>0</v>
      </c>
      <c r="AD397" s="18" t="b">
        <f t="shared" si="443"/>
        <v>0</v>
      </c>
      <c r="AE397" s="18" t="b">
        <f t="shared" si="510"/>
        <v>0</v>
      </c>
      <c r="AF397" s="17" t="str">
        <f t="shared" si="444"/>
        <v/>
      </c>
      <c r="AG397" s="18" t="str">
        <f t="shared" si="445"/>
        <v/>
      </c>
      <c r="AH397" s="17" t="str">
        <f t="shared" si="511"/>
        <v/>
      </c>
      <c r="AI397" s="297" t="e">
        <f t="shared" si="486"/>
        <v>#VALUE!</v>
      </c>
      <c r="AJ397" s="79" t="e">
        <f t="shared" si="446"/>
        <v>#VALUE!</v>
      </c>
      <c r="AK397" s="17" t="str">
        <f t="shared" si="512"/>
        <v/>
      </c>
      <c r="AL397" s="80" t="e">
        <f t="shared" si="447"/>
        <v>#VALUE!</v>
      </c>
      <c r="AM397" s="139" t="b">
        <f t="shared" si="448"/>
        <v>1</v>
      </c>
      <c r="AN397" s="139" t="b">
        <f>AND(COUNTA(E397)&gt;0,ISNUMBER(F397),OR(COUNT(G397:H397)=0,COUNT(G397:H397)=2,AND(ISNUMBER(G397),ISNUMBER(VALUE(LEFT(H397,SUM(LEN(H397)-LEN(SUBSTITUTE(H397,{"0","1","2","3","4","5","6","7","8","9","."},"")))))))),ISNUMBER(I397),ISTEXT(J397))</f>
        <v>0</v>
      </c>
      <c r="AO397" s="19" t="b">
        <f t="shared" si="449"/>
        <v>0</v>
      </c>
      <c r="AP397" s="19" t="b">
        <f t="shared" si="450"/>
        <v>1</v>
      </c>
      <c r="AQ397" s="19" t="b">
        <f>IF(AND(COUNTBLANK(E397:J397)=6,OR(AN398:AN$523)),NOT(AN397))</f>
        <v>0</v>
      </c>
      <c r="AR397" s="19" t="str">
        <f t="shared" si="451"/>
        <v/>
      </c>
      <c r="AS397" s="19" t="b">
        <f t="shared" si="452"/>
        <v>1</v>
      </c>
      <c r="AT397" s="19" t="str">
        <f t="shared" si="453"/>
        <v/>
      </c>
      <c r="AU397" s="19" t="b">
        <f t="shared" si="454"/>
        <v>1</v>
      </c>
      <c r="AV397" s="140" t="str">
        <f t="shared" si="494"/>
        <v/>
      </c>
      <c r="AW397" s="19" t="str">
        <f t="shared" si="455"/>
        <v/>
      </c>
      <c r="AX397" s="81">
        <f t="shared" si="456"/>
        <v>0</v>
      </c>
      <c r="AY397" s="81" t="str">
        <f t="shared" si="457"/>
        <v/>
      </c>
      <c r="AZ397" s="307" t="str">
        <f t="shared" si="487"/>
        <v/>
      </c>
      <c r="BA397" s="281" t="str">
        <f t="shared" si="495"/>
        <v/>
      </c>
      <c r="BB397" s="281" t="str">
        <f t="shared" si="496"/>
        <v/>
      </c>
      <c r="BC397" s="953"/>
      <c r="BD397" s="955"/>
      <c r="BE397" s="219" t="str">
        <f t="shared" si="458"/>
        <v>n/a</v>
      </c>
      <c r="BF397" s="215" t="b">
        <f t="shared" si="459"/>
        <v>0</v>
      </c>
      <c r="BG397" s="145" t="b">
        <f t="shared" si="460"/>
        <v>0</v>
      </c>
      <c r="BH397" s="145" t="b">
        <f t="shared" si="461"/>
        <v>0</v>
      </c>
      <c r="BI397" s="216" t="b">
        <f t="shared" si="462"/>
        <v>0</v>
      </c>
      <c r="BJ397" s="215" t="b">
        <f t="shared" si="463"/>
        <v>0</v>
      </c>
      <c r="BK397" s="145" t="b">
        <f t="shared" si="464"/>
        <v>0</v>
      </c>
      <c r="BL397" s="216" t="b">
        <f t="shared" si="465"/>
        <v>0</v>
      </c>
      <c r="BM397" s="217" t="str">
        <f t="shared" si="497"/>
        <v/>
      </c>
      <c r="BN397" s="146" t="str">
        <f t="shared" si="498"/>
        <v/>
      </c>
      <c r="BO397" s="147" t="str">
        <f t="shared" si="499"/>
        <v/>
      </c>
      <c r="BP397" s="148" t="str">
        <f t="shared" si="500"/>
        <v/>
      </c>
      <c r="BT397" s="50">
        <f t="shared" si="493"/>
        <v>374</v>
      </c>
      <c r="BU397" s="50" t="str">
        <f t="shared" si="439"/>
        <v>-</v>
      </c>
      <c r="BW397" s="340"/>
      <c r="BX397" s="333"/>
      <c r="BY397" s="333"/>
      <c r="BZ397" s="333"/>
      <c r="CA397" s="333"/>
      <c r="CB397" s="333"/>
      <c r="CC397" s="333"/>
      <c r="CD397" s="333"/>
      <c r="CE397" s="333"/>
      <c r="CF397" s="333"/>
      <c r="CG397" s="354">
        <f t="shared" si="466"/>
        <v>374</v>
      </c>
      <c r="CH397" s="613">
        <f t="shared" si="467"/>
        <v>0</v>
      </c>
      <c r="CI397" s="613">
        <f t="shared" si="468"/>
        <v>0</v>
      </c>
      <c r="CJ397" s="614" t="str">
        <f t="shared" si="469"/>
        <v/>
      </c>
      <c r="CK397" s="615" t="str">
        <f t="shared" si="470"/>
        <v/>
      </c>
      <c r="CL397" s="610" t="str">
        <f>IF(ISBLANK(H397),"",IF(AND(ISNUMBER(F397),ISNUMBER(G397),ISNUMBER(H397)),ROUND(F397/(H397*G397),2),ROUND(F397/(VALUE(LEFT(H397,SUM(LEN(H397)-LEN(SUBSTITUTE(H397,{"0","1","2","3","4","5","6","7","8","9","."},"")))))*G397),2)))</f>
        <v/>
      </c>
      <c r="CM397" s="616" t="str">
        <f t="shared" si="501"/>
        <v/>
      </c>
      <c r="CN397" s="616" t="str">
        <f>IF(ISNUMBER(P397),MAX('Adjustment factors'!$S$16,(0.2+0.8*P397)),IF(ISTEXT(N397),VLOOKUP(N397,Afactors,2,FALSE),""))</f>
        <v/>
      </c>
      <c r="CO397" s="616" t="str">
        <f>IF(ISNUMBER(S397),MAX('Adjustment factors'!$S$16,0.2+0.8*S397),IF(ISTEXT(Q397),VLOOKUP(Q397,Afactors,2,FALSE),""))</f>
        <v/>
      </c>
      <c r="CP397" s="611" t="str">
        <f t="shared" si="488"/>
        <v/>
      </c>
      <c r="CQ397" s="612" t="str">
        <f t="shared" si="489"/>
        <v/>
      </c>
      <c r="CR397" s="340"/>
      <c r="CS397" s="340"/>
      <c r="CT397" s="340"/>
      <c r="CU397" s="340"/>
      <c r="CV397" s="333"/>
      <c r="CW397" s="333"/>
      <c r="CX397" s="333"/>
      <c r="CY397" s="333"/>
      <c r="DA397" s="313" t="str">
        <f t="shared" si="471"/>
        <v>OK</v>
      </c>
      <c r="DB397" s="313" t="str">
        <f t="shared" si="472"/>
        <v>OK</v>
      </c>
      <c r="DC397" s="313" t="str">
        <f t="shared" si="473"/>
        <v>OK</v>
      </c>
      <c r="DD397" s="313" t="str">
        <f t="shared" si="474"/>
        <v>OK</v>
      </c>
      <c r="DE397" s="153" t="str">
        <f t="shared" si="475"/>
        <v>OK</v>
      </c>
      <c r="DF397" s="314" t="str">
        <f t="shared" si="476"/>
        <v>OK</v>
      </c>
      <c r="DG397" s="482" t="str">
        <f t="shared" si="490"/>
        <v>OK</v>
      </c>
      <c r="DH397" s="482" t="str">
        <f>IF(OR(AND(T397='Adjustment factors'!$R$28,'Class 3, 5-9'!U397='Adjustment factors'!$R$29),AND('Class 3, 5-9'!T397='Adjustment factors'!$R$29,'Class 3, 5-9'!U397='Adjustment factors'!$R$28)),"Invalid combination of adjustment factors",IF(AND(T397=U397,NOT(ISBLANK(T397)),NOT(ISBLANK(U397))),"Same colour factor selected twice","OK"))</f>
        <v>OK</v>
      </c>
      <c r="DI397" s="313" t="str">
        <f t="shared" si="477"/>
        <v>OK</v>
      </c>
      <c r="DJ397" s="153" t="str">
        <f t="shared" si="502"/>
        <v>OK</v>
      </c>
      <c r="DK397" s="153" t="str">
        <f t="shared" si="478"/>
        <v>OK</v>
      </c>
      <c r="DL397" s="313" t="str">
        <f t="shared" si="479"/>
        <v>OK</v>
      </c>
      <c r="DM397" s="153" t="str">
        <f t="shared" si="480"/>
        <v>OK</v>
      </c>
      <c r="DN397" s="153" t="str">
        <f t="shared" si="503"/>
        <v>OK</v>
      </c>
      <c r="DO397" s="154" t="str">
        <f t="shared" si="504"/>
        <v>OK</v>
      </c>
      <c r="DP397" s="153" t="str">
        <f t="shared" si="481"/>
        <v>OK</v>
      </c>
      <c r="DQ397" s="313" t="str">
        <f t="shared" si="482"/>
        <v>OK</v>
      </c>
      <c r="DR397" s="153" t="str">
        <f t="shared" si="505"/>
        <v>OK</v>
      </c>
      <c r="DS397" s="153" t="str">
        <f t="shared" si="483"/>
        <v>OK</v>
      </c>
      <c r="DT397" s="313" t="str">
        <f t="shared" si="491"/>
        <v>OK</v>
      </c>
      <c r="DU397" s="153" t="str">
        <f t="shared" si="484"/>
        <v>OK</v>
      </c>
      <c r="DV397" s="153" t="str">
        <f t="shared" si="506"/>
        <v>OK</v>
      </c>
      <c r="DW397" s="154" t="str">
        <f t="shared" si="507"/>
        <v>OK</v>
      </c>
      <c r="DX397" s="157">
        <f t="shared" si="508"/>
        <v>0</v>
      </c>
      <c r="DY397" s="156" t="str">
        <f t="shared" si="509"/>
        <v>OK</v>
      </c>
    </row>
    <row r="398" spans="1:129" ht="13" hidden="1" x14ac:dyDescent="0.3">
      <c r="A398" s="333"/>
      <c r="B398" s="333"/>
      <c r="C398" s="332" t="str">
        <f t="shared" si="440"/>
        <v>-</v>
      </c>
      <c r="D398" s="584">
        <f t="shared" si="492"/>
        <v>375</v>
      </c>
      <c r="E398" s="585"/>
      <c r="F398" s="586"/>
      <c r="G398" s="600"/>
      <c r="H398" s="587"/>
      <c r="I398" s="601"/>
      <c r="J398" s="585"/>
      <c r="K398" s="617"/>
      <c r="L398" s="602"/>
      <c r="M398" s="603"/>
      <c r="N398" s="588"/>
      <c r="O398" s="604"/>
      <c r="P398" s="605"/>
      <c r="Q398" s="588"/>
      <c r="R398" s="604"/>
      <c r="S398" s="605"/>
      <c r="T398" s="606"/>
      <c r="U398" s="606"/>
      <c r="V398" s="429" t="str">
        <f t="shared" si="514"/>
        <v/>
      </c>
      <c r="W398" s="430" t="str">
        <f t="shared" si="513"/>
        <v/>
      </c>
      <c r="X398" s="66" t="str">
        <f>IF(AND(ISNUMBER(P398),N398=FixedDim),MAX('Adjustment factors'!$S$16,0.2+0.8*P398),IF(ISTEXT(N398),VLOOKUP(N398,Afactors,2,TRUE),""))</f>
        <v/>
      </c>
      <c r="Y398" s="17" t="str">
        <f>IF(AND(ISNUMBER(S398),Q398=FixedDim),MAX('Adjustment factors'!$S$16,0.2+0.8*S398),IF(ISTEXT(Q398),VLOOKUP(Q398,Afactors,2,TRUE),""))</f>
        <v/>
      </c>
      <c r="Z398" s="297" t="str">
        <f>IF(ISBLANK(T398),"",VLOOKUP(T398,'Adjustment factors'!$R$27:$S$30,2,TRUE))</f>
        <v/>
      </c>
      <c r="AA398" s="297" t="str">
        <f>IF(ISBLANK(U398),"",VLOOKUP(U398,'Adjustment factors'!$R$27:$S$30,2,TRUE))</f>
        <v/>
      </c>
      <c r="AB398" s="480">
        <f t="shared" si="485"/>
        <v>1</v>
      </c>
      <c r="AC398" s="18" t="b">
        <f t="shared" si="442"/>
        <v>0</v>
      </c>
      <c r="AD398" s="18" t="b">
        <f t="shared" si="443"/>
        <v>0</v>
      </c>
      <c r="AE398" s="18" t="b">
        <f t="shared" si="510"/>
        <v>0</v>
      </c>
      <c r="AF398" s="17" t="str">
        <f t="shared" si="444"/>
        <v/>
      </c>
      <c r="AG398" s="18" t="str">
        <f t="shared" si="445"/>
        <v/>
      </c>
      <c r="AH398" s="17" t="str">
        <f t="shared" si="511"/>
        <v/>
      </c>
      <c r="AI398" s="297" t="e">
        <f t="shared" si="486"/>
        <v>#VALUE!</v>
      </c>
      <c r="AJ398" s="79" t="e">
        <f t="shared" si="446"/>
        <v>#VALUE!</v>
      </c>
      <c r="AK398" s="17" t="str">
        <f t="shared" si="512"/>
        <v/>
      </c>
      <c r="AL398" s="80" t="e">
        <f t="shared" si="447"/>
        <v>#VALUE!</v>
      </c>
      <c r="AM398" s="139" t="b">
        <f t="shared" si="448"/>
        <v>1</v>
      </c>
      <c r="AN398" s="139" t="b">
        <f>AND(COUNTA(E398)&gt;0,ISNUMBER(F398),OR(COUNT(G398:H398)=0,COUNT(G398:H398)=2,AND(ISNUMBER(G398),ISNUMBER(VALUE(LEFT(H398,SUM(LEN(H398)-LEN(SUBSTITUTE(H398,{"0","1","2","3","4","5","6","7","8","9","."},"")))))))),ISNUMBER(I398),ISTEXT(J398))</f>
        <v>0</v>
      </c>
      <c r="AO398" s="19" t="b">
        <f t="shared" si="449"/>
        <v>0</v>
      </c>
      <c r="AP398" s="19" t="b">
        <f t="shared" si="450"/>
        <v>1</v>
      </c>
      <c r="AQ398" s="19" t="b">
        <f>IF(AND(COUNTBLANK(E398:J398)=6,OR(AN399:AN$523)),NOT(AN398))</f>
        <v>0</v>
      </c>
      <c r="AR398" s="19" t="str">
        <f t="shared" si="451"/>
        <v/>
      </c>
      <c r="AS398" s="19" t="b">
        <f t="shared" si="452"/>
        <v>1</v>
      </c>
      <c r="AT398" s="19" t="str">
        <f t="shared" si="453"/>
        <v/>
      </c>
      <c r="AU398" s="19" t="b">
        <f t="shared" si="454"/>
        <v>1</v>
      </c>
      <c r="AV398" s="140" t="str">
        <f t="shared" si="494"/>
        <v/>
      </c>
      <c r="AW398" s="19" t="str">
        <f t="shared" si="455"/>
        <v/>
      </c>
      <c r="AX398" s="81">
        <f t="shared" si="456"/>
        <v>0</v>
      </c>
      <c r="AY398" s="81" t="str">
        <f t="shared" si="457"/>
        <v/>
      </c>
      <c r="AZ398" s="307" t="str">
        <f t="shared" si="487"/>
        <v/>
      </c>
      <c r="BA398" s="281" t="str">
        <f t="shared" si="495"/>
        <v/>
      </c>
      <c r="BB398" s="281" t="str">
        <f t="shared" si="496"/>
        <v/>
      </c>
      <c r="BC398" s="953"/>
      <c r="BD398" s="955"/>
      <c r="BE398" s="219" t="str">
        <f t="shared" si="458"/>
        <v>n/a</v>
      </c>
      <c r="BF398" s="215" t="b">
        <f t="shared" si="459"/>
        <v>0</v>
      </c>
      <c r="BG398" s="145" t="b">
        <f t="shared" si="460"/>
        <v>0</v>
      </c>
      <c r="BH398" s="145" t="b">
        <f t="shared" si="461"/>
        <v>0</v>
      </c>
      <c r="BI398" s="216" t="b">
        <f t="shared" si="462"/>
        <v>0</v>
      </c>
      <c r="BJ398" s="215" t="b">
        <f t="shared" si="463"/>
        <v>0</v>
      </c>
      <c r="BK398" s="145" t="b">
        <f t="shared" si="464"/>
        <v>0</v>
      </c>
      <c r="BL398" s="216" t="b">
        <f t="shared" si="465"/>
        <v>0</v>
      </c>
      <c r="BM398" s="217" t="str">
        <f t="shared" si="497"/>
        <v/>
      </c>
      <c r="BN398" s="146" t="str">
        <f t="shared" si="498"/>
        <v/>
      </c>
      <c r="BO398" s="147" t="str">
        <f t="shared" si="499"/>
        <v/>
      </c>
      <c r="BP398" s="148" t="str">
        <f t="shared" si="500"/>
        <v/>
      </c>
      <c r="BT398" s="50">
        <f t="shared" si="493"/>
        <v>375</v>
      </c>
      <c r="BU398" s="50" t="str">
        <f t="shared" ref="BU398:BU428" si="515">IF(RowsPreferredOne&gt;=BT398,RowsPreferredOne,"-")</f>
        <v>-</v>
      </c>
      <c r="BW398" s="340"/>
      <c r="BX398" s="333"/>
      <c r="BY398" s="333"/>
      <c r="BZ398" s="333"/>
      <c r="CA398" s="333"/>
      <c r="CB398" s="333"/>
      <c r="CC398" s="333"/>
      <c r="CD398" s="333"/>
      <c r="CE398" s="333"/>
      <c r="CF398" s="333"/>
      <c r="CG398" s="354">
        <f t="shared" si="466"/>
        <v>375</v>
      </c>
      <c r="CH398" s="613">
        <f t="shared" si="467"/>
        <v>0</v>
      </c>
      <c r="CI398" s="613">
        <f t="shared" si="468"/>
        <v>0</v>
      </c>
      <c r="CJ398" s="614" t="str">
        <f t="shared" si="469"/>
        <v/>
      </c>
      <c r="CK398" s="615" t="str">
        <f t="shared" si="470"/>
        <v/>
      </c>
      <c r="CL398" s="610" t="str">
        <f>IF(ISBLANK(H398),"",IF(AND(ISNUMBER(F398),ISNUMBER(G398),ISNUMBER(H398)),ROUND(F398/(H398*G398),2),ROUND(F398/(VALUE(LEFT(H398,SUM(LEN(H398)-LEN(SUBSTITUTE(H398,{"0","1","2","3","4","5","6","7","8","9","."},"")))))*G398),2)))</f>
        <v/>
      </c>
      <c r="CM398" s="616" t="str">
        <f t="shared" si="501"/>
        <v/>
      </c>
      <c r="CN398" s="616" t="str">
        <f>IF(ISNUMBER(P398),MAX('Adjustment factors'!$S$16,(0.2+0.8*P398)),IF(ISTEXT(N398),VLOOKUP(N398,Afactors,2,FALSE),""))</f>
        <v/>
      </c>
      <c r="CO398" s="616" t="str">
        <f>IF(ISNUMBER(S398),MAX('Adjustment factors'!$S$16,0.2+0.8*S398),IF(ISTEXT(Q398),VLOOKUP(Q398,Afactors,2,FALSE),""))</f>
        <v/>
      </c>
      <c r="CP398" s="611" t="str">
        <f t="shared" si="488"/>
        <v/>
      </c>
      <c r="CQ398" s="612" t="str">
        <f t="shared" si="489"/>
        <v/>
      </c>
      <c r="CR398" s="340"/>
      <c r="CS398" s="340"/>
      <c r="CT398" s="340"/>
      <c r="CU398" s="340"/>
      <c r="CV398" s="333"/>
      <c r="CW398" s="333"/>
      <c r="CX398" s="333"/>
      <c r="CY398" s="333"/>
      <c r="DA398" s="313" t="str">
        <f t="shared" si="471"/>
        <v>OK</v>
      </c>
      <c r="DB398" s="313" t="str">
        <f t="shared" si="472"/>
        <v>OK</v>
      </c>
      <c r="DC398" s="313" t="str">
        <f t="shared" si="473"/>
        <v>OK</v>
      </c>
      <c r="DD398" s="313" t="str">
        <f t="shared" si="474"/>
        <v>OK</v>
      </c>
      <c r="DE398" s="153" t="str">
        <f t="shared" si="475"/>
        <v>OK</v>
      </c>
      <c r="DF398" s="314" t="str">
        <f t="shared" si="476"/>
        <v>OK</v>
      </c>
      <c r="DG398" s="482" t="str">
        <f t="shared" si="490"/>
        <v>OK</v>
      </c>
      <c r="DH398" s="482" t="str">
        <f>IF(OR(AND(T398='Adjustment factors'!$R$28,'Class 3, 5-9'!U398='Adjustment factors'!$R$29),AND('Class 3, 5-9'!T398='Adjustment factors'!$R$29,'Class 3, 5-9'!U398='Adjustment factors'!$R$28)),"Invalid combination of adjustment factors",IF(AND(T398=U398,NOT(ISBLANK(T398)),NOT(ISBLANK(U398))),"Same colour factor selected twice","OK"))</f>
        <v>OK</v>
      </c>
      <c r="DI398" s="313" t="str">
        <f t="shared" si="477"/>
        <v>OK</v>
      </c>
      <c r="DJ398" s="153" t="str">
        <f t="shared" si="502"/>
        <v>OK</v>
      </c>
      <c r="DK398" s="153" t="str">
        <f t="shared" si="478"/>
        <v>OK</v>
      </c>
      <c r="DL398" s="313" t="str">
        <f t="shared" si="479"/>
        <v>OK</v>
      </c>
      <c r="DM398" s="153" t="str">
        <f t="shared" si="480"/>
        <v>OK</v>
      </c>
      <c r="DN398" s="153" t="str">
        <f t="shared" si="503"/>
        <v>OK</v>
      </c>
      <c r="DO398" s="154" t="str">
        <f t="shared" si="504"/>
        <v>OK</v>
      </c>
      <c r="DP398" s="153" t="str">
        <f t="shared" si="481"/>
        <v>OK</v>
      </c>
      <c r="DQ398" s="313" t="str">
        <f t="shared" si="482"/>
        <v>OK</v>
      </c>
      <c r="DR398" s="153" t="str">
        <f t="shared" si="505"/>
        <v>OK</v>
      </c>
      <c r="DS398" s="153" t="str">
        <f t="shared" si="483"/>
        <v>OK</v>
      </c>
      <c r="DT398" s="313" t="str">
        <f t="shared" si="491"/>
        <v>OK</v>
      </c>
      <c r="DU398" s="153" t="str">
        <f t="shared" si="484"/>
        <v>OK</v>
      </c>
      <c r="DV398" s="153" t="str">
        <f t="shared" si="506"/>
        <v>OK</v>
      </c>
      <c r="DW398" s="154" t="str">
        <f t="shared" si="507"/>
        <v>OK</v>
      </c>
      <c r="DX398" s="157">
        <f t="shared" si="508"/>
        <v>0</v>
      </c>
      <c r="DY398" s="156" t="str">
        <f t="shared" si="509"/>
        <v>OK</v>
      </c>
    </row>
    <row r="399" spans="1:129" ht="13" hidden="1" x14ac:dyDescent="0.3">
      <c r="A399" s="333"/>
      <c r="B399" s="333"/>
      <c r="C399" s="332" t="str">
        <f t="shared" si="440"/>
        <v>-</v>
      </c>
      <c r="D399" s="584">
        <f t="shared" si="492"/>
        <v>376</v>
      </c>
      <c r="E399" s="585"/>
      <c r="F399" s="586"/>
      <c r="G399" s="600"/>
      <c r="H399" s="587"/>
      <c r="I399" s="601"/>
      <c r="J399" s="585"/>
      <c r="K399" s="617"/>
      <c r="L399" s="602"/>
      <c r="M399" s="603"/>
      <c r="N399" s="588"/>
      <c r="O399" s="604"/>
      <c r="P399" s="605"/>
      <c r="Q399" s="588"/>
      <c r="R399" s="604"/>
      <c r="S399" s="605"/>
      <c r="T399" s="606"/>
      <c r="U399" s="606"/>
      <c r="V399" s="429" t="str">
        <f t="shared" si="514"/>
        <v/>
      </c>
      <c r="W399" s="430" t="str">
        <f t="shared" si="513"/>
        <v/>
      </c>
      <c r="X399" s="66" t="str">
        <f>IF(AND(ISNUMBER(P399),N399=FixedDim),MAX('Adjustment factors'!$S$16,0.2+0.8*P399),IF(ISTEXT(N399),VLOOKUP(N399,Afactors,2,TRUE),""))</f>
        <v/>
      </c>
      <c r="Y399" s="17" t="str">
        <f>IF(AND(ISNUMBER(S399),Q399=FixedDim),MAX('Adjustment factors'!$S$16,0.2+0.8*S399),IF(ISTEXT(Q399),VLOOKUP(Q399,Afactors,2,TRUE),""))</f>
        <v/>
      </c>
      <c r="Z399" s="297" t="str">
        <f>IF(ISBLANK(T399),"",VLOOKUP(T399,'Adjustment factors'!$R$27:$S$30,2,TRUE))</f>
        <v/>
      </c>
      <c r="AA399" s="297" t="str">
        <f>IF(ISBLANK(U399),"",VLOOKUP(U399,'Adjustment factors'!$R$27:$S$30,2,TRUE))</f>
        <v/>
      </c>
      <c r="AB399" s="480">
        <f t="shared" si="485"/>
        <v>1</v>
      </c>
      <c r="AC399" s="18" t="b">
        <f t="shared" si="442"/>
        <v>0</v>
      </c>
      <c r="AD399" s="18" t="b">
        <f t="shared" si="443"/>
        <v>0</v>
      </c>
      <c r="AE399" s="18" t="b">
        <f t="shared" si="510"/>
        <v>0</v>
      </c>
      <c r="AF399" s="17" t="str">
        <f t="shared" si="444"/>
        <v/>
      </c>
      <c r="AG399" s="18" t="str">
        <f t="shared" si="445"/>
        <v/>
      </c>
      <c r="AH399" s="17" t="str">
        <f t="shared" si="511"/>
        <v/>
      </c>
      <c r="AI399" s="297" t="e">
        <f t="shared" si="486"/>
        <v>#VALUE!</v>
      </c>
      <c r="AJ399" s="79" t="e">
        <f t="shared" si="446"/>
        <v>#VALUE!</v>
      </c>
      <c r="AK399" s="17" t="str">
        <f t="shared" si="512"/>
        <v/>
      </c>
      <c r="AL399" s="80" t="e">
        <f t="shared" si="447"/>
        <v>#VALUE!</v>
      </c>
      <c r="AM399" s="139" t="b">
        <f t="shared" si="448"/>
        <v>1</v>
      </c>
      <c r="AN399" s="139" t="b">
        <f>AND(COUNTA(E399)&gt;0,ISNUMBER(F399),OR(COUNT(G399:H399)=0,COUNT(G399:H399)=2,AND(ISNUMBER(G399),ISNUMBER(VALUE(LEFT(H399,SUM(LEN(H399)-LEN(SUBSTITUTE(H399,{"0","1","2","3","4","5","6","7","8","9","."},"")))))))),ISNUMBER(I399),ISTEXT(J399))</f>
        <v>0</v>
      </c>
      <c r="AO399" s="19" t="b">
        <f t="shared" si="449"/>
        <v>0</v>
      </c>
      <c r="AP399" s="19" t="b">
        <f t="shared" si="450"/>
        <v>1</v>
      </c>
      <c r="AQ399" s="19" t="b">
        <f>IF(AND(COUNTBLANK(E399:J399)=6,OR(AN400:AN$523)),NOT(AN399))</f>
        <v>0</v>
      </c>
      <c r="AR399" s="19" t="str">
        <f t="shared" si="451"/>
        <v/>
      </c>
      <c r="AS399" s="19" t="b">
        <f t="shared" si="452"/>
        <v>1</v>
      </c>
      <c r="AT399" s="19" t="str">
        <f t="shared" si="453"/>
        <v/>
      </c>
      <c r="AU399" s="19" t="b">
        <f t="shared" si="454"/>
        <v>1</v>
      </c>
      <c r="AV399" s="140" t="str">
        <f t="shared" si="494"/>
        <v/>
      </c>
      <c r="AW399" s="19" t="str">
        <f t="shared" si="455"/>
        <v/>
      </c>
      <c r="AX399" s="81">
        <f t="shared" si="456"/>
        <v>0</v>
      </c>
      <c r="AY399" s="81" t="str">
        <f t="shared" si="457"/>
        <v/>
      </c>
      <c r="AZ399" s="307" t="str">
        <f t="shared" si="487"/>
        <v/>
      </c>
      <c r="BA399" s="281" t="str">
        <f t="shared" si="495"/>
        <v/>
      </c>
      <c r="BB399" s="281" t="str">
        <f t="shared" si="496"/>
        <v/>
      </c>
      <c r="BC399" s="953"/>
      <c r="BD399" s="955"/>
      <c r="BE399" s="219" t="str">
        <f t="shared" si="458"/>
        <v>n/a</v>
      </c>
      <c r="BF399" s="215" t="b">
        <f t="shared" si="459"/>
        <v>0</v>
      </c>
      <c r="BG399" s="145" t="b">
        <f t="shared" si="460"/>
        <v>0</v>
      </c>
      <c r="BH399" s="145" t="b">
        <f t="shared" si="461"/>
        <v>0</v>
      </c>
      <c r="BI399" s="216" t="b">
        <f t="shared" si="462"/>
        <v>0</v>
      </c>
      <c r="BJ399" s="215" t="b">
        <f t="shared" si="463"/>
        <v>0</v>
      </c>
      <c r="BK399" s="145" t="b">
        <f t="shared" si="464"/>
        <v>0</v>
      </c>
      <c r="BL399" s="216" t="b">
        <f t="shared" si="465"/>
        <v>0</v>
      </c>
      <c r="BM399" s="217" t="str">
        <f t="shared" si="497"/>
        <v/>
      </c>
      <c r="BN399" s="146" t="str">
        <f t="shared" si="498"/>
        <v/>
      </c>
      <c r="BO399" s="147" t="str">
        <f t="shared" si="499"/>
        <v/>
      </c>
      <c r="BP399" s="148" t="str">
        <f t="shared" si="500"/>
        <v/>
      </c>
      <c r="BT399" s="50">
        <f t="shared" si="493"/>
        <v>376</v>
      </c>
      <c r="BU399" s="50" t="str">
        <f t="shared" si="515"/>
        <v>-</v>
      </c>
      <c r="BW399" s="340"/>
      <c r="BX399" s="333"/>
      <c r="BY399" s="333"/>
      <c r="BZ399" s="333"/>
      <c r="CA399" s="333"/>
      <c r="CB399" s="333"/>
      <c r="CC399" s="333"/>
      <c r="CD399" s="333"/>
      <c r="CE399" s="333"/>
      <c r="CF399" s="333"/>
      <c r="CG399" s="354">
        <f t="shared" si="466"/>
        <v>376</v>
      </c>
      <c r="CH399" s="613">
        <f t="shared" si="467"/>
        <v>0</v>
      </c>
      <c r="CI399" s="613">
        <f t="shared" si="468"/>
        <v>0</v>
      </c>
      <c r="CJ399" s="614" t="str">
        <f t="shared" si="469"/>
        <v/>
      </c>
      <c r="CK399" s="615" t="str">
        <f t="shared" si="470"/>
        <v/>
      </c>
      <c r="CL399" s="610" t="str">
        <f>IF(ISBLANK(H399),"",IF(AND(ISNUMBER(F399),ISNUMBER(G399),ISNUMBER(H399)),ROUND(F399/(H399*G399),2),ROUND(F399/(VALUE(LEFT(H399,SUM(LEN(H399)-LEN(SUBSTITUTE(H399,{"0","1","2","3","4","5","6","7","8","9","."},"")))))*G399),2)))</f>
        <v/>
      </c>
      <c r="CM399" s="616" t="str">
        <f t="shared" si="501"/>
        <v/>
      </c>
      <c r="CN399" s="616" t="str">
        <f>IF(ISNUMBER(P399),MAX('Adjustment factors'!$S$16,(0.2+0.8*P399)),IF(ISTEXT(N399),VLOOKUP(N399,Afactors,2,FALSE),""))</f>
        <v/>
      </c>
      <c r="CO399" s="616" t="str">
        <f>IF(ISNUMBER(S399),MAX('Adjustment factors'!$S$16,0.2+0.8*S399),IF(ISTEXT(Q399),VLOOKUP(Q399,Afactors,2,FALSE),""))</f>
        <v/>
      </c>
      <c r="CP399" s="611" t="str">
        <f t="shared" si="488"/>
        <v/>
      </c>
      <c r="CQ399" s="612" t="str">
        <f t="shared" si="489"/>
        <v/>
      </c>
      <c r="CR399" s="340"/>
      <c r="CS399" s="340"/>
      <c r="CT399" s="340"/>
      <c r="CU399" s="340"/>
      <c r="CV399" s="333"/>
      <c r="CW399" s="333"/>
      <c r="CX399" s="333"/>
      <c r="CY399" s="333"/>
      <c r="DA399" s="313" t="str">
        <f t="shared" si="471"/>
        <v>OK</v>
      </c>
      <c r="DB399" s="313" t="str">
        <f t="shared" si="472"/>
        <v>OK</v>
      </c>
      <c r="DC399" s="313" t="str">
        <f t="shared" si="473"/>
        <v>OK</v>
      </c>
      <c r="DD399" s="313" t="str">
        <f t="shared" si="474"/>
        <v>OK</v>
      </c>
      <c r="DE399" s="153" t="str">
        <f t="shared" si="475"/>
        <v>OK</v>
      </c>
      <c r="DF399" s="314" t="str">
        <f t="shared" si="476"/>
        <v>OK</v>
      </c>
      <c r="DG399" s="482" t="str">
        <f t="shared" si="490"/>
        <v>OK</v>
      </c>
      <c r="DH399" s="482" t="str">
        <f>IF(OR(AND(T399='Adjustment factors'!$R$28,'Class 3, 5-9'!U399='Adjustment factors'!$R$29),AND('Class 3, 5-9'!T399='Adjustment factors'!$R$29,'Class 3, 5-9'!U399='Adjustment factors'!$R$28)),"Invalid combination of adjustment factors",IF(AND(T399=U399,NOT(ISBLANK(T399)),NOT(ISBLANK(U399))),"Same colour factor selected twice","OK"))</f>
        <v>OK</v>
      </c>
      <c r="DI399" s="313" t="str">
        <f t="shared" si="477"/>
        <v>OK</v>
      </c>
      <c r="DJ399" s="153" t="str">
        <f t="shared" si="502"/>
        <v>OK</v>
      </c>
      <c r="DK399" s="153" t="str">
        <f t="shared" si="478"/>
        <v>OK</v>
      </c>
      <c r="DL399" s="313" t="str">
        <f t="shared" si="479"/>
        <v>OK</v>
      </c>
      <c r="DM399" s="153" t="str">
        <f t="shared" si="480"/>
        <v>OK</v>
      </c>
      <c r="DN399" s="153" t="str">
        <f t="shared" si="503"/>
        <v>OK</v>
      </c>
      <c r="DO399" s="154" t="str">
        <f t="shared" si="504"/>
        <v>OK</v>
      </c>
      <c r="DP399" s="153" t="str">
        <f t="shared" si="481"/>
        <v>OK</v>
      </c>
      <c r="DQ399" s="313" t="str">
        <f t="shared" si="482"/>
        <v>OK</v>
      </c>
      <c r="DR399" s="153" t="str">
        <f t="shared" si="505"/>
        <v>OK</v>
      </c>
      <c r="DS399" s="153" t="str">
        <f t="shared" si="483"/>
        <v>OK</v>
      </c>
      <c r="DT399" s="313" t="str">
        <f t="shared" si="491"/>
        <v>OK</v>
      </c>
      <c r="DU399" s="153" t="str">
        <f t="shared" si="484"/>
        <v>OK</v>
      </c>
      <c r="DV399" s="153" t="str">
        <f t="shared" si="506"/>
        <v>OK</v>
      </c>
      <c r="DW399" s="154" t="str">
        <f t="shared" si="507"/>
        <v>OK</v>
      </c>
      <c r="DX399" s="157">
        <f t="shared" si="508"/>
        <v>0</v>
      </c>
      <c r="DY399" s="156" t="str">
        <f t="shared" si="509"/>
        <v>OK</v>
      </c>
    </row>
    <row r="400" spans="1:129" ht="13" hidden="1" x14ac:dyDescent="0.3">
      <c r="A400" s="333"/>
      <c r="B400" s="333"/>
      <c r="C400" s="332" t="str">
        <f t="shared" ref="C400:C423" si="516">BU400</f>
        <v>-</v>
      </c>
      <c r="D400" s="584">
        <f t="shared" si="492"/>
        <v>377</v>
      </c>
      <c r="E400" s="585"/>
      <c r="F400" s="586"/>
      <c r="G400" s="600"/>
      <c r="H400" s="587"/>
      <c r="I400" s="601"/>
      <c r="J400" s="585"/>
      <c r="K400" s="617"/>
      <c r="L400" s="602"/>
      <c r="M400" s="603"/>
      <c r="N400" s="588"/>
      <c r="O400" s="604"/>
      <c r="P400" s="605"/>
      <c r="Q400" s="588"/>
      <c r="R400" s="604"/>
      <c r="S400" s="605"/>
      <c r="T400" s="606"/>
      <c r="U400" s="606"/>
      <c r="V400" s="429" t="str">
        <f t="shared" si="514"/>
        <v/>
      </c>
      <c r="W400" s="430" t="str">
        <f t="shared" si="513"/>
        <v/>
      </c>
      <c r="X400" s="66" t="str">
        <f>IF(AND(ISNUMBER(P400),N400=FixedDim),MAX('Adjustment factors'!$S$16,0.2+0.8*P400),IF(ISTEXT(N400),VLOOKUP(N400,Afactors,2,TRUE),""))</f>
        <v/>
      </c>
      <c r="Y400" s="17" t="str">
        <f>IF(AND(ISNUMBER(S400),Q400=FixedDim),MAX('Adjustment factors'!$S$16,0.2+0.8*S400),IF(ISTEXT(Q400),VLOOKUP(Q400,Afactors,2,TRUE),""))</f>
        <v/>
      </c>
      <c r="Z400" s="297" t="str">
        <f>IF(ISBLANK(T400),"",VLOOKUP(T400,'Adjustment factors'!$R$27:$S$30,2,TRUE))</f>
        <v/>
      </c>
      <c r="AA400" s="297" t="str">
        <f>IF(ISBLANK(U400),"",VLOOKUP(U400,'Adjustment factors'!$R$27:$S$30,2,TRUE))</f>
        <v/>
      </c>
      <c r="AB400" s="480">
        <f t="shared" si="485"/>
        <v>1</v>
      </c>
      <c r="AC400" s="18" t="b">
        <f t="shared" si="442"/>
        <v>0</v>
      </c>
      <c r="AD400" s="18" t="b">
        <f t="shared" si="443"/>
        <v>0</v>
      </c>
      <c r="AE400" s="18" t="b">
        <f t="shared" si="510"/>
        <v>0</v>
      </c>
      <c r="AF400" s="17" t="str">
        <f t="shared" si="444"/>
        <v/>
      </c>
      <c r="AG400" s="18" t="str">
        <f t="shared" si="445"/>
        <v/>
      </c>
      <c r="AH400" s="17" t="str">
        <f t="shared" si="511"/>
        <v/>
      </c>
      <c r="AI400" s="297" t="e">
        <f t="shared" si="486"/>
        <v>#VALUE!</v>
      </c>
      <c r="AJ400" s="79" t="e">
        <f t="shared" si="446"/>
        <v>#VALUE!</v>
      </c>
      <c r="AK400" s="17" t="str">
        <f t="shared" si="512"/>
        <v/>
      </c>
      <c r="AL400" s="80" t="e">
        <f t="shared" si="447"/>
        <v>#VALUE!</v>
      </c>
      <c r="AM400" s="139" t="b">
        <f t="shared" si="448"/>
        <v>1</v>
      </c>
      <c r="AN400" s="139" t="b">
        <f>AND(COUNTA(E400)&gt;0,ISNUMBER(F400),OR(COUNT(G400:H400)=0,COUNT(G400:H400)=2,AND(ISNUMBER(G400),ISNUMBER(VALUE(LEFT(H400,SUM(LEN(H400)-LEN(SUBSTITUTE(H400,{"0","1","2","3","4","5","6","7","8","9","."},"")))))))),ISNUMBER(I400),ISTEXT(J400))</f>
        <v>0</v>
      </c>
      <c r="AO400" s="19" t="b">
        <f t="shared" si="449"/>
        <v>0</v>
      </c>
      <c r="AP400" s="19" t="b">
        <f t="shared" si="450"/>
        <v>1</v>
      </c>
      <c r="AQ400" s="19" t="b">
        <f>IF(AND(COUNTBLANK(E400:J400)=6,OR(AN401:AN$523)),NOT(AN400))</f>
        <v>0</v>
      </c>
      <c r="AR400" s="19" t="str">
        <f t="shared" si="451"/>
        <v/>
      </c>
      <c r="AS400" s="19" t="b">
        <f t="shared" si="452"/>
        <v>1</v>
      </c>
      <c r="AT400" s="19" t="str">
        <f t="shared" si="453"/>
        <v/>
      </c>
      <c r="AU400" s="19" t="b">
        <f t="shared" si="454"/>
        <v>1</v>
      </c>
      <c r="AV400" s="140" t="str">
        <f t="shared" si="494"/>
        <v/>
      </c>
      <c r="AW400" s="19" t="str">
        <f t="shared" si="455"/>
        <v/>
      </c>
      <c r="AX400" s="81">
        <f t="shared" si="456"/>
        <v>0</v>
      </c>
      <c r="AY400" s="81" t="str">
        <f t="shared" si="457"/>
        <v/>
      </c>
      <c r="AZ400" s="307" t="str">
        <f t="shared" si="487"/>
        <v/>
      </c>
      <c r="BA400" s="281" t="str">
        <f t="shared" si="495"/>
        <v/>
      </c>
      <c r="BB400" s="281" t="str">
        <f t="shared" si="496"/>
        <v/>
      </c>
      <c r="BC400" s="953"/>
      <c r="BD400" s="955"/>
      <c r="BE400" s="219" t="str">
        <f t="shared" si="458"/>
        <v>n/a</v>
      </c>
      <c r="BF400" s="215" t="b">
        <f t="shared" si="459"/>
        <v>0</v>
      </c>
      <c r="BG400" s="145" t="b">
        <f t="shared" si="460"/>
        <v>0</v>
      </c>
      <c r="BH400" s="145" t="b">
        <f t="shared" si="461"/>
        <v>0</v>
      </c>
      <c r="BI400" s="216" t="b">
        <f t="shared" si="462"/>
        <v>0</v>
      </c>
      <c r="BJ400" s="215" t="b">
        <f t="shared" si="463"/>
        <v>0</v>
      </c>
      <c r="BK400" s="145" t="b">
        <f t="shared" si="464"/>
        <v>0</v>
      </c>
      <c r="BL400" s="216" t="b">
        <f t="shared" si="465"/>
        <v>0</v>
      </c>
      <c r="BM400" s="217" t="str">
        <f t="shared" si="497"/>
        <v/>
      </c>
      <c r="BN400" s="146" t="str">
        <f t="shared" si="498"/>
        <v/>
      </c>
      <c r="BO400" s="147" t="str">
        <f t="shared" si="499"/>
        <v/>
      </c>
      <c r="BP400" s="148" t="str">
        <f t="shared" si="500"/>
        <v/>
      </c>
      <c r="BT400" s="50">
        <f t="shared" si="493"/>
        <v>377</v>
      </c>
      <c r="BU400" s="50" t="str">
        <f t="shared" si="515"/>
        <v>-</v>
      </c>
      <c r="BW400" s="340"/>
      <c r="BX400" s="333"/>
      <c r="BY400" s="333"/>
      <c r="BZ400" s="333"/>
      <c r="CA400" s="333"/>
      <c r="CB400" s="333"/>
      <c r="CC400" s="333"/>
      <c r="CD400" s="333"/>
      <c r="CE400" s="333"/>
      <c r="CF400" s="333"/>
      <c r="CG400" s="354">
        <f t="shared" si="466"/>
        <v>377</v>
      </c>
      <c r="CH400" s="613">
        <f t="shared" si="467"/>
        <v>0</v>
      </c>
      <c r="CI400" s="613">
        <f t="shared" si="468"/>
        <v>0</v>
      </c>
      <c r="CJ400" s="614" t="str">
        <f t="shared" si="469"/>
        <v/>
      </c>
      <c r="CK400" s="615" t="str">
        <f t="shared" si="470"/>
        <v/>
      </c>
      <c r="CL400" s="610" t="str">
        <f>IF(ISBLANK(H400),"",IF(AND(ISNUMBER(F400),ISNUMBER(G400),ISNUMBER(H400)),ROUND(F400/(H400*G400),2),ROUND(F400/(VALUE(LEFT(H400,SUM(LEN(H400)-LEN(SUBSTITUTE(H400,{"0","1","2","3","4","5","6","7","8","9","."},"")))))*G400),2)))</f>
        <v/>
      </c>
      <c r="CM400" s="616" t="str">
        <f t="shared" si="501"/>
        <v/>
      </c>
      <c r="CN400" s="616" t="str">
        <f>IF(ISNUMBER(P400),MAX('Adjustment factors'!$S$16,(0.2+0.8*P400)),IF(ISTEXT(N400),VLOOKUP(N400,Afactors,2,FALSE),""))</f>
        <v/>
      </c>
      <c r="CO400" s="616" t="str">
        <f>IF(ISNUMBER(S400),MAX('Adjustment factors'!$S$16,0.2+0.8*S400),IF(ISTEXT(Q400),VLOOKUP(Q400,Afactors,2,FALSE),""))</f>
        <v/>
      </c>
      <c r="CP400" s="611" t="str">
        <f t="shared" si="488"/>
        <v/>
      </c>
      <c r="CQ400" s="612" t="str">
        <f t="shared" si="489"/>
        <v/>
      </c>
      <c r="CR400" s="340"/>
      <c r="CS400" s="340"/>
      <c r="CT400" s="340"/>
      <c r="CU400" s="340"/>
      <c r="CV400" s="333"/>
      <c r="CW400" s="333"/>
      <c r="CX400" s="333"/>
      <c r="CY400" s="333"/>
      <c r="DA400" s="313" t="str">
        <f t="shared" si="471"/>
        <v>OK</v>
      </c>
      <c r="DB400" s="313" t="str">
        <f t="shared" si="472"/>
        <v>OK</v>
      </c>
      <c r="DC400" s="313" t="str">
        <f t="shared" si="473"/>
        <v>OK</v>
      </c>
      <c r="DD400" s="313" t="str">
        <f t="shared" si="474"/>
        <v>OK</v>
      </c>
      <c r="DE400" s="153" t="str">
        <f t="shared" si="475"/>
        <v>OK</v>
      </c>
      <c r="DF400" s="314" t="str">
        <f t="shared" si="476"/>
        <v>OK</v>
      </c>
      <c r="DG400" s="482" t="str">
        <f t="shared" si="490"/>
        <v>OK</v>
      </c>
      <c r="DH400" s="482" t="str">
        <f>IF(OR(AND(T400='Adjustment factors'!$R$28,'Class 3, 5-9'!U400='Adjustment factors'!$R$29),AND('Class 3, 5-9'!T400='Adjustment factors'!$R$29,'Class 3, 5-9'!U400='Adjustment factors'!$R$28)),"Invalid combination of adjustment factors",IF(AND(T400=U400,NOT(ISBLANK(T400)),NOT(ISBLANK(U400))),"Same colour factor selected twice","OK"))</f>
        <v>OK</v>
      </c>
      <c r="DI400" s="313" t="str">
        <f t="shared" si="477"/>
        <v>OK</v>
      </c>
      <c r="DJ400" s="153" t="str">
        <f t="shared" si="502"/>
        <v>OK</v>
      </c>
      <c r="DK400" s="153" t="str">
        <f t="shared" si="478"/>
        <v>OK</v>
      </c>
      <c r="DL400" s="313" t="str">
        <f t="shared" si="479"/>
        <v>OK</v>
      </c>
      <c r="DM400" s="153" t="str">
        <f t="shared" si="480"/>
        <v>OK</v>
      </c>
      <c r="DN400" s="153" t="str">
        <f t="shared" si="503"/>
        <v>OK</v>
      </c>
      <c r="DO400" s="154" t="str">
        <f t="shared" si="504"/>
        <v>OK</v>
      </c>
      <c r="DP400" s="153" t="str">
        <f t="shared" si="481"/>
        <v>OK</v>
      </c>
      <c r="DQ400" s="313" t="str">
        <f t="shared" si="482"/>
        <v>OK</v>
      </c>
      <c r="DR400" s="153" t="str">
        <f t="shared" si="505"/>
        <v>OK</v>
      </c>
      <c r="DS400" s="153" t="str">
        <f t="shared" si="483"/>
        <v>OK</v>
      </c>
      <c r="DT400" s="313" t="str">
        <f t="shared" si="491"/>
        <v>OK</v>
      </c>
      <c r="DU400" s="153" t="str">
        <f t="shared" si="484"/>
        <v>OK</v>
      </c>
      <c r="DV400" s="153" t="str">
        <f t="shared" si="506"/>
        <v>OK</v>
      </c>
      <c r="DW400" s="154" t="str">
        <f t="shared" si="507"/>
        <v>OK</v>
      </c>
      <c r="DX400" s="157">
        <f t="shared" si="508"/>
        <v>0</v>
      </c>
      <c r="DY400" s="156" t="str">
        <f t="shared" si="509"/>
        <v>OK</v>
      </c>
    </row>
    <row r="401" spans="1:129" ht="13" hidden="1" x14ac:dyDescent="0.3">
      <c r="A401" s="333"/>
      <c r="B401" s="333"/>
      <c r="C401" s="332" t="str">
        <f t="shared" si="516"/>
        <v>-</v>
      </c>
      <c r="D401" s="584">
        <f t="shared" si="492"/>
        <v>378</v>
      </c>
      <c r="E401" s="585"/>
      <c r="F401" s="586"/>
      <c r="G401" s="600"/>
      <c r="H401" s="587"/>
      <c r="I401" s="601"/>
      <c r="J401" s="585"/>
      <c r="K401" s="617"/>
      <c r="L401" s="602"/>
      <c r="M401" s="603"/>
      <c r="N401" s="588"/>
      <c r="O401" s="604"/>
      <c r="P401" s="605"/>
      <c r="Q401" s="588"/>
      <c r="R401" s="604"/>
      <c r="S401" s="605"/>
      <c r="T401" s="606"/>
      <c r="U401" s="606"/>
      <c r="V401" s="429" t="str">
        <f t="shared" si="514"/>
        <v/>
      </c>
      <c r="W401" s="430" t="str">
        <f t="shared" si="513"/>
        <v/>
      </c>
      <c r="X401" s="66" t="str">
        <f>IF(AND(ISNUMBER(P401),N401=FixedDim),MAX('Adjustment factors'!$S$16,0.2+0.8*P401),IF(ISTEXT(N401),VLOOKUP(N401,Afactors,2,TRUE),""))</f>
        <v/>
      </c>
      <c r="Y401" s="17" t="str">
        <f>IF(AND(ISNUMBER(S401),Q401=FixedDim),MAX('Adjustment factors'!$S$16,0.2+0.8*S401),IF(ISTEXT(Q401),VLOOKUP(Q401,Afactors,2,TRUE),""))</f>
        <v/>
      </c>
      <c r="Z401" s="297" t="str">
        <f>IF(ISBLANK(T401),"",VLOOKUP(T401,'Adjustment factors'!$R$27:$S$30,2,TRUE))</f>
        <v/>
      </c>
      <c r="AA401" s="297" t="str">
        <f>IF(ISBLANK(U401),"",VLOOKUP(U401,'Adjustment factors'!$R$27:$S$30,2,TRUE))</f>
        <v/>
      </c>
      <c r="AB401" s="480">
        <f t="shared" si="485"/>
        <v>1</v>
      </c>
      <c r="AC401" s="18" t="b">
        <f t="shared" si="442"/>
        <v>0</v>
      </c>
      <c r="AD401" s="18" t="b">
        <f t="shared" si="443"/>
        <v>0</v>
      </c>
      <c r="AE401" s="18" t="b">
        <f t="shared" si="510"/>
        <v>0</v>
      </c>
      <c r="AF401" s="17" t="str">
        <f t="shared" si="444"/>
        <v/>
      </c>
      <c r="AG401" s="18" t="str">
        <f t="shared" si="445"/>
        <v/>
      </c>
      <c r="AH401" s="17" t="str">
        <f t="shared" si="511"/>
        <v/>
      </c>
      <c r="AI401" s="297" t="e">
        <f t="shared" si="486"/>
        <v>#VALUE!</v>
      </c>
      <c r="AJ401" s="79" t="e">
        <f t="shared" si="446"/>
        <v>#VALUE!</v>
      </c>
      <c r="AK401" s="17" t="str">
        <f t="shared" si="512"/>
        <v/>
      </c>
      <c r="AL401" s="80" t="e">
        <f t="shared" si="447"/>
        <v>#VALUE!</v>
      </c>
      <c r="AM401" s="139" t="b">
        <f t="shared" si="448"/>
        <v>1</v>
      </c>
      <c r="AN401" s="139" t="b">
        <f>AND(COUNTA(E401)&gt;0,ISNUMBER(F401),OR(COUNT(G401:H401)=0,COUNT(G401:H401)=2,AND(ISNUMBER(G401),ISNUMBER(VALUE(LEFT(H401,SUM(LEN(H401)-LEN(SUBSTITUTE(H401,{"0","1","2","3","4","5","6","7","8","9","."},"")))))))),ISNUMBER(I401),ISTEXT(J401))</f>
        <v>0</v>
      </c>
      <c r="AO401" s="19" t="b">
        <f t="shared" si="449"/>
        <v>0</v>
      </c>
      <c r="AP401" s="19" t="b">
        <f t="shared" si="450"/>
        <v>1</v>
      </c>
      <c r="AQ401" s="19" t="b">
        <f>IF(AND(COUNTBLANK(E401:J401)=6,OR(AN402:AN$523)),NOT(AN401))</f>
        <v>0</v>
      </c>
      <c r="AR401" s="19" t="str">
        <f t="shared" si="451"/>
        <v/>
      </c>
      <c r="AS401" s="19" t="b">
        <f t="shared" si="452"/>
        <v>1</v>
      </c>
      <c r="AT401" s="19" t="str">
        <f t="shared" si="453"/>
        <v/>
      </c>
      <c r="AU401" s="19" t="b">
        <f t="shared" si="454"/>
        <v>1</v>
      </c>
      <c r="AV401" s="140" t="str">
        <f t="shared" si="494"/>
        <v/>
      </c>
      <c r="AW401" s="19" t="str">
        <f t="shared" si="455"/>
        <v/>
      </c>
      <c r="AX401" s="81">
        <f t="shared" si="456"/>
        <v>0</v>
      </c>
      <c r="AY401" s="81" t="str">
        <f t="shared" si="457"/>
        <v/>
      </c>
      <c r="AZ401" s="307" t="str">
        <f t="shared" si="487"/>
        <v/>
      </c>
      <c r="BA401" s="281" t="str">
        <f t="shared" si="495"/>
        <v/>
      </c>
      <c r="BB401" s="281" t="str">
        <f t="shared" si="496"/>
        <v/>
      </c>
      <c r="BC401" s="953"/>
      <c r="BD401" s="955"/>
      <c r="BE401" s="219" t="str">
        <f t="shared" si="458"/>
        <v>n/a</v>
      </c>
      <c r="BF401" s="215" t="b">
        <f t="shared" si="459"/>
        <v>0</v>
      </c>
      <c r="BG401" s="145" t="b">
        <f t="shared" si="460"/>
        <v>0</v>
      </c>
      <c r="BH401" s="145" t="b">
        <f t="shared" si="461"/>
        <v>0</v>
      </c>
      <c r="BI401" s="216" t="b">
        <f t="shared" si="462"/>
        <v>0</v>
      </c>
      <c r="BJ401" s="215" t="b">
        <f t="shared" si="463"/>
        <v>0</v>
      </c>
      <c r="BK401" s="145" t="b">
        <f t="shared" si="464"/>
        <v>0</v>
      </c>
      <c r="BL401" s="216" t="b">
        <f t="shared" si="465"/>
        <v>0</v>
      </c>
      <c r="BM401" s="217" t="str">
        <f t="shared" si="497"/>
        <v/>
      </c>
      <c r="BN401" s="146" t="str">
        <f t="shared" si="498"/>
        <v/>
      </c>
      <c r="BO401" s="147" t="str">
        <f t="shared" si="499"/>
        <v/>
      </c>
      <c r="BP401" s="148" t="str">
        <f t="shared" si="500"/>
        <v/>
      </c>
      <c r="BT401" s="50">
        <f t="shared" si="493"/>
        <v>378</v>
      </c>
      <c r="BU401" s="50" t="str">
        <f t="shared" si="515"/>
        <v>-</v>
      </c>
      <c r="BW401" s="340"/>
      <c r="BX401" s="333"/>
      <c r="BY401" s="333"/>
      <c r="BZ401" s="333"/>
      <c r="CA401" s="333"/>
      <c r="CB401" s="333"/>
      <c r="CC401" s="333"/>
      <c r="CD401" s="333"/>
      <c r="CE401" s="333"/>
      <c r="CF401" s="333"/>
      <c r="CG401" s="354">
        <f t="shared" si="466"/>
        <v>378</v>
      </c>
      <c r="CH401" s="613">
        <f t="shared" si="467"/>
        <v>0</v>
      </c>
      <c r="CI401" s="613">
        <f t="shared" si="468"/>
        <v>0</v>
      </c>
      <c r="CJ401" s="614" t="str">
        <f t="shared" si="469"/>
        <v/>
      </c>
      <c r="CK401" s="615" t="str">
        <f t="shared" si="470"/>
        <v/>
      </c>
      <c r="CL401" s="610" t="str">
        <f>IF(ISBLANK(H401),"",IF(AND(ISNUMBER(F401),ISNUMBER(G401),ISNUMBER(H401)),ROUND(F401/(H401*G401),2),ROUND(F401/(VALUE(LEFT(H401,SUM(LEN(H401)-LEN(SUBSTITUTE(H401,{"0","1","2","3","4","5","6","7","8","9","."},"")))))*G401),2)))</f>
        <v/>
      </c>
      <c r="CM401" s="616" t="str">
        <f t="shared" si="501"/>
        <v/>
      </c>
      <c r="CN401" s="616" t="str">
        <f>IF(ISNUMBER(P401),MAX('Adjustment factors'!$S$16,(0.2+0.8*P401)),IF(ISTEXT(N401),VLOOKUP(N401,Afactors,2,FALSE),""))</f>
        <v/>
      </c>
      <c r="CO401" s="616" t="str">
        <f>IF(ISNUMBER(S401),MAX('Adjustment factors'!$S$16,0.2+0.8*S401),IF(ISTEXT(Q401),VLOOKUP(Q401,Afactors,2,FALSE),""))</f>
        <v/>
      </c>
      <c r="CP401" s="611" t="str">
        <f t="shared" si="488"/>
        <v/>
      </c>
      <c r="CQ401" s="612" t="str">
        <f t="shared" si="489"/>
        <v/>
      </c>
      <c r="CR401" s="340"/>
      <c r="CS401" s="340"/>
      <c r="CT401" s="340"/>
      <c r="CU401" s="340"/>
      <c r="CV401" s="333"/>
      <c r="CW401" s="333"/>
      <c r="CX401" s="333"/>
      <c r="CY401" s="333"/>
      <c r="DA401" s="313" t="str">
        <f t="shared" si="471"/>
        <v>OK</v>
      </c>
      <c r="DB401" s="313" t="str">
        <f t="shared" si="472"/>
        <v>OK</v>
      </c>
      <c r="DC401" s="313" t="str">
        <f t="shared" si="473"/>
        <v>OK</v>
      </c>
      <c r="DD401" s="313" t="str">
        <f t="shared" si="474"/>
        <v>OK</v>
      </c>
      <c r="DE401" s="153" t="str">
        <f t="shared" si="475"/>
        <v>OK</v>
      </c>
      <c r="DF401" s="314" t="str">
        <f t="shared" si="476"/>
        <v>OK</v>
      </c>
      <c r="DG401" s="482" t="str">
        <f t="shared" si="490"/>
        <v>OK</v>
      </c>
      <c r="DH401" s="482" t="str">
        <f>IF(OR(AND(T401='Adjustment factors'!$R$28,'Class 3, 5-9'!U401='Adjustment factors'!$R$29),AND('Class 3, 5-9'!T401='Adjustment factors'!$R$29,'Class 3, 5-9'!U401='Adjustment factors'!$R$28)),"Invalid combination of adjustment factors",IF(AND(T401=U401,NOT(ISBLANK(T401)),NOT(ISBLANK(U401))),"Same colour factor selected twice","OK"))</f>
        <v>OK</v>
      </c>
      <c r="DI401" s="313" t="str">
        <f t="shared" si="477"/>
        <v>OK</v>
      </c>
      <c r="DJ401" s="153" t="str">
        <f t="shared" si="502"/>
        <v>OK</v>
      </c>
      <c r="DK401" s="153" t="str">
        <f t="shared" si="478"/>
        <v>OK</v>
      </c>
      <c r="DL401" s="313" t="str">
        <f t="shared" si="479"/>
        <v>OK</v>
      </c>
      <c r="DM401" s="153" t="str">
        <f t="shared" si="480"/>
        <v>OK</v>
      </c>
      <c r="DN401" s="153" t="str">
        <f t="shared" si="503"/>
        <v>OK</v>
      </c>
      <c r="DO401" s="154" t="str">
        <f t="shared" si="504"/>
        <v>OK</v>
      </c>
      <c r="DP401" s="153" t="str">
        <f t="shared" si="481"/>
        <v>OK</v>
      </c>
      <c r="DQ401" s="313" t="str">
        <f t="shared" si="482"/>
        <v>OK</v>
      </c>
      <c r="DR401" s="153" t="str">
        <f t="shared" si="505"/>
        <v>OK</v>
      </c>
      <c r="DS401" s="153" t="str">
        <f t="shared" si="483"/>
        <v>OK</v>
      </c>
      <c r="DT401" s="313" t="str">
        <f t="shared" si="491"/>
        <v>OK</v>
      </c>
      <c r="DU401" s="153" t="str">
        <f t="shared" si="484"/>
        <v>OK</v>
      </c>
      <c r="DV401" s="153" t="str">
        <f t="shared" si="506"/>
        <v>OK</v>
      </c>
      <c r="DW401" s="154" t="str">
        <f t="shared" si="507"/>
        <v>OK</v>
      </c>
      <c r="DX401" s="157">
        <f t="shared" si="508"/>
        <v>0</v>
      </c>
      <c r="DY401" s="156" t="str">
        <f t="shared" si="509"/>
        <v>OK</v>
      </c>
    </row>
    <row r="402" spans="1:129" ht="13" hidden="1" x14ac:dyDescent="0.3">
      <c r="A402" s="333"/>
      <c r="B402" s="333"/>
      <c r="C402" s="332" t="str">
        <f t="shared" si="516"/>
        <v>-</v>
      </c>
      <c r="D402" s="584">
        <f t="shared" si="492"/>
        <v>379</v>
      </c>
      <c r="E402" s="585"/>
      <c r="F402" s="586"/>
      <c r="G402" s="600"/>
      <c r="H402" s="587"/>
      <c r="I402" s="601"/>
      <c r="J402" s="585"/>
      <c r="K402" s="617"/>
      <c r="L402" s="602"/>
      <c r="M402" s="603"/>
      <c r="N402" s="588"/>
      <c r="O402" s="604"/>
      <c r="P402" s="605"/>
      <c r="Q402" s="588"/>
      <c r="R402" s="604"/>
      <c r="S402" s="605"/>
      <c r="T402" s="606"/>
      <c r="U402" s="606"/>
      <c r="V402" s="429" t="str">
        <f t="shared" si="514"/>
        <v/>
      </c>
      <c r="W402" s="430" t="str">
        <f t="shared" si="513"/>
        <v/>
      </c>
      <c r="X402" s="66" t="str">
        <f>IF(AND(ISNUMBER(P402),N402=FixedDim),MAX('Adjustment factors'!$S$16,0.2+0.8*P402),IF(ISTEXT(N402),VLOOKUP(N402,Afactors,2,TRUE),""))</f>
        <v/>
      </c>
      <c r="Y402" s="17" t="str">
        <f>IF(AND(ISNUMBER(S402),Q402=FixedDim),MAX('Adjustment factors'!$S$16,0.2+0.8*S402),IF(ISTEXT(Q402),VLOOKUP(Q402,Afactors,2,TRUE),""))</f>
        <v/>
      </c>
      <c r="Z402" s="297" t="str">
        <f>IF(ISBLANK(T402),"",VLOOKUP(T402,'Adjustment factors'!$R$27:$S$30,2,TRUE))</f>
        <v/>
      </c>
      <c r="AA402" s="297" t="str">
        <f>IF(ISBLANK(U402),"",VLOOKUP(U402,'Adjustment factors'!$R$27:$S$30,2,TRUE))</f>
        <v/>
      </c>
      <c r="AB402" s="480">
        <f t="shared" si="485"/>
        <v>1</v>
      </c>
      <c r="AC402" s="18" t="b">
        <f t="shared" si="442"/>
        <v>0</v>
      </c>
      <c r="AD402" s="18" t="b">
        <f t="shared" si="443"/>
        <v>0</v>
      </c>
      <c r="AE402" s="18" t="b">
        <f t="shared" si="510"/>
        <v>0</v>
      </c>
      <c r="AF402" s="17" t="str">
        <f t="shared" si="444"/>
        <v/>
      </c>
      <c r="AG402" s="18" t="str">
        <f t="shared" si="445"/>
        <v/>
      </c>
      <c r="AH402" s="17" t="str">
        <f t="shared" si="511"/>
        <v/>
      </c>
      <c r="AI402" s="297" t="e">
        <f t="shared" si="486"/>
        <v>#VALUE!</v>
      </c>
      <c r="AJ402" s="79" t="e">
        <f t="shared" si="446"/>
        <v>#VALUE!</v>
      </c>
      <c r="AK402" s="17" t="str">
        <f t="shared" si="512"/>
        <v/>
      </c>
      <c r="AL402" s="80" t="e">
        <f t="shared" si="447"/>
        <v>#VALUE!</v>
      </c>
      <c r="AM402" s="139" t="b">
        <f t="shared" si="448"/>
        <v>1</v>
      </c>
      <c r="AN402" s="139" t="b">
        <f>AND(COUNTA(E402)&gt;0,ISNUMBER(F402),OR(COUNT(G402:H402)=0,COUNT(G402:H402)=2,AND(ISNUMBER(G402),ISNUMBER(VALUE(LEFT(H402,SUM(LEN(H402)-LEN(SUBSTITUTE(H402,{"0","1","2","3","4","5","6","7","8","9","."},"")))))))),ISNUMBER(I402),ISTEXT(J402))</f>
        <v>0</v>
      </c>
      <c r="AO402" s="19" t="b">
        <f t="shared" si="449"/>
        <v>0</v>
      </c>
      <c r="AP402" s="19" t="b">
        <f t="shared" si="450"/>
        <v>1</v>
      </c>
      <c r="AQ402" s="19" t="b">
        <f>IF(AND(COUNTBLANK(E402:J402)=6,OR(AN403:AN$523)),NOT(AN402))</f>
        <v>0</v>
      </c>
      <c r="AR402" s="19" t="str">
        <f t="shared" si="451"/>
        <v/>
      </c>
      <c r="AS402" s="19" t="b">
        <f t="shared" si="452"/>
        <v>1</v>
      </c>
      <c r="AT402" s="19" t="str">
        <f t="shared" si="453"/>
        <v/>
      </c>
      <c r="AU402" s="19" t="b">
        <f t="shared" si="454"/>
        <v>1</v>
      </c>
      <c r="AV402" s="140" t="str">
        <f t="shared" si="494"/>
        <v/>
      </c>
      <c r="AW402" s="19" t="str">
        <f t="shared" si="455"/>
        <v/>
      </c>
      <c r="AX402" s="81">
        <f t="shared" si="456"/>
        <v>0</v>
      </c>
      <c r="AY402" s="81" t="str">
        <f t="shared" si="457"/>
        <v/>
      </c>
      <c r="AZ402" s="307" t="str">
        <f t="shared" si="487"/>
        <v/>
      </c>
      <c r="BA402" s="281" t="str">
        <f t="shared" si="495"/>
        <v/>
      </c>
      <c r="BB402" s="281" t="str">
        <f t="shared" si="496"/>
        <v/>
      </c>
      <c r="BC402" s="953"/>
      <c r="BD402" s="955"/>
      <c r="BE402" s="219" t="str">
        <f t="shared" si="458"/>
        <v>n/a</v>
      </c>
      <c r="BF402" s="215" t="b">
        <f t="shared" si="459"/>
        <v>0</v>
      </c>
      <c r="BG402" s="145" t="b">
        <f t="shared" si="460"/>
        <v>0</v>
      </c>
      <c r="BH402" s="145" t="b">
        <f t="shared" si="461"/>
        <v>0</v>
      </c>
      <c r="BI402" s="216" t="b">
        <f t="shared" si="462"/>
        <v>0</v>
      </c>
      <c r="BJ402" s="215" t="b">
        <f t="shared" si="463"/>
        <v>0</v>
      </c>
      <c r="BK402" s="145" t="b">
        <f t="shared" si="464"/>
        <v>0</v>
      </c>
      <c r="BL402" s="216" t="b">
        <f t="shared" si="465"/>
        <v>0</v>
      </c>
      <c r="BM402" s="217" t="str">
        <f t="shared" si="497"/>
        <v/>
      </c>
      <c r="BN402" s="146" t="str">
        <f t="shared" si="498"/>
        <v/>
      </c>
      <c r="BO402" s="147" t="str">
        <f t="shared" si="499"/>
        <v/>
      </c>
      <c r="BP402" s="148" t="str">
        <f t="shared" si="500"/>
        <v/>
      </c>
      <c r="BT402" s="50">
        <f t="shared" si="493"/>
        <v>379</v>
      </c>
      <c r="BU402" s="50" t="str">
        <f t="shared" si="515"/>
        <v>-</v>
      </c>
      <c r="BW402" s="340"/>
      <c r="BX402" s="333"/>
      <c r="BY402" s="333"/>
      <c r="BZ402" s="333"/>
      <c r="CA402" s="333"/>
      <c r="CB402" s="333"/>
      <c r="CC402" s="333"/>
      <c r="CD402" s="333"/>
      <c r="CE402" s="333"/>
      <c r="CF402" s="333"/>
      <c r="CG402" s="354">
        <f t="shared" si="466"/>
        <v>379</v>
      </c>
      <c r="CH402" s="613">
        <f t="shared" si="467"/>
        <v>0</v>
      </c>
      <c r="CI402" s="613">
        <f t="shared" si="468"/>
        <v>0</v>
      </c>
      <c r="CJ402" s="614" t="str">
        <f t="shared" si="469"/>
        <v/>
      </c>
      <c r="CK402" s="615" t="str">
        <f t="shared" si="470"/>
        <v/>
      </c>
      <c r="CL402" s="610" t="str">
        <f>IF(ISBLANK(H402),"",IF(AND(ISNUMBER(F402),ISNUMBER(G402),ISNUMBER(H402)),ROUND(F402/(H402*G402),2),ROUND(F402/(VALUE(LEFT(H402,SUM(LEN(H402)-LEN(SUBSTITUTE(H402,{"0","1","2","3","4","5","6","7","8","9","."},"")))))*G402),2)))</f>
        <v/>
      </c>
      <c r="CM402" s="616" t="str">
        <f t="shared" si="501"/>
        <v/>
      </c>
      <c r="CN402" s="616" t="str">
        <f>IF(ISNUMBER(P402),MAX('Adjustment factors'!$S$16,(0.2+0.8*P402)),IF(ISTEXT(N402),VLOOKUP(N402,Afactors,2,FALSE),""))</f>
        <v/>
      </c>
      <c r="CO402" s="616" t="str">
        <f>IF(ISNUMBER(S402),MAX('Adjustment factors'!$S$16,0.2+0.8*S402),IF(ISTEXT(Q402),VLOOKUP(Q402,Afactors,2,FALSE),""))</f>
        <v/>
      </c>
      <c r="CP402" s="611" t="str">
        <f t="shared" si="488"/>
        <v/>
      </c>
      <c r="CQ402" s="612" t="str">
        <f t="shared" si="489"/>
        <v/>
      </c>
      <c r="CR402" s="340"/>
      <c r="CS402" s="340"/>
      <c r="CT402" s="340"/>
      <c r="CU402" s="340"/>
      <c r="CV402" s="333"/>
      <c r="CW402" s="333"/>
      <c r="CX402" s="333"/>
      <c r="CY402" s="333"/>
      <c r="DA402" s="313" t="str">
        <f t="shared" si="471"/>
        <v>OK</v>
      </c>
      <c r="DB402" s="313" t="str">
        <f t="shared" si="472"/>
        <v>OK</v>
      </c>
      <c r="DC402" s="313" t="str">
        <f t="shared" si="473"/>
        <v>OK</v>
      </c>
      <c r="DD402" s="313" t="str">
        <f t="shared" si="474"/>
        <v>OK</v>
      </c>
      <c r="DE402" s="153" t="str">
        <f t="shared" si="475"/>
        <v>OK</v>
      </c>
      <c r="DF402" s="314" t="str">
        <f t="shared" si="476"/>
        <v>OK</v>
      </c>
      <c r="DG402" s="482" t="str">
        <f t="shared" si="490"/>
        <v>OK</v>
      </c>
      <c r="DH402" s="482" t="str">
        <f>IF(OR(AND(T402='Adjustment factors'!$R$28,'Class 3, 5-9'!U402='Adjustment factors'!$R$29),AND('Class 3, 5-9'!T402='Adjustment factors'!$R$29,'Class 3, 5-9'!U402='Adjustment factors'!$R$28)),"Invalid combination of adjustment factors",IF(AND(T402=U402,NOT(ISBLANK(T402)),NOT(ISBLANK(U402))),"Same colour factor selected twice","OK"))</f>
        <v>OK</v>
      </c>
      <c r="DI402" s="313" t="str">
        <f t="shared" si="477"/>
        <v>OK</v>
      </c>
      <c r="DJ402" s="153" t="str">
        <f t="shared" si="502"/>
        <v>OK</v>
      </c>
      <c r="DK402" s="153" t="str">
        <f t="shared" si="478"/>
        <v>OK</v>
      </c>
      <c r="DL402" s="313" t="str">
        <f t="shared" si="479"/>
        <v>OK</v>
      </c>
      <c r="DM402" s="153" t="str">
        <f t="shared" si="480"/>
        <v>OK</v>
      </c>
      <c r="DN402" s="153" t="str">
        <f t="shared" si="503"/>
        <v>OK</v>
      </c>
      <c r="DO402" s="154" t="str">
        <f t="shared" si="504"/>
        <v>OK</v>
      </c>
      <c r="DP402" s="153" t="str">
        <f t="shared" si="481"/>
        <v>OK</v>
      </c>
      <c r="DQ402" s="313" t="str">
        <f t="shared" si="482"/>
        <v>OK</v>
      </c>
      <c r="DR402" s="153" t="str">
        <f t="shared" si="505"/>
        <v>OK</v>
      </c>
      <c r="DS402" s="153" t="str">
        <f t="shared" si="483"/>
        <v>OK</v>
      </c>
      <c r="DT402" s="313" t="str">
        <f t="shared" si="491"/>
        <v>OK</v>
      </c>
      <c r="DU402" s="153" t="str">
        <f t="shared" si="484"/>
        <v>OK</v>
      </c>
      <c r="DV402" s="153" t="str">
        <f t="shared" si="506"/>
        <v>OK</v>
      </c>
      <c r="DW402" s="154" t="str">
        <f t="shared" si="507"/>
        <v>OK</v>
      </c>
      <c r="DX402" s="157">
        <f t="shared" si="508"/>
        <v>0</v>
      </c>
      <c r="DY402" s="156" t="str">
        <f t="shared" si="509"/>
        <v>OK</v>
      </c>
    </row>
    <row r="403" spans="1:129" ht="13" hidden="1" x14ac:dyDescent="0.3">
      <c r="A403" s="333"/>
      <c r="B403" s="333"/>
      <c r="C403" s="332" t="str">
        <f t="shared" si="516"/>
        <v>-</v>
      </c>
      <c r="D403" s="584">
        <f t="shared" si="492"/>
        <v>380</v>
      </c>
      <c r="E403" s="585"/>
      <c r="F403" s="586"/>
      <c r="G403" s="600"/>
      <c r="H403" s="587"/>
      <c r="I403" s="601"/>
      <c r="J403" s="585"/>
      <c r="K403" s="617"/>
      <c r="L403" s="602"/>
      <c r="M403" s="603"/>
      <c r="N403" s="588"/>
      <c r="O403" s="604"/>
      <c r="P403" s="605"/>
      <c r="Q403" s="588"/>
      <c r="R403" s="604"/>
      <c r="S403" s="605"/>
      <c r="T403" s="606"/>
      <c r="U403" s="606"/>
      <c r="V403" s="429" t="str">
        <f t="shared" si="514"/>
        <v/>
      </c>
      <c r="W403" s="430" t="str">
        <f t="shared" si="513"/>
        <v/>
      </c>
      <c r="X403" s="66" t="str">
        <f>IF(AND(ISNUMBER(P403),N403=FixedDim),MAX('Adjustment factors'!$S$16,0.2+0.8*P403),IF(ISTEXT(N403),VLOOKUP(N403,Afactors,2,TRUE),""))</f>
        <v/>
      </c>
      <c r="Y403" s="17" t="str">
        <f>IF(AND(ISNUMBER(S403),Q403=FixedDim),MAX('Adjustment factors'!$S$16,0.2+0.8*S403),IF(ISTEXT(Q403),VLOOKUP(Q403,Afactors,2,TRUE),""))</f>
        <v/>
      </c>
      <c r="Z403" s="297" t="str">
        <f>IF(ISBLANK(T403),"",VLOOKUP(T403,'Adjustment factors'!$R$27:$S$30,2,TRUE))</f>
        <v/>
      </c>
      <c r="AA403" s="297" t="str">
        <f>IF(ISBLANK(U403),"",VLOOKUP(U403,'Adjustment factors'!$R$27:$S$30,2,TRUE))</f>
        <v/>
      </c>
      <c r="AB403" s="480">
        <f t="shared" si="485"/>
        <v>1</v>
      </c>
      <c r="AC403" s="18" t="b">
        <f t="shared" si="442"/>
        <v>0</v>
      </c>
      <c r="AD403" s="18" t="b">
        <f t="shared" si="443"/>
        <v>0</v>
      </c>
      <c r="AE403" s="18" t="b">
        <f t="shared" si="510"/>
        <v>0</v>
      </c>
      <c r="AF403" s="17" t="str">
        <f t="shared" si="444"/>
        <v/>
      </c>
      <c r="AG403" s="18" t="str">
        <f t="shared" si="445"/>
        <v/>
      </c>
      <c r="AH403" s="17" t="str">
        <f t="shared" si="511"/>
        <v/>
      </c>
      <c r="AI403" s="297" t="e">
        <f t="shared" si="486"/>
        <v>#VALUE!</v>
      </c>
      <c r="AJ403" s="79" t="e">
        <f t="shared" si="446"/>
        <v>#VALUE!</v>
      </c>
      <c r="AK403" s="17" t="str">
        <f t="shared" si="512"/>
        <v/>
      </c>
      <c r="AL403" s="80" t="e">
        <f t="shared" si="447"/>
        <v>#VALUE!</v>
      </c>
      <c r="AM403" s="139" t="b">
        <f t="shared" si="448"/>
        <v>1</v>
      </c>
      <c r="AN403" s="139" t="b">
        <f>AND(COUNTA(E403)&gt;0,ISNUMBER(F403),OR(COUNT(G403:H403)=0,COUNT(G403:H403)=2,AND(ISNUMBER(G403),ISNUMBER(VALUE(LEFT(H403,SUM(LEN(H403)-LEN(SUBSTITUTE(H403,{"0","1","2","3","4","5","6","7","8","9","."},"")))))))),ISNUMBER(I403),ISTEXT(J403))</f>
        <v>0</v>
      </c>
      <c r="AO403" s="19" t="b">
        <f t="shared" si="449"/>
        <v>0</v>
      </c>
      <c r="AP403" s="19" t="b">
        <f t="shared" si="450"/>
        <v>1</v>
      </c>
      <c r="AQ403" s="19" t="b">
        <f>IF(AND(COUNTBLANK(E403:J403)=6,OR(AN404:AN$523)),NOT(AN403))</f>
        <v>0</v>
      </c>
      <c r="AR403" s="19" t="str">
        <f t="shared" si="451"/>
        <v/>
      </c>
      <c r="AS403" s="19" t="b">
        <f t="shared" si="452"/>
        <v>1</v>
      </c>
      <c r="AT403" s="19" t="str">
        <f t="shared" si="453"/>
        <v/>
      </c>
      <c r="AU403" s="19" t="b">
        <f t="shared" si="454"/>
        <v>1</v>
      </c>
      <c r="AV403" s="140" t="str">
        <f t="shared" si="494"/>
        <v/>
      </c>
      <c r="AW403" s="19" t="str">
        <f t="shared" si="455"/>
        <v/>
      </c>
      <c r="AX403" s="81">
        <f t="shared" si="456"/>
        <v>0</v>
      </c>
      <c r="AY403" s="81" t="str">
        <f t="shared" si="457"/>
        <v/>
      </c>
      <c r="AZ403" s="307" t="str">
        <f t="shared" si="487"/>
        <v/>
      </c>
      <c r="BA403" s="281" t="str">
        <f t="shared" si="495"/>
        <v/>
      </c>
      <c r="BB403" s="281" t="str">
        <f t="shared" si="496"/>
        <v/>
      </c>
      <c r="BC403" s="953"/>
      <c r="BD403" s="955"/>
      <c r="BE403" s="219" t="str">
        <f t="shared" si="458"/>
        <v>n/a</v>
      </c>
      <c r="BF403" s="215" t="b">
        <f t="shared" si="459"/>
        <v>0</v>
      </c>
      <c r="BG403" s="145" t="b">
        <f t="shared" si="460"/>
        <v>0</v>
      </c>
      <c r="BH403" s="145" t="b">
        <f t="shared" si="461"/>
        <v>0</v>
      </c>
      <c r="BI403" s="216" t="b">
        <f t="shared" si="462"/>
        <v>0</v>
      </c>
      <c r="BJ403" s="215" t="b">
        <f t="shared" si="463"/>
        <v>0</v>
      </c>
      <c r="BK403" s="145" t="b">
        <f t="shared" si="464"/>
        <v>0</v>
      </c>
      <c r="BL403" s="216" t="b">
        <f t="shared" si="465"/>
        <v>0</v>
      </c>
      <c r="BM403" s="217" t="str">
        <f t="shared" si="497"/>
        <v/>
      </c>
      <c r="BN403" s="146" t="str">
        <f t="shared" si="498"/>
        <v/>
      </c>
      <c r="BO403" s="147" t="str">
        <f t="shared" si="499"/>
        <v/>
      </c>
      <c r="BP403" s="148" t="str">
        <f t="shared" si="500"/>
        <v/>
      </c>
      <c r="BT403" s="50">
        <f t="shared" si="493"/>
        <v>380</v>
      </c>
      <c r="BU403" s="50" t="str">
        <f t="shared" si="515"/>
        <v>-</v>
      </c>
      <c r="BW403" s="340"/>
      <c r="BX403" s="333"/>
      <c r="BY403" s="333"/>
      <c r="BZ403" s="333"/>
      <c r="CA403" s="333"/>
      <c r="CB403" s="333"/>
      <c r="CC403" s="333"/>
      <c r="CD403" s="333"/>
      <c r="CE403" s="333"/>
      <c r="CF403" s="333"/>
      <c r="CG403" s="354">
        <f t="shared" si="466"/>
        <v>380</v>
      </c>
      <c r="CH403" s="613">
        <f t="shared" si="467"/>
        <v>0</v>
      </c>
      <c r="CI403" s="613">
        <f t="shared" si="468"/>
        <v>0</v>
      </c>
      <c r="CJ403" s="614" t="str">
        <f t="shared" si="469"/>
        <v/>
      </c>
      <c r="CK403" s="615" t="str">
        <f t="shared" si="470"/>
        <v/>
      </c>
      <c r="CL403" s="610" t="str">
        <f>IF(ISBLANK(H403),"",IF(AND(ISNUMBER(F403),ISNUMBER(G403),ISNUMBER(H403)),ROUND(F403/(H403*G403),2),ROUND(F403/(VALUE(LEFT(H403,SUM(LEN(H403)-LEN(SUBSTITUTE(H403,{"0","1","2","3","4","5","6","7","8","9","."},"")))))*G403),2)))</f>
        <v/>
      </c>
      <c r="CM403" s="616" t="str">
        <f t="shared" si="501"/>
        <v/>
      </c>
      <c r="CN403" s="616" t="str">
        <f>IF(ISNUMBER(P403),MAX('Adjustment factors'!$S$16,(0.2+0.8*P403)),IF(ISTEXT(N403),VLOOKUP(N403,Afactors,2,FALSE),""))</f>
        <v/>
      </c>
      <c r="CO403" s="616" t="str">
        <f>IF(ISNUMBER(S403),MAX('Adjustment factors'!$S$16,0.2+0.8*S403),IF(ISTEXT(Q403),VLOOKUP(Q403,Afactors,2,FALSE),""))</f>
        <v/>
      </c>
      <c r="CP403" s="611" t="str">
        <f t="shared" si="488"/>
        <v/>
      </c>
      <c r="CQ403" s="612" t="str">
        <f t="shared" si="489"/>
        <v/>
      </c>
      <c r="CR403" s="340"/>
      <c r="CS403" s="340"/>
      <c r="CT403" s="340"/>
      <c r="CU403" s="340"/>
      <c r="CV403" s="333"/>
      <c r="CW403" s="333"/>
      <c r="CX403" s="333"/>
      <c r="CY403" s="333"/>
      <c r="DA403" s="313" t="str">
        <f t="shared" si="471"/>
        <v>OK</v>
      </c>
      <c r="DB403" s="313" t="str">
        <f t="shared" si="472"/>
        <v>OK</v>
      </c>
      <c r="DC403" s="313" t="str">
        <f t="shared" si="473"/>
        <v>OK</v>
      </c>
      <c r="DD403" s="313" t="str">
        <f t="shared" si="474"/>
        <v>OK</v>
      </c>
      <c r="DE403" s="153" t="str">
        <f t="shared" si="475"/>
        <v>OK</v>
      </c>
      <c r="DF403" s="314" t="str">
        <f t="shared" si="476"/>
        <v>OK</v>
      </c>
      <c r="DG403" s="482" t="str">
        <f t="shared" si="490"/>
        <v>OK</v>
      </c>
      <c r="DH403" s="482" t="str">
        <f>IF(OR(AND(T403='Adjustment factors'!$R$28,'Class 3, 5-9'!U403='Adjustment factors'!$R$29),AND('Class 3, 5-9'!T403='Adjustment factors'!$R$29,'Class 3, 5-9'!U403='Adjustment factors'!$R$28)),"Invalid combination of adjustment factors",IF(AND(T403=U403,NOT(ISBLANK(T403)),NOT(ISBLANK(U403))),"Same colour factor selected twice","OK"))</f>
        <v>OK</v>
      </c>
      <c r="DI403" s="313" t="str">
        <f t="shared" si="477"/>
        <v>OK</v>
      </c>
      <c r="DJ403" s="153" t="str">
        <f t="shared" si="502"/>
        <v>OK</v>
      </c>
      <c r="DK403" s="153" t="str">
        <f t="shared" si="478"/>
        <v>OK</v>
      </c>
      <c r="DL403" s="313" t="str">
        <f t="shared" si="479"/>
        <v>OK</v>
      </c>
      <c r="DM403" s="153" t="str">
        <f t="shared" si="480"/>
        <v>OK</v>
      </c>
      <c r="DN403" s="153" t="str">
        <f t="shared" si="503"/>
        <v>OK</v>
      </c>
      <c r="DO403" s="154" t="str">
        <f t="shared" si="504"/>
        <v>OK</v>
      </c>
      <c r="DP403" s="153" t="str">
        <f t="shared" si="481"/>
        <v>OK</v>
      </c>
      <c r="DQ403" s="313" t="str">
        <f t="shared" si="482"/>
        <v>OK</v>
      </c>
      <c r="DR403" s="153" t="str">
        <f t="shared" si="505"/>
        <v>OK</v>
      </c>
      <c r="DS403" s="153" t="str">
        <f t="shared" si="483"/>
        <v>OK</v>
      </c>
      <c r="DT403" s="313" t="str">
        <f t="shared" ref="DT403:DT423" si="517">IF(AND(ISNUMBER(S403),Q403&lt;&gt;FixedDim),"Select fixed dimming with an illuminance factor","OK")</f>
        <v>OK</v>
      </c>
      <c r="DU403" s="153" t="str">
        <f t="shared" si="484"/>
        <v>OK</v>
      </c>
      <c r="DV403" s="153" t="str">
        <f t="shared" si="506"/>
        <v>OK</v>
      </c>
      <c r="DW403" s="154" t="str">
        <f t="shared" si="507"/>
        <v>OK</v>
      </c>
      <c r="DX403" s="157">
        <f t="shared" si="508"/>
        <v>0</v>
      </c>
      <c r="DY403" s="156" t="str">
        <f t="shared" si="509"/>
        <v>OK</v>
      </c>
    </row>
    <row r="404" spans="1:129" ht="13" hidden="1" x14ac:dyDescent="0.3">
      <c r="A404" s="333"/>
      <c r="B404" s="333"/>
      <c r="C404" s="332" t="str">
        <f t="shared" si="516"/>
        <v>-</v>
      </c>
      <c r="D404" s="584">
        <f t="shared" si="492"/>
        <v>381</v>
      </c>
      <c r="E404" s="585"/>
      <c r="F404" s="586"/>
      <c r="G404" s="600"/>
      <c r="H404" s="587"/>
      <c r="I404" s="601"/>
      <c r="J404" s="585"/>
      <c r="K404" s="617"/>
      <c r="L404" s="602"/>
      <c r="M404" s="603"/>
      <c r="N404" s="588"/>
      <c r="O404" s="604"/>
      <c r="P404" s="605"/>
      <c r="Q404" s="588"/>
      <c r="R404" s="604"/>
      <c r="S404" s="605"/>
      <c r="T404" s="606"/>
      <c r="U404" s="606"/>
      <c r="V404" s="429" t="str">
        <f t="shared" si="514"/>
        <v/>
      </c>
      <c r="W404" s="430" t="str">
        <f t="shared" si="513"/>
        <v/>
      </c>
      <c r="X404" s="66" t="str">
        <f>IF(AND(ISNUMBER(P404),N404=FixedDim),MAX('Adjustment factors'!$S$16,0.2+0.8*P404),IF(ISTEXT(N404),VLOOKUP(N404,Afactors,2,TRUE),""))</f>
        <v/>
      </c>
      <c r="Y404" s="17" t="str">
        <f>IF(AND(ISNUMBER(S404),Q404=FixedDim),MAX('Adjustment factors'!$S$16,0.2+0.8*S404),IF(ISTEXT(Q404),VLOOKUP(Q404,Afactors,2,TRUE),""))</f>
        <v/>
      </c>
      <c r="Z404" s="297" t="str">
        <f>IF(ISBLANK(T404),"",VLOOKUP(T404,'Adjustment factors'!$R$27:$S$30,2,TRUE))</f>
        <v/>
      </c>
      <c r="AA404" s="297" t="str">
        <f>IF(ISBLANK(U404),"",VLOOKUP(U404,'Adjustment factors'!$R$27:$S$30,2,TRUE))</f>
        <v/>
      </c>
      <c r="AB404" s="480">
        <f t="shared" si="485"/>
        <v>1</v>
      </c>
      <c r="AC404" s="18" t="b">
        <f t="shared" si="442"/>
        <v>0</v>
      </c>
      <c r="AD404" s="18" t="b">
        <f t="shared" si="443"/>
        <v>0</v>
      </c>
      <c r="AE404" s="18" t="b">
        <f t="shared" si="510"/>
        <v>0</v>
      </c>
      <c r="AF404" s="17" t="str">
        <f t="shared" si="444"/>
        <v/>
      </c>
      <c r="AG404" s="18" t="str">
        <f t="shared" si="445"/>
        <v/>
      </c>
      <c r="AH404" s="17" t="str">
        <f t="shared" si="511"/>
        <v/>
      </c>
      <c r="AI404" s="297" t="e">
        <f t="shared" si="486"/>
        <v>#VALUE!</v>
      </c>
      <c r="AJ404" s="79" t="e">
        <f t="shared" si="446"/>
        <v>#VALUE!</v>
      </c>
      <c r="AK404" s="17" t="str">
        <f t="shared" si="512"/>
        <v/>
      </c>
      <c r="AL404" s="80" t="e">
        <f t="shared" si="447"/>
        <v>#VALUE!</v>
      </c>
      <c r="AM404" s="139" t="b">
        <f t="shared" si="448"/>
        <v>1</v>
      </c>
      <c r="AN404" s="139" t="b">
        <f>AND(COUNTA(E404)&gt;0,ISNUMBER(F404),OR(COUNT(G404:H404)=0,COUNT(G404:H404)=2,AND(ISNUMBER(G404),ISNUMBER(VALUE(LEFT(H404,SUM(LEN(H404)-LEN(SUBSTITUTE(H404,{"0","1","2","3","4","5","6","7","8","9","."},"")))))))),ISNUMBER(I404),ISTEXT(J404))</f>
        <v>0</v>
      </c>
      <c r="AO404" s="19" t="b">
        <f t="shared" si="449"/>
        <v>0</v>
      </c>
      <c r="AP404" s="19" t="b">
        <f t="shared" si="450"/>
        <v>1</v>
      </c>
      <c r="AQ404" s="19" t="b">
        <f>IF(AND(COUNTBLANK(E404:J404)=6,OR(AN405:AN$523)),NOT(AN404))</f>
        <v>0</v>
      </c>
      <c r="AR404" s="19" t="str">
        <f t="shared" si="451"/>
        <v/>
      </c>
      <c r="AS404" s="19" t="b">
        <f t="shared" si="452"/>
        <v>1</v>
      </c>
      <c r="AT404" s="19" t="str">
        <f t="shared" si="453"/>
        <v/>
      </c>
      <c r="AU404" s="19" t="b">
        <f t="shared" si="454"/>
        <v>1</v>
      </c>
      <c r="AV404" s="140" t="str">
        <f t="shared" si="494"/>
        <v/>
      </c>
      <c r="AW404" s="19" t="str">
        <f t="shared" si="455"/>
        <v/>
      </c>
      <c r="AX404" s="81">
        <f t="shared" si="456"/>
        <v>0</v>
      </c>
      <c r="AY404" s="81" t="str">
        <f t="shared" si="457"/>
        <v/>
      </c>
      <c r="AZ404" s="307" t="str">
        <f t="shared" si="487"/>
        <v/>
      </c>
      <c r="BA404" s="281" t="str">
        <f t="shared" si="495"/>
        <v/>
      </c>
      <c r="BB404" s="281" t="str">
        <f t="shared" si="496"/>
        <v/>
      </c>
      <c r="BC404" s="953"/>
      <c r="BD404" s="955"/>
      <c r="BE404" s="219" t="str">
        <f t="shared" si="458"/>
        <v>n/a</v>
      </c>
      <c r="BF404" s="215" t="b">
        <f t="shared" si="459"/>
        <v>0</v>
      </c>
      <c r="BG404" s="145" t="b">
        <f t="shared" si="460"/>
        <v>0</v>
      </c>
      <c r="BH404" s="145" t="b">
        <f t="shared" si="461"/>
        <v>0</v>
      </c>
      <c r="BI404" s="216" t="b">
        <f t="shared" si="462"/>
        <v>0</v>
      </c>
      <c r="BJ404" s="215" t="b">
        <f t="shared" si="463"/>
        <v>0</v>
      </c>
      <c r="BK404" s="145" t="b">
        <f t="shared" si="464"/>
        <v>0</v>
      </c>
      <c r="BL404" s="216" t="b">
        <f t="shared" si="465"/>
        <v>0</v>
      </c>
      <c r="BM404" s="217" t="str">
        <f t="shared" si="497"/>
        <v/>
      </c>
      <c r="BN404" s="146" t="str">
        <f t="shared" si="498"/>
        <v/>
      </c>
      <c r="BO404" s="147" t="str">
        <f t="shared" si="499"/>
        <v/>
      </c>
      <c r="BP404" s="148" t="str">
        <f t="shared" si="500"/>
        <v/>
      </c>
      <c r="BT404" s="50">
        <f t="shared" si="493"/>
        <v>381</v>
      </c>
      <c r="BU404" s="50" t="str">
        <f t="shared" si="515"/>
        <v>-</v>
      </c>
      <c r="BW404" s="340"/>
      <c r="BX404" s="333"/>
      <c r="BY404" s="333"/>
      <c r="BZ404" s="333"/>
      <c r="CA404" s="333"/>
      <c r="CB404" s="333"/>
      <c r="CC404" s="333"/>
      <c r="CD404" s="333"/>
      <c r="CE404" s="333"/>
      <c r="CF404" s="333"/>
      <c r="CG404" s="354">
        <f t="shared" si="466"/>
        <v>381</v>
      </c>
      <c r="CH404" s="613">
        <f t="shared" si="467"/>
        <v>0</v>
      </c>
      <c r="CI404" s="613">
        <f t="shared" si="468"/>
        <v>0</v>
      </c>
      <c r="CJ404" s="614" t="str">
        <f t="shared" si="469"/>
        <v/>
      </c>
      <c r="CK404" s="615" t="str">
        <f t="shared" si="470"/>
        <v/>
      </c>
      <c r="CL404" s="610" t="str">
        <f>IF(ISBLANK(H404),"",IF(AND(ISNUMBER(F404),ISNUMBER(G404),ISNUMBER(H404)),ROUND(F404/(H404*G404),2),ROUND(F404/(VALUE(LEFT(H404,SUM(LEN(H404)-LEN(SUBSTITUTE(H404,{"0","1","2","3","4","5","6","7","8","9","."},"")))))*G404),2)))</f>
        <v/>
      </c>
      <c r="CM404" s="616" t="str">
        <f t="shared" si="501"/>
        <v/>
      </c>
      <c r="CN404" s="616" t="str">
        <f>IF(ISNUMBER(P404),MAX('Adjustment factors'!$S$16,(0.2+0.8*P404)),IF(ISTEXT(N404),VLOOKUP(N404,Afactors,2,FALSE),""))</f>
        <v/>
      </c>
      <c r="CO404" s="616" t="str">
        <f>IF(ISNUMBER(S404),MAX('Adjustment factors'!$S$16,0.2+0.8*S404),IF(ISTEXT(Q404),VLOOKUP(Q404,Afactors,2,FALSE),""))</f>
        <v/>
      </c>
      <c r="CP404" s="611" t="str">
        <f t="shared" si="488"/>
        <v/>
      </c>
      <c r="CQ404" s="612" t="str">
        <f t="shared" si="489"/>
        <v/>
      </c>
      <c r="CR404" s="340"/>
      <c r="CS404" s="340"/>
      <c r="CT404" s="340"/>
      <c r="CU404" s="340"/>
      <c r="CV404" s="333"/>
      <c r="CW404" s="333"/>
      <c r="CX404" s="333"/>
      <c r="CY404" s="333"/>
      <c r="DA404" s="313" t="str">
        <f t="shared" si="471"/>
        <v>OK</v>
      </c>
      <c r="DB404" s="313" t="str">
        <f t="shared" si="472"/>
        <v>OK</v>
      </c>
      <c r="DC404" s="313" t="str">
        <f t="shared" si="473"/>
        <v>OK</v>
      </c>
      <c r="DD404" s="313" t="str">
        <f t="shared" si="474"/>
        <v>OK</v>
      </c>
      <c r="DE404" s="153" t="str">
        <f t="shared" si="475"/>
        <v>OK</v>
      </c>
      <c r="DF404" s="314" t="str">
        <f t="shared" si="476"/>
        <v>OK</v>
      </c>
      <c r="DG404" s="482" t="str">
        <f t="shared" si="490"/>
        <v>OK</v>
      </c>
      <c r="DH404" s="482" t="str">
        <f>IF(OR(AND(T404='Adjustment factors'!$R$28,'Class 3, 5-9'!U404='Adjustment factors'!$R$29),AND('Class 3, 5-9'!T404='Adjustment factors'!$R$29,'Class 3, 5-9'!U404='Adjustment factors'!$R$28)),"Invalid combination of adjustment factors",IF(AND(T404=U404,NOT(ISBLANK(T404)),NOT(ISBLANK(U404))),"Same colour factor selected twice","OK"))</f>
        <v>OK</v>
      </c>
      <c r="DI404" s="313" t="str">
        <f t="shared" si="477"/>
        <v>OK</v>
      </c>
      <c r="DJ404" s="153" t="str">
        <f t="shared" si="502"/>
        <v>OK</v>
      </c>
      <c r="DK404" s="153" t="str">
        <f t="shared" si="478"/>
        <v>OK</v>
      </c>
      <c r="DL404" s="313" t="str">
        <f t="shared" si="479"/>
        <v>OK</v>
      </c>
      <c r="DM404" s="153" t="str">
        <f t="shared" si="480"/>
        <v>OK</v>
      </c>
      <c r="DN404" s="153" t="str">
        <f t="shared" si="503"/>
        <v>OK</v>
      </c>
      <c r="DO404" s="154" t="str">
        <f t="shared" si="504"/>
        <v>OK</v>
      </c>
      <c r="DP404" s="153" t="str">
        <f t="shared" si="481"/>
        <v>OK</v>
      </c>
      <c r="DQ404" s="313" t="str">
        <f t="shared" si="482"/>
        <v>OK</v>
      </c>
      <c r="DR404" s="153" t="str">
        <f t="shared" si="505"/>
        <v>OK</v>
      </c>
      <c r="DS404" s="153" t="str">
        <f t="shared" si="483"/>
        <v>OK</v>
      </c>
      <c r="DT404" s="313" t="str">
        <f t="shared" si="517"/>
        <v>OK</v>
      </c>
      <c r="DU404" s="153" t="str">
        <f t="shared" si="484"/>
        <v>OK</v>
      </c>
      <c r="DV404" s="153" t="str">
        <f t="shared" si="506"/>
        <v>OK</v>
      </c>
      <c r="DW404" s="154" t="str">
        <f t="shared" si="507"/>
        <v>OK</v>
      </c>
      <c r="DX404" s="157">
        <f t="shared" si="508"/>
        <v>0</v>
      </c>
      <c r="DY404" s="156" t="str">
        <f t="shared" si="509"/>
        <v>OK</v>
      </c>
    </row>
    <row r="405" spans="1:129" ht="13" hidden="1" x14ac:dyDescent="0.3">
      <c r="A405" s="333"/>
      <c r="B405" s="333"/>
      <c r="C405" s="332" t="str">
        <f t="shared" si="516"/>
        <v>-</v>
      </c>
      <c r="D405" s="584">
        <f t="shared" si="492"/>
        <v>382</v>
      </c>
      <c r="E405" s="585"/>
      <c r="F405" s="586"/>
      <c r="G405" s="600"/>
      <c r="H405" s="587"/>
      <c r="I405" s="601"/>
      <c r="J405" s="585"/>
      <c r="K405" s="617"/>
      <c r="L405" s="602"/>
      <c r="M405" s="603"/>
      <c r="N405" s="588"/>
      <c r="O405" s="604"/>
      <c r="P405" s="605"/>
      <c r="Q405" s="588"/>
      <c r="R405" s="604"/>
      <c r="S405" s="605"/>
      <c r="T405" s="606"/>
      <c r="U405" s="606"/>
      <c r="V405" s="429" t="str">
        <f t="shared" si="514"/>
        <v/>
      </c>
      <c r="W405" s="430" t="str">
        <f t="shared" si="513"/>
        <v/>
      </c>
      <c r="X405" s="66" t="str">
        <f>IF(AND(ISNUMBER(P405),N405=FixedDim),MAX('Adjustment factors'!$S$16,0.2+0.8*P405),IF(ISTEXT(N405),VLOOKUP(N405,Afactors,2,TRUE),""))</f>
        <v/>
      </c>
      <c r="Y405" s="17" t="str">
        <f>IF(AND(ISNUMBER(S405),Q405=FixedDim),MAX('Adjustment factors'!$S$16,0.2+0.8*S405),IF(ISTEXT(Q405),VLOOKUP(Q405,Afactors,2,TRUE),""))</f>
        <v/>
      </c>
      <c r="Z405" s="297" t="str">
        <f>IF(ISBLANK(T405),"",VLOOKUP(T405,'Adjustment factors'!$R$27:$S$30,2,TRUE))</f>
        <v/>
      </c>
      <c r="AA405" s="297" t="str">
        <f>IF(ISBLANK(U405),"",VLOOKUP(U405,'Adjustment factors'!$R$27:$S$30,2,TRUE))</f>
        <v/>
      </c>
      <c r="AB405" s="480">
        <f t="shared" si="485"/>
        <v>1</v>
      </c>
      <c r="AC405" s="18" t="b">
        <f t="shared" si="442"/>
        <v>0</v>
      </c>
      <c r="AD405" s="18" t="b">
        <f t="shared" si="443"/>
        <v>0</v>
      </c>
      <c r="AE405" s="18" t="b">
        <f t="shared" si="510"/>
        <v>0</v>
      </c>
      <c r="AF405" s="17" t="str">
        <f t="shared" si="444"/>
        <v/>
      </c>
      <c r="AG405" s="18" t="str">
        <f t="shared" si="445"/>
        <v/>
      </c>
      <c r="AH405" s="17" t="str">
        <f t="shared" si="511"/>
        <v/>
      </c>
      <c r="AI405" s="297" t="e">
        <f t="shared" si="486"/>
        <v>#VALUE!</v>
      </c>
      <c r="AJ405" s="79" t="e">
        <f t="shared" si="446"/>
        <v>#VALUE!</v>
      </c>
      <c r="AK405" s="17" t="str">
        <f t="shared" si="512"/>
        <v/>
      </c>
      <c r="AL405" s="80" t="e">
        <f t="shared" si="447"/>
        <v>#VALUE!</v>
      </c>
      <c r="AM405" s="139" t="b">
        <f t="shared" si="448"/>
        <v>1</v>
      </c>
      <c r="AN405" s="139" t="b">
        <f>AND(COUNTA(E405)&gt;0,ISNUMBER(F405),OR(COUNT(G405:H405)=0,COUNT(G405:H405)=2,AND(ISNUMBER(G405),ISNUMBER(VALUE(LEFT(H405,SUM(LEN(H405)-LEN(SUBSTITUTE(H405,{"0","1","2","3","4","5","6","7","8","9","."},"")))))))),ISNUMBER(I405),ISTEXT(J405))</f>
        <v>0</v>
      </c>
      <c r="AO405" s="19" t="b">
        <f t="shared" si="449"/>
        <v>0</v>
      </c>
      <c r="AP405" s="19" t="b">
        <f t="shared" si="450"/>
        <v>1</v>
      </c>
      <c r="AQ405" s="19" t="b">
        <f>IF(AND(COUNTBLANK(E405:J405)=6,OR(AN406:AN$523)),NOT(AN405))</f>
        <v>0</v>
      </c>
      <c r="AR405" s="19" t="str">
        <f t="shared" si="451"/>
        <v/>
      </c>
      <c r="AS405" s="19" t="b">
        <f t="shared" si="452"/>
        <v>1</v>
      </c>
      <c r="AT405" s="19" t="str">
        <f t="shared" si="453"/>
        <v/>
      </c>
      <c r="AU405" s="19" t="b">
        <f t="shared" si="454"/>
        <v>1</v>
      </c>
      <c r="AV405" s="140" t="str">
        <f t="shared" si="494"/>
        <v/>
      </c>
      <c r="AW405" s="19" t="str">
        <f t="shared" si="455"/>
        <v/>
      </c>
      <c r="AX405" s="81">
        <f t="shared" si="456"/>
        <v>0</v>
      </c>
      <c r="AY405" s="81" t="str">
        <f t="shared" si="457"/>
        <v/>
      </c>
      <c r="AZ405" s="307" t="str">
        <f t="shared" si="487"/>
        <v/>
      </c>
      <c r="BA405" s="281" t="str">
        <f t="shared" si="495"/>
        <v/>
      </c>
      <c r="BB405" s="281" t="str">
        <f t="shared" si="496"/>
        <v/>
      </c>
      <c r="BC405" s="953"/>
      <c r="BD405" s="955"/>
      <c r="BE405" s="219" t="str">
        <f t="shared" si="458"/>
        <v>n/a</v>
      </c>
      <c r="BF405" s="215" t="b">
        <f t="shared" si="459"/>
        <v>0</v>
      </c>
      <c r="BG405" s="145" t="b">
        <f t="shared" si="460"/>
        <v>0</v>
      </c>
      <c r="BH405" s="145" t="b">
        <f t="shared" si="461"/>
        <v>0</v>
      </c>
      <c r="BI405" s="216" t="b">
        <f t="shared" si="462"/>
        <v>0</v>
      </c>
      <c r="BJ405" s="215" t="b">
        <f t="shared" si="463"/>
        <v>0</v>
      </c>
      <c r="BK405" s="145" t="b">
        <f t="shared" si="464"/>
        <v>0</v>
      </c>
      <c r="BL405" s="216" t="b">
        <f t="shared" si="465"/>
        <v>0</v>
      </c>
      <c r="BM405" s="217" t="str">
        <f t="shared" si="497"/>
        <v/>
      </c>
      <c r="BN405" s="146" t="str">
        <f t="shared" si="498"/>
        <v/>
      </c>
      <c r="BO405" s="147" t="str">
        <f t="shared" si="499"/>
        <v/>
      </c>
      <c r="BP405" s="148" t="str">
        <f t="shared" si="500"/>
        <v/>
      </c>
      <c r="BT405" s="50">
        <f t="shared" si="493"/>
        <v>382</v>
      </c>
      <c r="BU405" s="50" t="str">
        <f t="shared" si="515"/>
        <v>-</v>
      </c>
      <c r="BW405" s="340"/>
      <c r="BX405" s="333"/>
      <c r="BY405" s="333"/>
      <c r="BZ405" s="333"/>
      <c r="CA405" s="333"/>
      <c r="CB405" s="333"/>
      <c r="CC405" s="333"/>
      <c r="CD405" s="333"/>
      <c r="CE405" s="333"/>
      <c r="CF405" s="333"/>
      <c r="CG405" s="354">
        <f t="shared" si="466"/>
        <v>382</v>
      </c>
      <c r="CH405" s="613">
        <f t="shared" si="467"/>
        <v>0</v>
      </c>
      <c r="CI405" s="613">
        <f t="shared" si="468"/>
        <v>0</v>
      </c>
      <c r="CJ405" s="614" t="str">
        <f t="shared" si="469"/>
        <v/>
      </c>
      <c r="CK405" s="615" t="str">
        <f t="shared" si="470"/>
        <v/>
      </c>
      <c r="CL405" s="610" t="str">
        <f>IF(ISBLANK(H405),"",IF(AND(ISNUMBER(F405),ISNUMBER(G405),ISNUMBER(H405)),ROUND(F405/(H405*G405),2),ROUND(F405/(VALUE(LEFT(H405,SUM(LEN(H405)-LEN(SUBSTITUTE(H405,{"0","1","2","3","4","5","6","7","8","9","."},"")))))*G405),2)))</f>
        <v/>
      </c>
      <c r="CM405" s="616" t="str">
        <f t="shared" si="501"/>
        <v/>
      </c>
      <c r="CN405" s="616" t="str">
        <f>IF(ISNUMBER(P405),MAX('Adjustment factors'!$S$16,(0.2+0.8*P405)),IF(ISTEXT(N405),VLOOKUP(N405,Afactors,2,FALSE),""))</f>
        <v/>
      </c>
      <c r="CO405" s="616" t="str">
        <f>IF(ISNUMBER(S405),MAX('Adjustment factors'!$S$16,0.2+0.8*S405),IF(ISTEXT(Q405),VLOOKUP(Q405,Afactors,2,FALSE),""))</f>
        <v/>
      </c>
      <c r="CP405" s="611" t="str">
        <f t="shared" si="488"/>
        <v/>
      </c>
      <c r="CQ405" s="612" t="str">
        <f t="shared" si="489"/>
        <v/>
      </c>
      <c r="CR405" s="340"/>
      <c r="CS405" s="340"/>
      <c r="CT405" s="340"/>
      <c r="CU405" s="340"/>
      <c r="CV405" s="333"/>
      <c r="CW405" s="333"/>
      <c r="CX405" s="333"/>
      <c r="CY405" s="333"/>
      <c r="DA405" s="313" t="str">
        <f t="shared" si="471"/>
        <v>OK</v>
      </c>
      <c r="DB405" s="313" t="str">
        <f t="shared" si="472"/>
        <v>OK</v>
      </c>
      <c r="DC405" s="313" t="str">
        <f t="shared" si="473"/>
        <v>OK</v>
      </c>
      <c r="DD405" s="313" t="str">
        <f t="shared" si="474"/>
        <v>OK</v>
      </c>
      <c r="DE405" s="153" t="str">
        <f t="shared" si="475"/>
        <v>OK</v>
      </c>
      <c r="DF405" s="314" t="str">
        <f t="shared" si="476"/>
        <v>OK</v>
      </c>
      <c r="DG405" s="482" t="str">
        <f t="shared" si="490"/>
        <v>OK</v>
      </c>
      <c r="DH405" s="482" t="str">
        <f>IF(OR(AND(T405='Adjustment factors'!$R$28,'Class 3, 5-9'!U405='Adjustment factors'!$R$29),AND('Class 3, 5-9'!T405='Adjustment factors'!$R$29,'Class 3, 5-9'!U405='Adjustment factors'!$R$28)),"Invalid combination of adjustment factors",IF(AND(T405=U405,NOT(ISBLANK(T405)),NOT(ISBLANK(U405))),"Same colour factor selected twice","OK"))</f>
        <v>OK</v>
      </c>
      <c r="DI405" s="313" t="str">
        <f t="shared" si="477"/>
        <v>OK</v>
      </c>
      <c r="DJ405" s="153" t="str">
        <f t="shared" si="502"/>
        <v>OK</v>
      </c>
      <c r="DK405" s="153" t="str">
        <f t="shared" si="478"/>
        <v>OK</v>
      </c>
      <c r="DL405" s="313" t="str">
        <f t="shared" si="479"/>
        <v>OK</v>
      </c>
      <c r="DM405" s="153" t="str">
        <f t="shared" si="480"/>
        <v>OK</v>
      </c>
      <c r="DN405" s="153" t="str">
        <f t="shared" si="503"/>
        <v>OK</v>
      </c>
      <c r="DO405" s="154" t="str">
        <f t="shared" si="504"/>
        <v>OK</v>
      </c>
      <c r="DP405" s="153" t="str">
        <f t="shared" si="481"/>
        <v>OK</v>
      </c>
      <c r="DQ405" s="313" t="str">
        <f t="shared" si="482"/>
        <v>OK</v>
      </c>
      <c r="DR405" s="153" t="str">
        <f t="shared" si="505"/>
        <v>OK</v>
      </c>
      <c r="DS405" s="153" t="str">
        <f t="shared" si="483"/>
        <v>OK</v>
      </c>
      <c r="DT405" s="313" t="str">
        <f t="shared" si="517"/>
        <v>OK</v>
      </c>
      <c r="DU405" s="153" t="str">
        <f t="shared" si="484"/>
        <v>OK</v>
      </c>
      <c r="DV405" s="153" t="str">
        <f t="shared" si="506"/>
        <v>OK</v>
      </c>
      <c r="DW405" s="154" t="str">
        <f t="shared" si="507"/>
        <v>OK</v>
      </c>
      <c r="DX405" s="157">
        <f t="shared" si="508"/>
        <v>0</v>
      </c>
      <c r="DY405" s="156" t="str">
        <f t="shared" si="509"/>
        <v>OK</v>
      </c>
    </row>
    <row r="406" spans="1:129" ht="13" hidden="1" x14ac:dyDescent="0.3">
      <c r="A406" s="333"/>
      <c r="B406" s="333"/>
      <c r="C406" s="332" t="str">
        <f t="shared" si="516"/>
        <v>-</v>
      </c>
      <c r="D406" s="584">
        <f t="shared" si="492"/>
        <v>383</v>
      </c>
      <c r="E406" s="585"/>
      <c r="F406" s="586"/>
      <c r="G406" s="600"/>
      <c r="H406" s="587"/>
      <c r="I406" s="601"/>
      <c r="J406" s="585"/>
      <c r="K406" s="617"/>
      <c r="L406" s="602"/>
      <c r="M406" s="603"/>
      <c r="N406" s="588"/>
      <c r="O406" s="604"/>
      <c r="P406" s="605"/>
      <c r="Q406" s="588"/>
      <c r="R406" s="604"/>
      <c r="S406" s="605"/>
      <c r="T406" s="606"/>
      <c r="U406" s="606"/>
      <c r="V406" s="429" t="str">
        <f t="shared" si="514"/>
        <v/>
      </c>
      <c r="W406" s="430" t="str">
        <f t="shared" si="513"/>
        <v/>
      </c>
      <c r="X406" s="66" t="str">
        <f>IF(AND(ISNUMBER(P406),N406=FixedDim),MAX('Adjustment factors'!$S$16,0.2+0.8*P406),IF(ISTEXT(N406),VLOOKUP(N406,Afactors,2,TRUE),""))</f>
        <v/>
      </c>
      <c r="Y406" s="17" t="str">
        <f>IF(AND(ISNUMBER(S406),Q406=FixedDim),MAX('Adjustment factors'!$S$16,0.2+0.8*S406),IF(ISTEXT(Q406),VLOOKUP(Q406,Afactors,2,TRUE),""))</f>
        <v/>
      </c>
      <c r="Z406" s="297" t="str">
        <f>IF(ISBLANK(T406),"",VLOOKUP(T406,'Adjustment factors'!$R$27:$S$30,2,TRUE))</f>
        <v/>
      </c>
      <c r="AA406" s="297" t="str">
        <f>IF(ISBLANK(U406),"",VLOOKUP(U406,'Adjustment factors'!$R$27:$S$30,2,TRUE))</f>
        <v/>
      </c>
      <c r="AB406" s="480">
        <f t="shared" si="485"/>
        <v>1</v>
      </c>
      <c r="AC406" s="18" t="b">
        <f t="shared" si="442"/>
        <v>0</v>
      </c>
      <c r="AD406" s="18" t="b">
        <f t="shared" si="443"/>
        <v>0</v>
      </c>
      <c r="AE406" s="18" t="b">
        <f t="shared" si="510"/>
        <v>0</v>
      </c>
      <c r="AF406" s="17" t="str">
        <f t="shared" si="444"/>
        <v/>
      </c>
      <c r="AG406" s="18" t="str">
        <f t="shared" si="445"/>
        <v/>
      </c>
      <c r="AH406" s="17" t="str">
        <f t="shared" si="511"/>
        <v/>
      </c>
      <c r="AI406" s="297" t="e">
        <f t="shared" si="486"/>
        <v>#VALUE!</v>
      </c>
      <c r="AJ406" s="79" t="e">
        <f t="shared" si="446"/>
        <v>#VALUE!</v>
      </c>
      <c r="AK406" s="17" t="str">
        <f t="shared" si="512"/>
        <v/>
      </c>
      <c r="AL406" s="80" t="e">
        <f t="shared" si="447"/>
        <v>#VALUE!</v>
      </c>
      <c r="AM406" s="139" t="b">
        <f t="shared" si="448"/>
        <v>1</v>
      </c>
      <c r="AN406" s="139" t="b">
        <f>AND(COUNTA(E406)&gt;0,ISNUMBER(F406),OR(COUNT(G406:H406)=0,COUNT(G406:H406)=2,AND(ISNUMBER(G406),ISNUMBER(VALUE(LEFT(H406,SUM(LEN(H406)-LEN(SUBSTITUTE(H406,{"0","1","2","3","4","5","6","7","8","9","."},"")))))))),ISNUMBER(I406),ISTEXT(J406))</f>
        <v>0</v>
      </c>
      <c r="AO406" s="19" t="b">
        <f t="shared" si="449"/>
        <v>0</v>
      </c>
      <c r="AP406" s="19" t="b">
        <f t="shared" si="450"/>
        <v>1</v>
      </c>
      <c r="AQ406" s="19" t="b">
        <f>IF(AND(COUNTBLANK(E406:J406)=6,OR(AN407:AN$523)),NOT(AN406))</f>
        <v>0</v>
      </c>
      <c r="AR406" s="19" t="str">
        <f t="shared" si="451"/>
        <v/>
      </c>
      <c r="AS406" s="19" t="b">
        <f t="shared" si="452"/>
        <v>1</v>
      </c>
      <c r="AT406" s="19" t="str">
        <f t="shared" si="453"/>
        <v/>
      </c>
      <c r="AU406" s="19" t="b">
        <f t="shared" si="454"/>
        <v>1</v>
      </c>
      <c r="AV406" s="140" t="str">
        <f t="shared" si="494"/>
        <v/>
      </c>
      <c r="AW406" s="19" t="str">
        <f t="shared" si="455"/>
        <v/>
      </c>
      <c r="AX406" s="81">
        <f t="shared" si="456"/>
        <v>0</v>
      </c>
      <c r="AY406" s="81" t="str">
        <f t="shared" si="457"/>
        <v/>
      </c>
      <c r="AZ406" s="307" t="str">
        <f t="shared" si="487"/>
        <v/>
      </c>
      <c r="BA406" s="281" t="str">
        <f t="shared" si="495"/>
        <v/>
      </c>
      <c r="BB406" s="281" t="str">
        <f t="shared" si="496"/>
        <v/>
      </c>
      <c r="BC406" s="953"/>
      <c r="BD406" s="955"/>
      <c r="BE406" s="219" t="str">
        <f t="shared" si="458"/>
        <v>n/a</v>
      </c>
      <c r="BF406" s="215" t="b">
        <f t="shared" si="459"/>
        <v>0</v>
      </c>
      <c r="BG406" s="145" t="b">
        <f t="shared" si="460"/>
        <v>0</v>
      </c>
      <c r="BH406" s="145" t="b">
        <f t="shared" si="461"/>
        <v>0</v>
      </c>
      <c r="BI406" s="216" t="b">
        <f t="shared" si="462"/>
        <v>0</v>
      </c>
      <c r="BJ406" s="215" t="b">
        <f t="shared" si="463"/>
        <v>0</v>
      </c>
      <c r="BK406" s="145" t="b">
        <f t="shared" si="464"/>
        <v>0</v>
      </c>
      <c r="BL406" s="216" t="b">
        <f t="shared" si="465"/>
        <v>0</v>
      </c>
      <c r="BM406" s="217" t="str">
        <f t="shared" si="497"/>
        <v/>
      </c>
      <c r="BN406" s="146" t="str">
        <f t="shared" si="498"/>
        <v/>
      </c>
      <c r="BO406" s="147" t="str">
        <f t="shared" si="499"/>
        <v/>
      </c>
      <c r="BP406" s="148" t="str">
        <f t="shared" si="500"/>
        <v/>
      </c>
      <c r="BT406" s="50">
        <f t="shared" si="493"/>
        <v>383</v>
      </c>
      <c r="BU406" s="50" t="str">
        <f t="shared" si="515"/>
        <v>-</v>
      </c>
      <c r="BW406" s="340"/>
      <c r="BX406" s="333"/>
      <c r="BY406" s="333"/>
      <c r="BZ406" s="333"/>
      <c r="CA406" s="333"/>
      <c r="CB406" s="333"/>
      <c r="CC406" s="333"/>
      <c r="CD406" s="333"/>
      <c r="CE406" s="333"/>
      <c r="CF406" s="333"/>
      <c r="CG406" s="354">
        <f t="shared" si="466"/>
        <v>383</v>
      </c>
      <c r="CH406" s="613">
        <f t="shared" si="467"/>
        <v>0</v>
      </c>
      <c r="CI406" s="613">
        <f t="shared" si="468"/>
        <v>0</v>
      </c>
      <c r="CJ406" s="614" t="str">
        <f t="shared" si="469"/>
        <v/>
      </c>
      <c r="CK406" s="615" t="str">
        <f t="shared" si="470"/>
        <v/>
      </c>
      <c r="CL406" s="610" t="str">
        <f>IF(ISBLANK(H406),"",IF(AND(ISNUMBER(F406),ISNUMBER(G406),ISNUMBER(H406)),ROUND(F406/(H406*G406),2),ROUND(F406/(VALUE(LEFT(H406,SUM(LEN(H406)-LEN(SUBSTITUTE(H406,{"0","1","2","3","4","5","6","7","8","9","."},"")))))*G406),2)))</f>
        <v/>
      </c>
      <c r="CM406" s="616" t="str">
        <f t="shared" si="501"/>
        <v/>
      </c>
      <c r="CN406" s="616" t="str">
        <f>IF(ISNUMBER(P406),MAX('Adjustment factors'!$S$16,(0.2+0.8*P406)),IF(ISTEXT(N406),VLOOKUP(N406,Afactors,2,FALSE),""))</f>
        <v/>
      </c>
      <c r="CO406" s="616" t="str">
        <f>IF(ISNUMBER(S406),MAX('Adjustment factors'!$S$16,0.2+0.8*S406),IF(ISTEXT(Q406),VLOOKUP(Q406,Afactors,2,FALSE),""))</f>
        <v/>
      </c>
      <c r="CP406" s="611" t="str">
        <f t="shared" si="488"/>
        <v/>
      </c>
      <c r="CQ406" s="612" t="str">
        <f t="shared" si="489"/>
        <v/>
      </c>
      <c r="CR406" s="340"/>
      <c r="CS406" s="340"/>
      <c r="CT406" s="340"/>
      <c r="CU406" s="340"/>
      <c r="CV406" s="333"/>
      <c r="CW406" s="333"/>
      <c r="CX406" s="333"/>
      <c r="CY406" s="333"/>
      <c r="DA406" s="313" t="str">
        <f t="shared" si="471"/>
        <v>OK</v>
      </c>
      <c r="DB406" s="313" t="str">
        <f t="shared" si="472"/>
        <v>OK</v>
      </c>
      <c r="DC406" s="313" t="str">
        <f t="shared" si="473"/>
        <v>OK</v>
      </c>
      <c r="DD406" s="313" t="str">
        <f t="shared" si="474"/>
        <v>OK</v>
      </c>
      <c r="DE406" s="153" t="str">
        <f t="shared" si="475"/>
        <v>OK</v>
      </c>
      <c r="DF406" s="314" t="str">
        <f t="shared" si="476"/>
        <v>OK</v>
      </c>
      <c r="DG406" s="482" t="str">
        <f t="shared" si="490"/>
        <v>OK</v>
      </c>
      <c r="DH406" s="482" t="str">
        <f>IF(OR(AND(T406='Adjustment factors'!$R$28,'Class 3, 5-9'!U406='Adjustment factors'!$R$29),AND('Class 3, 5-9'!T406='Adjustment factors'!$R$29,'Class 3, 5-9'!U406='Adjustment factors'!$R$28)),"Invalid combination of adjustment factors",IF(AND(T406=U406,NOT(ISBLANK(T406)),NOT(ISBLANK(U406))),"Same colour factor selected twice","OK"))</f>
        <v>OK</v>
      </c>
      <c r="DI406" s="313" t="str">
        <f t="shared" si="477"/>
        <v>OK</v>
      </c>
      <c r="DJ406" s="153" t="str">
        <f t="shared" si="502"/>
        <v>OK</v>
      </c>
      <c r="DK406" s="153" t="str">
        <f t="shared" si="478"/>
        <v>OK</v>
      </c>
      <c r="DL406" s="313" t="str">
        <f t="shared" si="479"/>
        <v>OK</v>
      </c>
      <c r="DM406" s="153" t="str">
        <f t="shared" si="480"/>
        <v>OK</v>
      </c>
      <c r="DN406" s="153" t="str">
        <f t="shared" si="503"/>
        <v>OK</v>
      </c>
      <c r="DO406" s="154" t="str">
        <f t="shared" si="504"/>
        <v>OK</v>
      </c>
      <c r="DP406" s="153" t="str">
        <f t="shared" si="481"/>
        <v>OK</v>
      </c>
      <c r="DQ406" s="313" t="str">
        <f t="shared" si="482"/>
        <v>OK</v>
      </c>
      <c r="DR406" s="153" t="str">
        <f t="shared" si="505"/>
        <v>OK</v>
      </c>
      <c r="DS406" s="153" t="str">
        <f t="shared" si="483"/>
        <v>OK</v>
      </c>
      <c r="DT406" s="313" t="str">
        <f t="shared" si="517"/>
        <v>OK</v>
      </c>
      <c r="DU406" s="153" t="str">
        <f t="shared" si="484"/>
        <v>OK</v>
      </c>
      <c r="DV406" s="153" t="str">
        <f t="shared" si="506"/>
        <v>OK</v>
      </c>
      <c r="DW406" s="154" t="str">
        <f t="shared" si="507"/>
        <v>OK</v>
      </c>
      <c r="DX406" s="157">
        <f t="shared" si="508"/>
        <v>0</v>
      </c>
      <c r="DY406" s="156" t="str">
        <f t="shared" si="509"/>
        <v>OK</v>
      </c>
    </row>
    <row r="407" spans="1:129" ht="13" hidden="1" x14ac:dyDescent="0.3">
      <c r="A407" s="333"/>
      <c r="B407" s="333"/>
      <c r="C407" s="332" t="str">
        <f t="shared" si="516"/>
        <v>-</v>
      </c>
      <c r="D407" s="584">
        <f t="shared" si="492"/>
        <v>384</v>
      </c>
      <c r="E407" s="585"/>
      <c r="F407" s="586"/>
      <c r="G407" s="600"/>
      <c r="H407" s="587"/>
      <c r="I407" s="601"/>
      <c r="J407" s="585"/>
      <c r="K407" s="617"/>
      <c r="L407" s="602"/>
      <c r="M407" s="603"/>
      <c r="N407" s="588"/>
      <c r="O407" s="604"/>
      <c r="P407" s="605"/>
      <c r="Q407" s="588"/>
      <c r="R407" s="604"/>
      <c r="S407" s="605"/>
      <c r="T407" s="606"/>
      <c r="U407" s="606"/>
      <c r="V407" s="429" t="str">
        <f t="shared" si="514"/>
        <v/>
      </c>
      <c r="W407" s="430" t="str">
        <f t="shared" si="513"/>
        <v/>
      </c>
      <c r="X407" s="66" t="str">
        <f>IF(AND(ISNUMBER(P407),N407=FixedDim),MAX('Adjustment factors'!$S$16,0.2+0.8*P407),IF(ISTEXT(N407),VLOOKUP(N407,Afactors,2,TRUE),""))</f>
        <v/>
      </c>
      <c r="Y407" s="17" t="str">
        <f>IF(AND(ISNUMBER(S407),Q407=FixedDim),MAX('Adjustment factors'!$S$16,0.2+0.8*S407),IF(ISTEXT(Q407),VLOOKUP(Q407,Afactors,2,TRUE),""))</f>
        <v/>
      </c>
      <c r="Z407" s="297" t="str">
        <f>IF(ISBLANK(T407),"",VLOOKUP(T407,'Adjustment factors'!$R$27:$S$30,2,TRUE))</f>
        <v/>
      </c>
      <c r="AA407" s="297" t="str">
        <f>IF(ISBLANK(U407),"",VLOOKUP(U407,'Adjustment factors'!$R$27:$S$30,2,TRUE))</f>
        <v/>
      </c>
      <c r="AB407" s="480">
        <f t="shared" si="485"/>
        <v>1</v>
      </c>
      <c r="AC407" s="18" t="b">
        <f t="shared" si="442"/>
        <v>0</v>
      </c>
      <c r="AD407" s="18" t="b">
        <f t="shared" si="443"/>
        <v>0</v>
      </c>
      <c r="AE407" s="18" t="b">
        <f t="shared" si="510"/>
        <v>0</v>
      </c>
      <c r="AF407" s="17" t="str">
        <f t="shared" si="444"/>
        <v/>
      </c>
      <c r="AG407" s="18" t="str">
        <f t="shared" si="445"/>
        <v/>
      </c>
      <c r="AH407" s="17" t="str">
        <f t="shared" si="511"/>
        <v/>
      </c>
      <c r="AI407" s="297" t="e">
        <f t="shared" si="486"/>
        <v>#VALUE!</v>
      </c>
      <c r="AJ407" s="79" t="e">
        <f t="shared" si="446"/>
        <v>#VALUE!</v>
      </c>
      <c r="AK407" s="17" t="str">
        <f t="shared" si="512"/>
        <v/>
      </c>
      <c r="AL407" s="80" t="e">
        <f t="shared" si="447"/>
        <v>#VALUE!</v>
      </c>
      <c r="AM407" s="139" t="b">
        <f t="shared" si="448"/>
        <v>1</v>
      </c>
      <c r="AN407" s="139" t="b">
        <f>AND(COUNTA(E407)&gt;0,ISNUMBER(F407),OR(COUNT(G407:H407)=0,COUNT(G407:H407)=2,AND(ISNUMBER(G407),ISNUMBER(VALUE(LEFT(H407,SUM(LEN(H407)-LEN(SUBSTITUTE(H407,{"0","1","2","3","4","5","6","7","8","9","."},"")))))))),ISNUMBER(I407),ISTEXT(J407))</f>
        <v>0</v>
      </c>
      <c r="AO407" s="19" t="b">
        <f t="shared" si="449"/>
        <v>0</v>
      </c>
      <c r="AP407" s="19" t="b">
        <f t="shared" si="450"/>
        <v>1</v>
      </c>
      <c r="AQ407" s="19" t="b">
        <f>IF(AND(COUNTBLANK(E407:J407)=6,OR(AN408:AN$523)),NOT(AN407))</f>
        <v>0</v>
      </c>
      <c r="AR407" s="19" t="str">
        <f t="shared" si="451"/>
        <v/>
      </c>
      <c r="AS407" s="19" t="b">
        <f t="shared" si="452"/>
        <v>1</v>
      </c>
      <c r="AT407" s="19" t="str">
        <f t="shared" si="453"/>
        <v/>
      </c>
      <c r="AU407" s="19" t="b">
        <f t="shared" si="454"/>
        <v>1</v>
      </c>
      <c r="AV407" s="140" t="str">
        <f t="shared" si="494"/>
        <v/>
      </c>
      <c r="AW407" s="19" t="str">
        <f t="shared" si="455"/>
        <v/>
      </c>
      <c r="AX407" s="81">
        <f t="shared" si="456"/>
        <v>0</v>
      </c>
      <c r="AY407" s="81" t="str">
        <f t="shared" si="457"/>
        <v/>
      </c>
      <c r="AZ407" s="307" t="str">
        <f t="shared" si="487"/>
        <v/>
      </c>
      <c r="BA407" s="281" t="str">
        <f t="shared" si="495"/>
        <v/>
      </c>
      <c r="BB407" s="281" t="str">
        <f t="shared" si="496"/>
        <v/>
      </c>
      <c r="BC407" s="953"/>
      <c r="BD407" s="955"/>
      <c r="BE407" s="219" t="str">
        <f t="shared" si="458"/>
        <v>n/a</v>
      </c>
      <c r="BF407" s="215" t="b">
        <f t="shared" si="459"/>
        <v>0</v>
      </c>
      <c r="BG407" s="145" t="b">
        <f t="shared" si="460"/>
        <v>0</v>
      </c>
      <c r="BH407" s="145" t="b">
        <f t="shared" si="461"/>
        <v>0</v>
      </c>
      <c r="BI407" s="216" t="b">
        <f t="shared" si="462"/>
        <v>0</v>
      </c>
      <c r="BJ407" s="215" t="b">
        <f t="shared" si="463"/>
        <v>0</v>
      </c>
      <c r="BK407" s="145" t="b">
        <f t="shared" si="464"/>
        <v>0</v>
      </c>
      <c r="BL407" s="216" t="b">
        <f t="shared" si="465"/>
        <v>0</v>
      </c>
      <c r="BM407" s="217" t="str">
        <f t="shared" si="497"/>
        <v/>
      </c>
      <c r="BN407" s="146" t="str">
        <f t="shared" si="498"/>
        <v/>
      </c>
      <c r="BO407" s="147" t="str">
        <f t="shared" si="499"/>
        <v/>
      </c>
      <c r="BP407" s="148" t="str">
        <f t="shared" si="500"/>
        <v/>
      </c>
      <c r="BT407" s="50">
        <f t="shared" si="493"/>
        <v>384</v>
      </c>
      <c r="BU407" s="50" t="str">
        <f t="shared" si="515"/>
        <v>-</v>
      </c>
      <c r="BW407" s="340"/>
      <c r="BX407" s="333"/>
      <c r="BY407" s="333"/>
      <c r="BZ407" s="333"/>
      <c r="CA407" s="333"/>
      <c r="CB407" s="333"/>
      <c r="CC407" s="333"/>
      <c r="CD407" s="333"/>
      <c r="CE407" s="333"/>
      <c r="CF407" s="333"/>
      <c r="CG407" s="354">
        <f t="shared" si="466"/>
        <v>384</v>
      </c>
      <c r="CH407" s="613">
        <f t="shared" si="467"/>
        <v>0</v>
      </c>
      <c r="CI407" s="613">
        <f t="shared" si="468"/>
        <v>0</v>
      </c>
      <c r="CJ407" s="614" t="str">
        <f t="shared" si="469"/>
        <v/>
      </c>
      <c r="CK407" s="615" t="str">
        <f t="shared" si="470"/>
        <v/>
      </c>
      <c r="CL407" s="610" t="str">
        <f>IF(ISBLANK(H407),"",IF(AND(ISNUMBER(F407),ISNUMBER(G407),ISNUMBER(H407)),ROUND(F407/(H407*G407),2),ROUND(F407/(VALUE(LEFT(H407,SUM(LEN(H407)-LEN(SUBSTITUTE(H407,{"0","1","2","3","4","5","6","7","8","9","."},"")))))*G407),2)))</f>
        <v/>
      </c>
      <c r="CM407" s="616" t="str">
        <f t="shared" si="501"/>
        <v/>
      </c>
      <c r="CN407" s="616" t="str">
        <f>IF(ISNUMBER(P407),MAX('Adjustment factors'!$S$16,(0.2+0.8*P407)),IF(ISTEXT(N407),VLOOKUP(N407,Afactors,2,FALSE),""))</f>
        <v/>
      </c>
      <c r="CO407" s="616" t="str">
        <f>IF(ISNUMBER(S407),MAX('Adjustment factors'!$S$16,0.2+0.8*S407),IF(ISTEXT(Q407),VLOOKUP(Q407,Afactors,2,FALSE),""))</f>
        <v/>
      </c>
      <c r="CP407" s="611" t="str">
        <f t="shared" si="488"/>
        <v/>
      </c>
      <c r="CQ407" s="612" t="str">
        <f t="shared" si="489"/>
        <v/>
      </c>
      <c r="CR407" s="340"/>
      <c r="CS407" s="340"/>
      <c r="CT407" s="340"/>
      <c r="CU407" s="340"/>
      <c r="CV407" s="333"/>
      <c r="CW407" s="333"/>
      <c r="CX407" s="333"/>
      <c r="CY407" s="333"/>
      <c r="DA407" s="313" t="str">
        <f t="shared" si="471"/>
        <v>OK</v>
      </c>
      <c r="DB407" s="313" t="str">
        <f t="shared" si="472"/>
        <v>OK</v>
      </c>
      <c r="DC407" s="313" t="str">
        <f t="shared" si="473"/>
        <v>OK</v>
      </c>
      <c r="DD407" s="313" t="str">
        <f t="shared" si="474"/>
        <v>OK</v>
      </c>
      <c r="DE407" s="153" t="str">
        <f t="shared" si="475"/>
        <v>OK</v>
      </c>
      <c r="DF407" s="314" t="str">
        <f t="shared" si="476"/>
        <v>OK</v>
      </c>
      <c r="DG407" s="482" t="str">
        <f t="shared" si="490"/>
        <v>OK</v>
      </c>
      <c r="DH407" s="482" t="str">
        <f>IF(OR(AND(T407='Adjustment factors'!$R$28,'Class 3, 5-9'!U407='Adjustment factors'!$R$29),AND('Class 3, 5-9'!T407='Adjustment factors'!$R$29,'Class 3, 5-9'!U407='Adjustment factors'!$R$28)),"Invalid combination of adjustment factors",IF(AND(T407=U407,NOT(ISBLANK(T407)),NOT(ISBLANK(U407))),"Same colour factor selected twice","OK"))</f>
        <v>OK</v>
      </c>
      <c r="DI407" s="313" t="str">
        <f t="shared" si="477"/>
        <v>OK</v>
      </c>
      <c r="DJ407" s="153" t="str">
        <f t="shared" si="502"/>
        <v>OK</v>
      </c>
      <c r="DK407" s="153" t="str">
        <f t="shared" si="478"/>
        <v>OK</v>
      </c>
      <c r="DL407" s="313" t="str">
        <f t="shared" si="479"/>
        <v>OK</v>
      </c>
      <c r="DM407" s="153" t="str">
        <f t="shared" si="480"/>
        <v>OK</v>
      </c>
      <c r="DN407" s="153" t="str">
        <f t="shared" si="503"/>
        <v>OK</v>
      </c>
      <c r="DO407" s="154" t="str">
        <f t="shared" si="504"/>
        <v>OK</v>
      </c>
      <c r="DP407" s="153" t="str">
        <f t="shared" si="481"/>
        <v>OK</v>
      </c>
      <c r="DQ407" s="313" t="str">
        <f t="shared" si="482"/>
        <v>OK</v>
      </c>
      <c r="DR407" s="153" t="str">
        <f t="shared" si="505"/>
        <v>OK</v>
      </c>
      <c r="DS407" s="153" t="str">
        <f t="shared" si="483"/>
        <v>OK</v>
      </c>
      <c r="DT407" s="313" t="str">
        <f t="shared" si="517"/>
        <v>OK</v>
      </c>
      <c r="DU407" s="153" t="str">
        <f t="shared" si="484"/>
        <v>OK</v>
      </c>
      <c r="DV407" s="153" t="str">
        <f t="shared" si="506"/>
        <v>OK</v>
      </c>
      <c r="DW407" s="154" t="str">
        <f t="shared" si="507"/>
        <v>OK</v>
      </c>
      <c r="DX407" s="157">
        <f t="shared" si="508"/>
        <v>0</v>
      </c>
      <c r="DY407" s="156" t="str">
        <f t="shared" si="509"/>
        <v>OK</v>
      </c>
    </row>
    <row r="408" spans="1:129" ht="13" hidden="1" x14ac:dyDescent="0.3">
      <c r="A408" s="333"/>
      <c r="B408" s="333"/>
      <c r="C408" s="332" t="str">
        <f t="shared" si="516"/>
        <v>-</v>
      </c>
      <c r="D408" s="584">
        <f t="shared" si="492"/>
        <v>385</v>
      </c>
      <c r="E408" s="585"/>
      <c r="F408" s="586"/>
      <c r="G408" s="600"/>
      <c r="H408" s="587"/>
      <c r="I408" s="601"/>
      <c r="J408" s="585"/>
      <c r="K408" s="617"/>
      <c r="L408" s="602"/>
      <c r="M408" s="603"/>
      <c r="N408" s="588"/>
      <c r="O408" s="604"/>
      <c r="P408" s="605"/>
      <c r="Q408" s="588"/>
      <c r="R408" s="604"/>
      <c r="S408" s="605"/>
      <c r="T408" s="606"/>
      <c r="U408" s="606"/>
      <c r="V408" s="429" t="str">
        <f t="shared" si="514"/>
        <v/>
      </c>
      <c r="W408" s="430" t="str">
        <f t="shared" si="513"/>
        <v/>
      </c>
      <c r="X408" s="66" t="str">
        <f>IF(AND(ISNUMBER(P408),N408=FixedDim),MAX('Adjustment factors'!$S$16,0.2+0.8*P408),IF(ISTEXT(N408),VLOOKUP(N408,Afactors,2,TRUE),""))</f>
        <v/>
      </c>
      <c r="Y408" s="17" t="str">
        <f>IF(AND(ISNUMBER(S408),Q408=FixedDim),MAX('Adjustment factors'!$S$16,0.2+0.8*S408),IF(ISTEXT(Q408),VLOOKUP(Q408,Afactors,2,TRUE),""))</f>
        <v/>
      </c>
      <c r="Z408" s="297" t="str">
        <f>IF(ISBLANK(T408),"",VLOOKUP(T408,'Adjustment factors'!$R$27:$S$30,2,TRUE))</f>
        <v/>
      </c>
      <c r="AA408" s="297" t="str">
        <f>IF(ISBLANK(U408),"",VLOOKUP(U408,'Adjustment factors'!$R$27:$S$30,2,TRUE))</f>
        <v/>
      </c>
      <c r="AB408" s="480">
        <f t="shared" si="485"/>
        <v>1</v>
      </c>
      <c r="AC408" s="18" t="b">
        <f t="shared" ref="AC408:AC471" si="518">OR(ISNUMBER(X408),ISNUMBER(Y408))</f>
        <v>0</v>
      </c>
      <c r="AD408" s="18" t="b">
        <f t="shared" ref="AD408:AD471" si="519">AND(ISNUMBER(X408),ISNUMBER(Y408))</f>
        <v>0</v>
      </c>
      <c r="AE408" s="18" t="b">
        <f t="shared" si="510"/>
        <v>0</v>
      </c>
      <c r="AF408" s="17" t="str">
        <f t="shared" ref="AF408:AF471" si="520">IF(OR(ISNUMBER(X408),ISNUMBER(Y408)),SMALL(X408:Y408,1),"")</f>
        <v/>
      </c>
      <c r="AG408" s="18" t="str">
        <f t="shared" ref="AG408:AG471" si="521">IF(AD408,SMALL(X408:Y408,2),"")</f>
        <v/>
      </c>
      <c r="AH408" s="17" t="str">
        <f t="shared" si="511"/>
        <v/>
      </c>
      <c r="AI408" s="297" t="e">
        <f t="shared" si="486"/>
        <v>#VALUE!</v>
      </c>
      <c r="AJ408" s="79" t="e">
        <f t="shared" ref="AJ408:AJ471" si="522">IF(AND(AC408,AE408,AR408),AI408/X408,IF(AE408,AI408,IF(AND(AC408,AR408),AI408/X408,IF(AND(NOT(AC408),NOT(AE408)),CK408/AB408,""))))</f>
        <v>#VALUE!</v>
      </c>
      <c r="AK408" s="17" t="str">
        <f t="shared" si="512"/>
        <v/>
      </c>
      <c r="AL408" s="80" t="e">
        <f t="shared" ref="AL408:AL471" si="523">IF(AND(AD408,AE408),IF(Q408=FixedDim,IF(ISNUMBER(S408),AI408/AK408,""),AI408/AK408),IF(AND(AD408,Q408=FixedDim,ISNUMBER(S408)),CK408/AK408,IF(AND(AD408,Q408=FixedDim,ISBLANK(S408)),"",CK408/(AK408*AB408))))</f>
        <v>#VALUE!</v>
      </c>
      <c r="AM408" s="139" t="b">
        <f t="shared" ref="AM408:AM471" si="524">OR(AND(NOT(ISBLANK(E408)),AN408),COUNTA(E408:J408)+COUNTA(N408:S408)=0)</f>
        <v>1</v>
      </c>
      <c r="AN408" s="139" t="b">
        <f>AND(COUNTA(E408)&gt;0,ISNUMBER(F408),OR(COUNT(G408:H408)=0,COUNT(G408:H408)=2,AND(ISNUMBER(G408),ISNUMBER(VALUE(LEFT(H408,SUM(LEN(H408)-LEN(SUBSTITUTE(H408,{"0","1","2","3","4","5","6","7","8","9","."},"")))))))),ISNUMBER(I408),ISTEXT(J408))</f>
        <v>0</v>
      </c>
      <c r="AO408" s="19" t="b">
        <f t="shared" ref="AO408:AO471" si="525">NOT(COUNTBLANK(E408:J408)=6)</f>
        <v>0</v>
      </c>
      <c r="AP408" s="19" t="b">
        <f t="shared" ref="AP408:AP471" si="526">COUNTBLANK(E408:J408)=6</f>
        <v>1</v>
      </c>
      <c r="AQ408" s="19" t="b">
        <f>IF(AND(COUNTBLANK(E408:J408)=6,OR(AN409:AN$523)),NOT(AN408))</f>
        <v>0</v>
      </c>
      <c r="AR408" s="19" t="str">
        <f t="shared" ref="AR408:AR471" si="527">IF(COUNTBLANK(N408)&lt;=0,OR(AND(VLOOKUP(N408,Afactors,3,TRUE),NOT(ISNUMBER(O408)),NOT(ISNUMBER(P408))),AND(N408=FixedDim,NOT(ISNUMBER(O408)),(ISNUMBER(P408))),AND(N408=ProgDim,NOT(ISNUMBER(P408)),(ISNUMBER(O408)),O408&gt;=0.75)),IF(AS408,"",FALSE))</f>
        <v/>
      </c>
      <c r="AS408" s="19" t="b">
        <f t="shared" ref="AS408:AS471" si="528">AND(ISBLANK(O408),ISBLANK(P408))</f>
        <v>1</v>
      </c>
      <c r="AT408" s="19" t="str">
        <f t="shared" ref="AT408:AT471" si="529">IF(COUNTBLANK(Q408)&lt;=0,OR(AND(VLOOKUP(Q408,Afactors,3,TRUE),NOT(ISNUMBER(R408)),NOT(ISNUMBER(S408))),AND(Q408=FixedDim,NOT(ISNUMBER(R408)),(ISNUMBER(S408))),AND(Q408=ProgDim,NOT(ISNUMBER(S408)),(ISNUMBER(R408)),R408&gt;=0.75)),IF(AU408,"",FALSE))</f>
        <v/>
      </c>
      <c r="AU408" s="19" t="b">
        <f t="shared" ref="AU408:AU471" si="530">AND(ISBLANK(R408),ISBLANK(S408))</f>
        <v>1</v>
      </c>
      <c r="AV408" s="140" t="str">
        <f t="shared" si="494"/>
        <v/>
      </c>
      <c r="AW408" s="19" t="str">
        <f t="shared" ref="AW408:AW471" si="531">IF(AND(AM408,AN408,AR408,AT408),BP408,"")</f>
        <v/>
      </c>
      <c r="AX408" s="81">
        <f t="shared" ref="AX408:AX471" si="532">I408</f>
        <v>0</v>
      </c>
      <c r="AY408" s="81" t="str">
        <f t="shared" ref="AY408:AY471" si="533">V408</f>
        <v/>
      </c>
      <c r="AZ408" s="307" t="str">
        <f t="shared" si="487"/>
        <v/>
      </c>
      <c r="BA408" s="281" t="str">
        <f t="shared" si="495"/>
        <v/>
      </c>
      <c r="BB408" s="281" t="str">
        <f t="shared" si="496"/>
        <v/>
      </c>
      <c r="BC408" s="953"/>
      <c r="BD408" s="955"/>
      <c r="BE408" s="219" t="str">
        <f t="shared" ref="BE408:BE471" si="534">IF(G408=0,"n/a",G408&gt;=2*PI()*(F408/PI())^0.5)</f>
        <v>n/a</v>
      </c>
      <c r="BF408" s="215" t="b">
        <f t="shared" ref="BF408:BF471" si="535">AND(AM408,AN408,I408&gt;CQ408,Passcheck,InputIssuesOne=0,TopInputsOKOne)</f>
        <v>0</v>
      </c>
      <c r="BG408" s="145" t="b">
        <f t="shared" ref="BG408:BG471" si="536">AND(AM408,AN408,AR408,AT408,I408&lt;=CQ408,Passcheck,InputIssuesOne=0,TopInputsOKOne)</f>
        <v>0</v>
      </c>
      <c r="BH408" s="145" t="b">
        <f t="shared" ref="BH408:BH471" si="537">AND(AM408,AN408,AR408,AT408,I408&gt;CQ408,FailCheck,InputIssuesOne=0,TopInputsOKOne)</f>
        <v>0</v>
      </c>
      <c r="BI408" s="216" t="b">
        <f t="shared" ref="BI408:BI471" si="538">AND(AM408,AN408,I408&lt;=CQ408,InputIssuesOne=0,TopInputsOKOne)</f>
        <v>0</v>
      </c>
      <c r="BJ408" s="215" t="b">
        <f t="shared" ref="BJ408:BJ471" si="539">AND(AM408,AN408,AR408,AT408,Passcheck,InputIssuesOne=0,TopInputsOKOne)</f>
        <v>0</v>
      </c>
      <c r="BK408" s="145" t="b">
        <f t="shared" ref="BK408:BK471" si="540">AND(AM408,AN408,AR408,AT408,FailCheck,InputIssuesOne=0,TopInputsOKOne)</f>
        <v>0</v>
      </c>
      <c r="BL408" s="216" t="b">
        <f t="shared" ref="BL408:BL471" si="541">DX408&gt;0</f>
        <v>0</v>
      </c>
      <c r="BM408" s="217" t="str">
        <f t="shared" si="497"/>
        <v/>
      </c>
      <c r="BN408" s="146" t="str">
        <f t="shared" si="498"/>
        <v/>
      </c>
      <c r="BO408" s="147" t="str">
        <f t="shared" si="499"/>
        <v/>
      </c>
      <c r="BP408" s="148" t="str">
        <f t="shared" si="500"/>
        <v/>
      </c>
      <c r="BT408" s="50">
        <f t="shared" si="493"/>
        <v>385</v>
      </c>
      <c r="BU408" s="50" t="str">
        <f t="shared" si="515"/>
        <v>-</v>
      </c>
      <c r="BW408" s="340"/>
      <c r="BX408" s="333"/>
      <c r="BY408" s="333"/>
      <c r="BZ408" s="333"/>
      <c r="CA408" s="333"/>
      <c r="CB408" s="333"/>
      <c r="CC408" s="333"/>
      <c r="CD408" s="333"/>
      <c r="CE408" s="333"/>
      <c r="CF408" s="333"/>
      <c r="CG408" s="354">
        <f t="shared" ref="CG408:CG471" si="542">D408</f>
        <v>385</v>
      </c>
      <c r="CH408" s="613">
        <f t="shared" ref="CH408:CH471" si="543">E408</f>
        <v>0</v>
      </c>
      <c r="CI408" s="613">
        <f t="shared" ref="CI408:CI471" si="544">J408</f>
        <v>0</v>
      </c>
      <c r="CJ408" s="614" t="str">
        <f t="shared" ref="CJ408:CJ471" si="545">IF(ISBLANK(J408),"",VLOOKUP(J408,SpaceS1,5,FALSE))</f>
        <v/>
      </c>
      <c r="CK408" s="615" t="str">
        <f t="shared" ref="CK408:CK471" si="546">IF(ISBLANK(J408),"",ROUND(VLOOKUP(J408,SpaceS1,5,FALSE)*F408,0))</f>
        <v/>
      </c>
      <c r="CL408" s="610" t="str">
        <f>IF(ISBLANK(H408),"",IF(AND(ISNUMBER(F408),ISNUMBER(G408),ISNUMBER(H408)),ROUND(F408/(H408*G408),2),ROUND(F408/(VALUE(LEFT(H408,SUM(LEN(H408)-LEN(SUBSTITUTE(H408,{"0","1","2","3","4","5","6","7","8","9","."},"")))))*G408),2)))</f>
        <v/>
      </c>
      <c r="CM408" s="616" t="str">
        <f t="shared" si="501"/>
        <v/>
      </c>
      <c r="CN408" s="616" t="str">
        <f>IF(ISNUMBER(P408),MAX('Adjustment factors'!$S$16,(0.2+0.8*P408)),IF(ISTEXT(N408),VLOOKUP(N408,Afactors,2,FALSE),""))</f>
        <v/>
      </c>
      <c r="CO408" s="616" t="str">
        <f>IF(ISNUMBER(S408),MAX('Adjustment factors'!$S$16,0.2+0.8*S408),IF(ISTEXT(Q408),VLOOKUP(Q408,Afactors,2,FALSE),""))</f>
        <v/>
      </c>
      <c r="CP408" s="611" t="str">
        <f t="shared" si="488"/>
        <v/>
      </c>
      <c r="CQ408" s="612" t="str">
        <f t="shared" si="489"/>
        <v/>
      </c>
      <c r="CR408" s="340"/>
      <c r="CS408" s="340"/>
      <c r="CT408" s="340"/>
      <c r="CU408" s="340"/>
      <c r="CV408" s="333"/>
      <c r="CW408" s="333"/>
      <c r="CX408" s="333"/>
      <c r="CY408" s="333"/>
      <c r="DA408" s="313" t="str">
        <f t="shared" ref="DA408:DA471" si="547">IF(AND(COUNTA(DescriptionOne,ClassificationOne)=2,ISBLANK(E408),COUNTA(F408:J408)+COUNTA(N408:S408)&gt;0),"Enter Description","OK")</f>
        <v>OK</v>
      </c>
      <c r="DB408" s="313" t="str">
        <f t="shared" ref="DB408:DB471" si="548">IF(AND(COUNTA(DescriptionOne,ClassificationOne)=2,COUNTA(E408:J408)+COUNTA(N408:S408)&gt;0,ISBLANK(F408)),"Enter Floor area of the space","OK")</f>
        <v>OK</v>
      </c>
      <c r="DC408" s="313" t="str">
        <f t="shared" ref="DC408:DC471" si="549">IF(AND(COUNTA(DescriptionOne,ClassificationOne)=2,COUNTA(E408:J408)+COUNTA(N408:S408)&gt;0,ISBLANK(G408),H408&gt;0),"Enter Perimeter or clear height","OK")</f>
        <v>OK</v>
      </c>
      <c r="DD408" s="313" t="str">
        <f t="shared" ref="DD408:DD471" si="550">IF(AND(COUNTA(DescriptionOne,ClassificationOne)=2,COUNTA(E408:J408)+COUNTA(N408:S408)&gt;0,G408&gt;0,ISBLANK(H408)),"Enter Floor to ceiling height","OK")</f>
        <v>OK</v>
      </c>
      <c r="DE408" s="153" t="str">
        <f t="shared" ref="DE408:DE471" si="551">IF(AND(COUNTA(DescriptionOne,ClassificationOne)=2,COUNTA(E408:H408)&gt;1,ISBLANK(I408)),"Enter Design Illumination Power","OK")</f>
        <v>OK</v>
      </c>
      <c r="DF408" s="314" t="str">
        <f t="shared" ref="DF408:DF471" si="552">IF(AND(COUNTA(DescriptionOne,ClassificationOne)=2,COUNTA(E408:J408)+COUNTA(N408:S408)&gt;0,ISBLANK(J408)),"Enter Space","OK")</f>
        <v>OK</v>
      </c>
      <c r="DG408" s="482" t="str">
        <f t="shared" si="490"/>
        <v>OK</v>
      </c>
      <c r="DH408" s="482" t="str">
        <f>IF(OR(AND(T408='Adjustment factors'!$R$28,'Class 3, 5-9'!U408='Adjustment factors'!$R$29),AND('Class 3, 5-9'!T408='Adjustment factors'!$R$29,'Class 3, 5-9'!U408='Adjustment factors'!$R$28)),"Invalid combination of adjustment factors",IF(AND(T408=U408,NOT(ISBLANK(T408)),NOT(ISBLANK(U408))),"Same colour factor selected twice","OK"))</f>
        <v>OK</v>
      </c>
      <c r="DI408" s="313" t="str">
        <f t="shared" ref="DI408:DI471" si="553">IF(AND(COUNTA(DescriptionOne,ClassificationOne)=2,COUNTA(E408:J408)+COUNTA(N408:S408)&gt;0,OR(N408=ProgDim),ISBLANK(O408)),"Enter % of floor area controlled","OK")</f>
        <v>OK</v>
      </c>
      <c r="DJ408" s="153" t="str">
        <f t="shared" si="502"/>
        <v>OK</v>
      </c>
      <c r="DK408" s="153" t="str">
        <f t="shared" ref="DK408:DK471" si="554">IF(AND(COUNTA(O408)&gt;0, NOT(OR(N408=ProgDim))), "Adjustment factor is missing", "OK")</f>
        <v>OK</v>
      </c>
      <c r="DL408" s="313" t="str">
        <f t="shared" ref="DL408:DL471" si="555">IF(AND(ISNUMBER(P408),N408&lt;&gt;FixedDim),"Illuminance turndown is only valid for Fixed Dimming","OK")</f>
        <v>OK</v>
      </c>
      <c r="DM408" s="153" t="str">
        <f t="shared" ref="DM408:DM471" si="556">IF(AND(NOT(ISNUMBER(P408)),N408=FixedDim),"Enter an illuminance factor","OK")</f>
        <v>OK</v>
      </c>
      <c r="DN408" s="153" t="str">
        <f t="shared" si="503"/>
        <v>OK</v>
      </c>
      <c r="DO408" s="154" t="str">
        <f t="shared" si="504"/>
        <v>OK</v>
      </c>
      <c r="DP408" s="153" t="str">
        <f t="shared" ref="DP408:DP471" si="557">IF(AND(ISTEXT(Q408),NOT(ISTEXT(N408))),"Adjustment Factor 1 is missing","OK")</f>
        <v>OK</v>
      </c>
      <c r="DQ408" s="313" t="str">
        <f t="shared" ref="DQ408:DQ471" si="558">IF(AND(COUNTA(DescriptionOne,ClassificationOne)=2,COUNTA(E408:J408)+COUNTA(N408:S408)&gt;0,OR(Q408=ProgDim),ISBLANK(R408)),"Enter % of floor area controlled","OK")</f>
        <v>OK</v>
      </c>
      <c r="DR408" s="153" t="str">
        <f t="shared" si="505"/>
        <v>OK</v>
      </c>
      <c r="DS408" s="153" t="str">
        <f t="shared" ref="DS408:DS471" si="559">IF(AND(COUNTA(R408)&gt;0, NOT(OR(Q408=ProgDim))), "Adjustment factor is missing", "OK")</f>
        <v>OK</v>
      </c>
      <c r="DT408" s="313" t="str">
        <f t="shared" si="517"/>
        <v>OK</v>
      </c>
      <c r="DU408" s="153" t="str">
        <f t="shared" ref="DU408:DU471" si="560">IF(AND(NOT(ISNUMBER(S408)),Q408=FixedDim),"Enter an illuminance factor","OK")</f>
        <v>OK</v>
      </c>
      <c r="DV408" s="153" t="str">
        <f t="shared" si="506"/>
        <v>OK</v>
      </c>
      <c r="DW408" s="154" t="str">
        <f t="shared" si="507"/>
        <v>OK</v>
      </c>
      <c r="DX408" s="157">
        <f t="shared" si="508"/>
        <v>0</v>
      </c>
      <c r="DY408" s="156" t="str">
        <f t="shared" si="509"/>
        <v>OK</v>
      </c>
    </row>
    <row r="409" spans="1:129" ht="13" hidden="1" x14ac:dyDescent="0.3">
      <c r="A409" s="333"/>
      <c r="B409" s="333"/>
      <c r="C409" s="332" t="str">
        <f t="shared" si="516"/>
        <v>-</v>
      </c>
      <c r="D409" s="584">
        <f t="shared" si="492"/>
        <v>386</v>
      </c>
      <c r="E409" s="585"/>
      <c r="F409" s="586"/>
      <c r="G409" s="600"/>
      <c r="H409" s="587"/>
      <c r="I409" s="601"/>
      <c r="J409" s="585"/>
      <c r="K409" s="617"/>
      <c r="L409" s="602"/>
      <c r="M409" s="603"/>
      <c r="N409" s="588"/>
      <c r="O409" s="604"/>
      <c r="P409" s="605"/>
      <c r="Q409" s="588"/>
      <c r="R409" s="604"/>
      <c r="S409" s="605"/>
      <c r="T409" s="606"/>
      <c r="U409" s="606"/>
      <c r="V409" s="429" t="str">
        <f t="shared" si="514"/>
        <v/>
      </c>
      <c r="W409" s="430" t="str">
        <f t="shared" si="513"/>
        <v/>
      </c>
      <c r="X409" s="66" t="str">
        <f>IF(AND(ISNUMBER(P409),N409=FixedDim),MAX('Adjustment factors'!$S$16,0.2+0.8*P409),IF(ISTEXT(N409),VLOOKUP(N409,Afactors,2,TRUE),""))</f>
        <v/>
      </c>
      <c r="Y409" s="17" t="str">
        <f>IF(AND(ISNUMBER(S409),Q409=FixedDim),MAX('Adjustment factors'!$S$16,0.2+0.8*S409),IF(ISTEXT(Q409),VLOOKUP(Q409,Afactors,2,TRUE),""))</f>
        <v/>
      </c>
      <c r="Z409" s="297" t="str">
        <f>IF(ISBLANK(T409),"",VLOOKUP(T409,'Adjustment factors'!$R$27:$S$30,2,TRUE))</f>
        <v/>
      </c>
      <c r="AA409" s="297" t="str">
        <f>IF(ISBLANK(U409),"",VLOOKUP(U409,'Adjustment factors'!$R$27:$S$30,2,TRUE))</f>
        <v/>
      </c>
      <c r="AB409" s="480">
        <f t="shared" ref="AB409:AB472" si="561">IF(Z409="",1,IF(AA409="",Z409,Z409*AA409))</f>
        <v>1</v>
      </c>
      <c r="AC409" s="18" t="b">
        <f t="shared" si="518"/>
        <v>0</v>
      </c>
      <c r="AD409" s="18" t="b">
        <f t="shared" si="519"/>
        <v>0</v>
      </c>
      <c r="AE409" s="18" t="b">
        <f t="shared" si="510"/>
        <v>0</v>
      </c>
      <c r="AF409" s="17" t="str">
        <f t="shared" si="520"/>
        <v/>
      </c>
      <c r="AG409" s="18" t="str">
        <f t="shared" si="521"/>
        <v/>
      </c>
      <c r="AH409" s="17" t="str">
        <f t="shared" si="511"/>
        <v/>
      </c>
      <c r="AI409" s="297" t="e">
        <f t="shared" ref="AI409:AI472" si="562">IF(AND(ISNUMBER(AB409),ISNUMBER(AH409)),AH409/AB409,CK409/AB409)</f>
        <v>#VALUE!</v>
      </c>
      <c r="AJ409" s="79" t="e">
        <f t="shared" si="522"/>
        <v>#VALUE!</v>
      </c>
      <c r="AK409" s="17" t="str">
        <f t="shared" si="512"/>
        <v/>
      </c>
      <c r="AL409" s="80" t="e">
        <f t="shared" si="523"/>
        <v>#VALUE!</v>
      </c>
      <c r="AM409" s="139" t="b">
        <f t="shared" si="524"/>
        <v>1</v>
      </c>
      <c r="AN409" s="139" t="b">
        <f>AND(COUNTA(E409)&gt;0,ISNUMBER(F409),OR(COUNT(G409:H409)=0,COUNT(G409:H409)=2,AND(ISNUMBER(G409),ISNUMBER(VALUE(LEFT(H409,SUM(LEN(H409)-LEN(SUBSTITUTE(H409,{"0","1","2","3","4","5","6","7","8","9","."},"")))))))),ISNUMBER(I409),ISTEXT(J409))</f>
        <v>0</v>
      </c>
      <c r="AO409" s="19" t="b">
        <f t="shared" si="525"/>
        <v>0</v>
      </c>
      <c r="AP409" s="19" t="b">
        <f t="shared" si="526"/>
        <v>1</v>
      </c>
      <c r="AQ409" s="19" t="b">
        <f>IF(AND(COUNTBLANK(E409:J409)=6,OR(AN410:AN$523)),NOT(AN409))</f>
        <v>0</v>
      </c>
      <c r="AR409" s="19" t="str">
        <f t="shared" si="527"/>
        <v/>
      </c>
      <c r="AS409" s="19" t="b">
        <f t="shared" si="528"/>
        <v>1</v>
      </c>
      <c r="AT409" s="19" t="str">
        <f t="shared" si="529"/>
        <v/>
      </c>
      <c r="AU409" s="19" t="b">
        <f t="shared" si="530"/>
        <v>1</v>
      </c>
      <c r="AV409" s="140" t="str">
        <f t="shared" si="494"/>
        <v/>
      </c>
      <c r="AW409" s="19" t="str">
        <f t="shared" si="531"/>
        <v/>
      </c>
      <c r="AX409" s="81">
        <f t="shared" si="532"/>
        <v>0</v>
      </c>
      <c r="AY409" s="81" t="str">
        <f t="shared" si="533"/>
        <v/>
      </c>
      <c r="AZ409" s="307" t="str">
        <f t="shared" ref="AZ409:AZ472" si="563">IF(DA409&lt;&gt;"OK",DA409,IF(DB409&lt;&gt;"OK",DB409,IF(DC409&lt;&gt;"OK",DC409,IF(DD409&lt;&gt;"OK",DD409,IF(DE409&lt;&gt;"OK",DE409,IF(DF409&lt;&gt;"OK",DF409,IF(DG409&lt;&gt;"OK",DG409,IF(DH409&lt;&gt;"OK",DH409,BA409))))))))</f>
        <v/>
      </c>
      <c r="BA409" s="281" t="str">
        <f t="shared" si="495"/>
        <v/>
      </c>
      <c r="BB409" s="281" t="str">
        <f t="shared" si="496"/>
        <v/>
      </c>
      <c r="BC409" s="953"/>
      <c r="BD409" s="955"/>
      <c r="BE409" s="219" t="str">
        <f t="shared" si="534"/>
        <v>n/a</v>
      </c>
      <c r="BF409" s="215" t="b">
        <f t="shared" si="535"/>
        <v>0</v>
      </c>
      <c r="BG409" s="145" t="b">
        <f t="shared" si="536"/>
        <v>0</v>
      </c>
      <c r="BH409" s="145" t="b">
        <f t="shared" si="537"/>
        <v>0</v>
      </c>
      <c r="BI409" s="216" t="b">
        <f t="shared" si="538"/>
        <v>0</v>
      </c>
      <c r="BJ409" s="215" t="b">
        <f t="shared" si="539"/>
        <v>0</v>
      </c>
      <c r="BK409" s="145" t="b">
        <f t="shared" si="540"/>
        <v>0</v>
      </c>
      <c r="BL409" s="216" t="b">
        <f t="shared" si="541"/>
        <v>0</v>
      </c>
      <c r="BM409" s="217" t="str">
        <f t="shared" si="497"/>
        <v/>
      </c>
      <c r="BN409" s="146" t="str">
        <f t="shared" si="498"/>
        <v/>
      </c>
      <c r="BO409" s="147" t="str">
        <f t="shared" si="499"/>
        <v/>
      </c>
      <c r="BP409" s="148" t="str">
        <f t="shared" si="500"/>
        <v/>
      </c>
      <c r="BT409" s="50">
        <f t="shared" si="493"/>
        <v>386</v>
      </c>
      <c r="BU409" s="50" t="str">
        <f t="shared" si="515"/>
        <v>-</v>
      </c>
      <c r="BW409" s="340"/>
      <c r="BX409" s="333"/>
      <c r="BY409" s="333"/>
      <c r="BZ409" s="333"/>
      <c r="CA409" s="333"/>
      <c r="CB409" s="333"/>
      <c r="CC409" s="333"/>
      <c r="CD409" s="333"/>
      <c r="CE409" s="333"/>
      <c r="CF409" s="333"/>
      <c r="CG409" s="354">
        <f t="shared" si="542"/>
        <v>386</v>
      </c>
      <c r="CH409" s="613">
        <f t="shared" si="543"/>
        <v>0</v>
      </c>
      <c r="CI409" s="613">
        <f t="shared" si="544"/>
        <v>0</v>
      </c>
      <c r="CJ409" s="614" t="str">
        <f t="shared" si="545"/>
        <v/>
      </c>
      <c r="CK409" s="615" t="str">
        <f t="shared" si="546"/>
        <v/>
      </c>
      <c r="CL409" s="610" t="str">
        <f>IF(ISBLANK(H409),"",IF(AND(ISNUMBER(F409),ISNUMBER(G409),ISNUMBER(H409)),ROUND(F409/(H409*G409),2),ROUND(F409/(VALUE(LEFT(H409,SUM(LEN(H409)-LEN(SUBSTITUTE(H409,{"0","1","2","3","4","5","6","7","8","9","."},"")))))*G409),2)))</f>
        <v/>
      </c>
      <c r="CM409" s="616" t="str">
        <f t="shared" si="501"/>
        <v/>
      </c>
      <c r="CN409" s="616" t="str">
        <f>IF(ISNUMBER(P409),MAX('Adjustment factors'!$S$16,(0.2+0.8*P409)),IF(ISTEXT(N409),VLOOKUP(N409,Afactors,2,FALSE),""))</f>
        <v/>
      </c>
      <c r="CO409" s="616" t="str">
        <f>IF(ISNUMBER(S409),MAX('Adjustment factors'!$S$16,0.2+0.8*S409),IF(ISTEXT(Q409),VLOOKUP(Q409,Afactors,2,FALSE),""))</f>
        <v/>
      </c>
      <c r="CP409" s="611" t="str">
        <f t="shared" ref="CP409:CP472" si="564">IF(AB409&lt;&gt;1,AB409,"")</f>
        <v/>
      </c>
      <c r="CQ409" s="612" t="str">
        <f t="shared" ref="CQ409:CQ472" si="565">IFERROR(IF(AO409=TRUE,IF(ISNUMBER(AG409),ROUND(AL409,0),ROUND(AJ409,0)),""),"")</f>
        <v/>
      </c>
      <c r="CR409" s="340"/>
      <c r="CS409" s="340"/>
      <c r="CT409" s="340"/>
      <c r="CU409" s="340"/>
      <c r="CV409" s="333"/>
      <c r="CW409" s="333"/>
      <c r="CX409" s="333"/>
      <c r="CY409" s="333"/>
      <c r="DA409" s="313" t="str">
        <f t="shared" si="547"/>
        <v>OK</v>
      </c>
      <c r="DB409" s="313" t="str">
        <f t="shared" si="548"/>
        <v>OK</v>
      </c>
      <c r="DC409" s="313" t="str">
        <f t="shared" si="549"/>
        <v>OK</v>
      </c>
      <c r="DD409" s="313" t="str">
        <f t="shared" si="550"/>
        <v>OK</v>
      </c>
      <c r="DE409" s="153" t="str">
        <f t="shared" si="551"/>
        <v>OK</v>
      </c>
      <c r="DF409" s="314" t="str">
        <f t="shared" si="552"/>
        <v>OK</v>
      </c>
      <c r="DG409" s="482" t="str">
        <f t="shared" ref="DG409:DG472" si="566">IF(AND(COUNTBLANK(T409)=1,COUNTBLANK(U409)=0),"Second Colour Factor entered without First","OK")</f>
        <v>OK</v>
      </c>
      <c r="DH409" s="482" t="str">
        <f>IF(OR(AND(T409='Adjustment factors'!$R$28,'Class 3, 5-9'!U409='Adjustment factors'!$R$29),AND('Class 3, 5-9'!T409='Adjustment factors'!$R$29,'Class 3, 5-9'!U409='Adjustment factors'!$R$28)),"Invalid combination of adjustment factors",IF(AND(T409=U409,NOT(ISBLANK(T409)),NOT(ISBLANK(U409))),"Same colour factor selected twice","OK"))</f>
        <v>OK</v>
      </c>
      <c r="DI409" s="313" t="str">
        <f t="shared" si="553"/>
        <v>OK</v>
      </c>
      <c r="DJ409" s="153" t="str">
        <f t="shared" si="502"/>
        <v>OK</v>
      </c>
      <c r="DK409" s="153" t="str">
        <f t="shared" si="554"/>
        <v>OK</v>
      </c>
      <c r="DL409" s="313" t="str">
        <f t="shared" si="555"/>
        <v>OK</v>
      </c>
      <c r="DM409" s="153" t="str">
        <f t="shared" si="556"/>
        <v>OK</v>
      </c>
      <c r="DN409" s="153" t="str">
        <f t="shared" si="503"/>
        <v>OK</v>
      </c>
      <c r="DO409" s="154" t="str">
        <f t="shared" si="504"/>
        <v>OK</v>
      </c>
      <c r="DP409" s="153" t="str">
        <f t="shared" si="557"/>
        <v>OK</v>
      </c>
      <c r="DQ409" s="313" t="str">
        <f t="shared" si="558"/>
        <v>OK</v>
      </c>
      <c r="DR409" s="153" t="str">
        <f t="shared" si="505"/>
        <v>OK</v>
      </c>
      <c r="DS409" s="153" t="str">
        <f t="shared" si="559"/>
        <v>OK</v>
      </c>
      <c r="DT409" s="313" t="str">
        <f t="shared" si="517"/>
        <v>OK</v>
      </c>
      <c r="DU409" s="153" t="str">
        <f t="shared" si="560"/>
        <v>OK</v>
      </c>
      <c r="DV409" s="153" t="str">
        <f t="shared" si="506"/>
        <v>OK</v>
      </c>
      <c r="DW409" s="154" t="str">
        <f t="shared" si="507"/>
        <v>OK</v>
      </c>
      <c r="DX409" s="157">
        <f t="shared" si="508"/>
        <v>0</v>
      </c>
      <c r="DY409" s="156" t="str">
        <f t="shared" si="509"/>
        <v>OK</v>
      </c>
    </row>
    <row r="410" spans="1:129" ht="13" hidden="1" x14ac:dyDescent="0.3">
      <c r="A410" s="333"/>
      <c r="B410" s="333"/>
      <c r="C410" s="332" t="str">
        <f t="shared" si="516"/>
        <v>-</v>
      </c>
      <c r="D410" s="584">
        <f t="shared" si="492"/>
        <v>387</v>
      </c>
      <c r="E410" s="585"/>
      <c r="F410" s="586"/>
      <c r="G410" s="600"/>
      <c r="H410" s="587"/>
      <c r="I410" s="601"/>
      <c r="J410" s="585"/>
      <c r="K410" s="617"/>
      <c r="L410" s="602"/>
      <c r="M410" s="603"/>
      <c r="N410" s="588"/>
      <c r="O410" s="604"/>
      <c r="P410" s="605"/>
      <c r="Q410" s="588"/>
      <c r="R410" s="604"/>
      <c r="S410" s="605"/>
      <c r="T410" s="606"/>
      <c r="U410" s="606"/>
      <c r="V410" s="429" t="str">
        <f t="shared" si="514"/>
        <v/>
      </c>
      <c r="W410" s="430" t="str">
        <f t="shared" si="513"/>
        <v/>
      </c>
      <c r="X410" s="66" t="str">
        <f>IF(AND(ISNUMBER(P410),N410=FixedDim),MAX('Adjustment factors'!$S$16,0.2+0.8*P410),IF(ISTEXT(N410),VLOOKUP(N410,Afactors,2,TRUE),""))</f>
        <v/>
      </c>
      <c r="Y410" s="17" t="str">
        <f>IF(AND(ISNUMBER(S410),Q410=FixedDim),MAX('Adjustment factors'!$S$16,0.2+0.8*S410),IF(ISTEXT(Q410),VLOOKUP(Q410,Afactors,2,TRUE),""))</f>
        <v/>
      </c>
      <c r="Z410" s="297" t="str">
        <f>IF(ISBLANK(T410),"",VLOOKUP(T410,'Adjustment factors'!$R$27:$S$30,2,TRUE))</f>
        <v/>
      </c>
      <c r="AA410" s="297" t="str">
        <f>IF(ISBLANK(U410),"",VLOOKUP(U410,'Adjustment factors'!$R$27:$S$30,2,TRUE))</f>
        <v/>
      </c>
      <c r="AB410" s="480">
        <f t="shared" si="561"/>
        <v>1</v>
      </c>
      <c r="AC410" s="18" t="b">
        <f t="shared" si="518"/>
        <v>0</v>
      </c>
      <c r="AD410" s="18" t="b">
        <f t="shared" si="519"/>
        <v>0</v>
      </c>
      <c r="AE410" s="18" t="b">
        <f t="shared" si="510"/>
        <v>0</v>
      </c>
      <c r="AF410" s="17" t="str">
        <f t="shared" si="520"/>
        <v/>
      </c>
      <c r="AG410" s="18" t="str">
        <f t="shared" si="521"/>
        <v/>
      </c>
      <c r="AH410" s="17" t="str">
        <f t="shared" si="511"/>
        <v/>
      </c>
      <c r="AI410" s="297" t="e">
        <f t="shared" si="562"/>
        <v>#VALUE!</v>
      </c>
      <c r="AJ410" s="79" t="e">
        <f t="shared" si="522"/>
        <v>#VALUE!</v>
      </c>
      <c r="AK410" s="17" t="str">
        <f t="shared" si="512"/>
        <v/>
      </c>
      <c r="AL410" s="80" t="e">
        <f t="shared" si="523"/>
        <v>#VALUE!</v>
      </c>
      <c r="AM410" s="139" t="b">
        <f t="shared" si="524"/>
        <v>1</v>
      </c>
      <c r="AN410" s="139" t="b">
        <f>AND(COUNTA(E410)&gt;0,ISNUMBER(F410),OR(COUNT(G410:H410)=0,COUNT(G410:H410)=2,AND(ISNUMBER(G410),ISNUMBER(VALUE(LEFT(H410,SUM(LEN(H410)-LEN(SUBSTITUTE(H410,{"0","1","2","3","4","5","6","7","8","9","."},"")))))))),ISNUMBER(I410),ISTEXT(J410))</f>
        <v>0</v>
      </c>
      <c r="AO410" s="19" t="b">
        <f t="shared" si="525"/>
        <v>0</v>
      </c>
      <c r="AP410" s="19" t="b">
        <f t="shared" si="526"/>
        <v>1</v>
      </c>
      <c r="AQ410" s="19" t="b">
        <f>IF(AND(COUNTBLANK(E410:J410)=6,OR(AN411:AN$523)),NOT(AN410))</f>
        <v>0</v>
      </c>
      <c r="AR410" s="19" t="str">
        <f t="shared" si="527"/>
        <v/>
      </c>
      <c r="AS410" s="19" t="b">
        <f t="shared" si="528"/>
        <v>1</v>
      </c>
      <c r="AT410" s="19" t="str">
        <f t="shared" si="529"/>
        <v/>
      </c>
      <c r="AU410" s="19" t="b">
        <f t="shared" si="530"/>
        <v>1</v>
      </c>
      <c r="AV410" s="140" t="str">
        <f t="shared" si="494"/>
        <v/>
      </c>
      <c r="AW410" s="19" t="str">
        <f t="shared" si="531"/>
        <v/>
      </c>
      <c r="AX410" s="81">
        <f t="shared" si="532"/>
        <v>0</v>
      </c>
      <c r="AY410" s="81" t="str">
        <f t="shared" si="533"/>
        <v/>
      </c>
      <c r="AZ410" s="307" t="str">
        <f t="shared" si="563"/>
        <v/>
      </c>
      <c r="BA410" s="281" t="str">
        <f t="shared" si="495"/>
        <v/>
      </c>
      <c r="BB410" s="281" t="str">
        <f t="shared" si="496"/>
        <v/>
      </c>
      <c r="BC410" s="953"/>
      <c r="BD410" s="955"/>
      <c r="BE410" s="219" t="str">
        <f t="shared" si="534"/>
        <v>n/a</v>
      </c>
      <c r="BF410" s="215" t="b">
        <f t="shared" si="535"/>
        <v>0</v>
      </c>
      <c r="BG410" s="145" t="b">
        <f t="shared" si="536"/>
        <v>0</v>
      </c>
      <c r="BH410" s="145" t="b">
        <f t="shared" si="537"/>
        <v>0</v>
      </c>
      <c r="BI410" s="216" t="b">
        <f t="shared" si="538"/>
        <v>0</v>
      </c>
      <c r="BJ410" s="215" t="b">
        <f t="shared" si="539"/>
        <v>0</v>
      </c>
      <c r="BK410" s="145" t="b">
        <f t="shared" si="540"/>
        <v>0</v>
      </c>
      <c r="BL410" s="216" t="b">
        <f t="shared" si="541"/>
        <v>0</v>
      </c>
      <c r="BM410" s="217" t="str">
        <f t="shared" si="497"/>
        <v/>
      </c>
      <c r="BN410" s="146" t="str">
        <f t="shared" si="498"/>
        <v/>
      </c>
      <c r="BO410" s="147" t="str">
        <f t="shared" si="499"/>
        <v/>
      </c>
      <c r="BP410" s="148" t="str">
        <f t="shared" si="500"/>
        <v/>
      </c>
      <c r="BT410" s="50">
        <f t="shared" si="493"/>
        <v>387</v>
      </c>
      <c r="BU410" s="50" t="str">
        <f t="shared" si="515"/>
        <v>-</v>
      </c>
      <c r="BW410" s="340"/>
      <c r="BX410" s="333"/>
      <c r="BY410" s="333"/>
      <c r="BZ410" s="333"/>
      <c r="CA410" s="333"/>
      <c r="CB410" s="333"/>
      <c r="CC410" s="333"/>
      <c r="CD410" s="333"/>
      <c r="CE410" s="333"/>
      <c r="CF410" s="333"/>
      <c r="CG410" s="354">
        <f t="shared" si="542"/>
        <v>387</v>
      </c>
      <c r="CH410" s="613">
        <f t="shared" si="543"/>
        <v>0</v>
      </c>
      <c r="CI410" s="613">
        <f t="shared" si="544"/>
        <v>0</v>
      </c>
      <c r="CJ410" s="614" t="str">
        <f t="shared" si="545"/>
        <v/>
      </c>
      <c r="CK410" s="615" t="str">
        <f t="shared" si="546"/>
        <v/>
      </c>
      <c r="CL410" s="610" t="str">
        <f>IF(ISBLANK(H410),"",IF(AND(ISNUMBER(F410),ISNUMBER(G410),ISNUMBER(H410)),ROUND(F410/(H410*G410),2),ROUND(F410/(VALUE(LEFT(H410,SUM(LEN(H410)-LEN(SUBSTITUTE(H410,{"0","1","2","3","4","5","6","7","8","9","."},"")))))*G410),2)))</f>
        <v/>
      </c>
      <c r="CM410" s="616" t="str">
        <f t="shared" si="501"/>
        <v/>
      </c>
      <c r="CN410" s="616" t="str">
        <f>IF(ISNUMBER(P410),MAX('Adjustment factors'!$S$16,(0.2+0.8*P410)),IF(ISTEXT(N410),VLOOKUP(N410,Afactors,2,FALSE),""))</f>
        <v/>
      </c>
      <c r="CO410" s="616" t="str">
        <f>IF(ISNUMBER(S410),MAX('Adjustment factors'!$S$16,0.2+0.8*S410),IF(ISTEXT(Q410),VLOOKUP(Q410,Afactors,2,FALSE),""))</f>
        <v/>
      </c>
      <c r="CP410" s="611" t="str">
        <f t="shared" si="564"/>
        <v/>
      </c>
      <c r="CQ410" s="612" t="str">
        <f t="shared" si="565"/>
        <v/>
      </c>
      <c r="CR410" s="340"/>
      <c r="CS410" s="340"/>
      <c r="CT410" s="340"/>
      <c r="CU410" s="340"/>
      <c r="CV410" s="333"/>
      <c r="CW410" s="333"/>
      <c r="CX410" s="333"/>
      <c r="CY410" s="333"/>
      <c r="DA410" s="313" t="str">
        <f t="shared" si="547"/>
        <v>OK</v>
      </c>
      <c r="DB410" s="313" t="str">
        <f t="shared" si="548"/>
        <v>OK</v>
      </c>
      <c r="DC410" s="313" t="str">
        <f t="shared" si="549"/>
        <v>OK</v>
      </c>
      <c r="DD410" s="313" t="str">
        <f t="shared" si="550"/>
        <v>OK</v>
      </c>
      <c r="DE410" s="153" t="str">
        <f t="shared" si="551"/>
        <v>OK</v>
      </c>
      <c r="DF410" s="314" t="str">
        <f t="shared" si="552"/>
        <v>OK</v>
      </c>
      <c r="DG410" s="482" t="str">
        <f t="shared" si="566"/>
        <v>OK</v>
      </c>
      <c r="DH410" s="482" t="str">
        <f>IF(OR(AND(T410='Adjustment factors'!$R$28,'Class 3, 5-9'!U410='Adjustment factors'!$R$29),AND('Class 3, 5-9'!T410='Adjustment factors'!$R$29,'Class 3, 5-9'!U410='Adjustment factors'!$R$28)),"Invalid combination of adjustment factors",IF(AND(T410=U410,NOT(ISBLANK(T410)),NOT(ISBLANK(U410))),"Same colour factor selected twice","OK"))</f>
        <v>OK</v>
      </c>
      <c r="DI410" s="313" t="str">
        <f t="shared" si="553"/>
        <v>OK</v>
      </c>
      <c r="DJ410" s="153" t="str">
        <f t="shared" si="502"/>
        <v>OK</v>
      </c>
      <c r="DK410" s="153" t="str">
        <f t="shared" si="554"/>
        <v>OK</v>
      </c>
      <c r="DL410" s="313" t="str">
        <f t="shared" si="555"/>
        <v>OK</v>
      </c>
      <c r="DM410" s="153" t="str">
        <f t="shared" si="556"/>
        <v>OK</v>
      </c>
      <c r="DN410" s="153" t="str">
        <f t="shared" si="503"/>
        <v>OK</v>
      </c>
      <c r="DO410" s="154" t="str">
        <f t="shared" si="504"/>
        <v>OK</v>
      </c>
      <c r="DP410" s="153" t="str">
        <f t="shared" si="557"/>
        <v>OK</v>
      </c>
      <c r="DQ410" s="313" t="str">
        <f t="shared" si="558"/>
        <v>OK</v>
      </c>
      <c r="DR410" s="153" t="str">
        <f t="shared" si="505"/>
        <v>OK</v>
      </c>
      <c r="DS410" s="153" t="str">
        <f t="shared" si="559"/>
        <v>OK</v>
      </c>
      <c r="DT410" s="313" t="str">
        <f t="shared" si="517"/>
        <v>OK</v>
      </c>
      <c r="DU410" s="153" t="str">
        <f t="shared" si="560"/>
        <v>OK</v>
      </c>
      <c r="DV410" s="153" t="str">
        <f t="shared" si="506"/>
        <v>OK</v>
      </c>
      <c r="DW410" s="154" t="str">
        <f t="shared" si="507"/>
        <v>OK</v>
      </c>
      <c r="DX410" s="157">
        <f t="shared" si="508"/>
        <v>0</v>
      </c>
      <c r="DY410" s="156" t="str">
        <f t="shared" si="509"/>
        <v>OK</v>
      </c>
    </row>
    <row r="411" spans="1:129" ht="13" hidden="1" x14ac:dyDescent="0.3">
      <c r="A411" s="333"/>
      <c r="B411" s="333"/>
      <c r="C411" s="332" t="str">
        <f t="shared" si="516"/>
        <v>-</v>
      </c>
      <c r="D411" s="584">
        <f t="shared" si="492"/>
        <v>388</v>
      </c>
      <c r="E411" s="585"/>
      <c r="F411" s="586"/>
      <c r="G411" s="600"/>
      <c r="H411" s="587"/>
      <c r="I411" s="601"/>
      <c r="J411" s="585"/>
      <c r="K411" s="617"/>
      <c r="L411" s="602"/>
      <c r="M411" s="603"/>
      <c r="N411" s="588"/>
      <c r="O411" s="604"/>
      <c r="P411" s="605"/>
      <c r="Q411" s="588"/>
      <c r="R411" s="604"/>
      <c r="S411" s="605"/>
      <c r="T411" s="606"/>
      <c r="U411" s="606"/>
      <c r="V411" s="429" t="str">
        <f t="shared" si="514"/>
        <v/>
      </c>
      <c r="W411" s="430" t="str">
        <f t="shared" si="513"/>
        <v/>
      </c>
      <c r="X411" s="66" t="str">
        <f>IF(AND(ISNUMBER(P411),N411=FixedDim),MAX('Adjustment factors'!$S$16,0.2+0.8*P411),IF(ISTEXT(N411),VLOOKUP(N411,Afactors,2,TRUE),""))</f>
        <v/>
      </c>
      <c r="Y411" s="17" t="str">
        <f>IF(AND(ISNUMBER(S411),Q411=FixedDim),MAX('Adjustment factors'!$S$16,0.2+0.8*S411),IF(ISTEXT(Q411),VLOOKUP(Q411,Afactors,2,TRUE),""))</f>
        <v/>
      </c>
      <c r="Z411" s="297" t="str">
        <f>IF(ISBLANK(T411),"",VLOOKUP(T411,'Adjustment factors'!$R$27:$S$30,2,TRUE))</f>
        <v/>
      </c>
      <c r="AA411" s="297" t="str">
        <f>IF(ISBLANK(U411),"",VLOOKUP(U411,'Adjustment factors'!$R$27:$S$30,2,TRUE))</f>
        <v/>
      </c>
      <c r="AB411" s="480">
        <f t="shared" si="561"/>
        <v>1</v>
      </c>
      <c r="AC411" s="18" t="b">
        <f t="shared" si="518"/>
        <v>0</v>
      </c>
      <c r="AD411" s="18" t="b">
        <f t="shared" si="519"/>
        <v>0</v>
      </c>
      <c r="AE411" s="18" t="b">
        <f t="shared" si="510"/>
        <v>0</v>
      </c>
      <c r="AF411" s="17" t="str">
        <f t="shared" si="520"/>
        <v/>
      </c>
      <c r="AG411" s="18" t="str">
        <f t="shared" si="521"/>
        <v/>
      </c>
      <c r="AH411" s="17" t="str">
        <f t="shared" si="511"/>
        <v/>
      </c>
      <c r="AI411" s="297" t="e">
        <f t="shared" si="562"/>
        <v>#VALUE!</v>
      </c>
      <c r="AJ411" s="79" t="e">
        <f t="shared" si="522"/>
        <v>#VALUE!</v>
      </c>
      <c r="AK411" s="17" t="str">
        <f t="shared" si="512"/>
        <v/>
      </c>
      <c r="AL411" s="80" t="e">
        <f t="shared" si="523"/>
        <v>#VALUE!</v>
      </c>
      <c r="AM411" s="139" t="b">
        <f t="shared" si="524"/>
        <v>1</v>
      </c>
      <c r="AN411" s="139" t="b">
        <f>AND(COUNTA(E411)&gt;0,ISNUMBER(F411),OR(COUNT(G411:H411)=0,COUNT(G411:H411)=2,AND(ISNUMBER(G411),ISNUMBER(VALUE(LEFT(H411,SUM(LEN(H411)-LEN(SUBSTITUTE(H411,{"0","1","2","3","4","5","6","7","8","9","."},"")))))))),ISNUMBER(I411),ISTEXT(J411))</f>
        <v>0</v>
      </c>
      <c r="AO411" s="19" t="b">
        <f t="shared" si="525"/>
        <v>0</v>
      </c>
      <c r="AP411" s="19" t="b">
        <f t="shared" si="526"/>
        <v>1</v>
      </c>
      <c r="AQ411" s="19" t="b">
        <f>IF(AND(COUNTBLANK(E411:J411)=6,OR(AN412:AN$523)),NOT(AN411))</f>
        <v>0</v>
      </c>
      <c r="AR411" s="19" t="str">
        <f t="shared" si="527"/>
        <v/>
      </c>
      <c r="AS411" s="19" t="b">
        <f t="shared" si="528"/>
        <v>1</v>
      </c>
      <c r="AT411" s="19" t="str">
        <f t="shared" si="529"/>
        <v/>
      </c>
      <c r="AU411" s="19" t="b">
        <f t="shared" si="530"/>
        <v>1</v>
      </c>
      <c r="AV411" s="140" t="str">
        <f t="shared" si="494"/>
        <v/>
      </c>
      <c r="AW411" s="19" t="str">
        <f t="shared" si="531"/>
        <v/>
      </c>
      <c r="AX411" s="81">
        <f t="shared" si="532"/>
        <v>0</v>
      </c>
      <c r="AY411" s="81" t="str">
        <f t="shared" si="533"/>
        <v/>
      </c>
      <c r="AZ411" s="307" t="str">
        <f t="shared" si="563"/>
        <v/>
      </c>
      <c r="BA411" s="281" t="str">
        <f t="shared" si="495"/>
        <v/>
      </c>
      <c r="BB411" s="281" t="str">
        <f t="shared" si="496"/>
        <v/>
      </c>
      <c r="BC411" s="953"/>
      <c r="BD411" s="955"/>
      <c r="BE411" s="219" t="str">
        <f t="shared" si="534"/>
        <v>n/a</v>
      </c>
      <c r="BF411" s="215" t="b">
        <f t="shared" si="535"/>
        <v>0</v>
      </c>
      <c r="BG411" s="145" t="b">
        <f t="shared" si="536"/>
        <v>0</v>
      </c>
      <c r="BH411" s="145" t="b">
        <f t="shared" si="537"/>
        <v>0</v>
      </c>
      <c r="BI411" s="216" t="b">
        <f t="shared" si="538"/>
        <v>0</v>
      </c>
      <c r="BJ411" s="215" t="b">
        <f t="shared" si="539"/>
        <v>0</v>
      </c>
      <c r="BK411" s="145" t="b">
        <f t="shared" si="540"/>
        <v>0</v>
      </c>
      <c r="BL411" s="216" t="b">
        <f t="shared" si="541"/>
        <v>0</v>
      </c>
      <c r="BM411" s="217" t="str">
        <f t="shared" si="497"/>
        <v/>
      </c>
      <c r="BN411" s="146" t="str">
        <f t="shared" si="498"/>
        <v/>
      </c>
      <c r="BO411" s="147" t="str">
        <f t="shared" si="499"/>
        <v/>
      </c>
      <c r="BP411" s="148" t="str">
        <f t="shared" si="500"/>
        <v/>
      </c>
      <c r="BT411" s="50">
        <f t="shared" si="493"/>
        <v>388</v>
      </c>
      <c r="BU411" s="50" t="str">
        <f t="shared" si="515"/>
        <v>-</v>
      </c>
      <c r="BW411" s="340"/>
      <c r="BX411" s="333"/>
      <c r="BY411" s="333"/>
      <c r="BZ411" s="333"/>
      <c r="CA411" s="333"/>
      <c r="CB411" s="333"/>
      <c r="CC411" s="333"/>
      <c r="CD411" s="333"/>
      <c r="CE411" s="333"/>
      <c r="CF411" s="333"/>
      <c r="CG411" s="354">
        <f t="shared" si="542"/>
        <v>388</v>
      </c>
      <c r="CH411" s="613">
        <f t="shared" si="543"/>
        <v>0</v>
      </c>
      <c r="CI411" s="613">
        <f t="shared" si="544"/>
        <v>0</v>
      </c>
      <c r="CJ411" s="614" t="str">
        <f t="shared" si="545"/>
        <v/>
      </c>
      <c r="CK411" s="615" t="str">
        <f t="shared" si="546"/>
        <v/>
      </c>
      <c r="CL411" s="610" t="str">
        <f>IF(ISBLANK(H411),"",IF(AND(ISNUMBER(F411),ISNUMBER(G411),ISNUMBER(H411)),ROUND(F411/(H411*G411),2),ROUND(F411/(VALUE(LEFT(H411,SUM(LEN(H411)-LEN(SUBSTITUTE(H411,{"0","1","2","3","4","5","6","7","8","9","."},"")))))*G411),2)))</f>
        <v/>
      </c>
      <c r="CM411" s="616" t="str">
        <f t="shared" si="501"/>
        <v/>
      </c>
      <c r="CN411" s="616" t="str">
        <f>IF(ISNUMBER(P411),MAX('Adjustment factors'!$S$16,(0.2+0.8*P411)),IF(ISTEXT(N411),VLOOKUP(N411,Afactors,2,FALSE),""))</f>
        <v/>
      </c>
      <c r="CO411" s="616" t="str">
        <f>IF(ISNUMBER(S411),MAX('Adjustment factors'!$S$16,0.2+0.8*S411),IF(ISTEXT(Q411),VLOOKUP(Q411,Afactors,2,FALSE),""))</f>
        <v/>
      </c>
      <c r="CP411" s="611" t="str">
        <f t="shared" si="564"/>
        <v/>
      </c>
      <c r="CQ411" s="612" t="str">
        <f t="shared" si="565"/>
        <v/>
      </c>
      <c r="CR411" s="340"/>
      <c r="CS411" s="340"/>
      <c r="CT411" s="340"/>
      <c r="CU411" s="340"/>
      <c r="CV411" s="333"/>
      <c r="CW411" s="333"/>
      <c r="CX411" s="333"/>
      <c r="CY411" s="333"/>
      <c r="DA411" s="313" t="str">
        <f t="shared" si="547"/>
        <v>OK</v>
      </c>
      <c r="DB411" s="313" t="str">
        <f t="shared" si="548"/>
        <v>OK</v>
      </c>
      <c r="DC411" s="313" t="str">
        <f t="shared" si="549"/>
        <v>OK</v>
      </c>
      <c r="DD411" s="313" t="str">
        <f t="shared" si="550"/>
        <v>OK</v>
      </c>
      <c r="DE411" s="153" t="str">
        <f t="shared" si="551"/>
        <v>OK</v>
      </c>
      <c r="DF411" s="314" t="str">
        <f t="shared" si="552"/>
        <v>OK</v>
      </c>
      <c r="DG411" s="482" t="str">
        <f t="shared" si="566"/>
        <v>OK</v>
      </c>
      <c r="DH411" s="482" t="str">
        <f>IF(OR(AND(T411='Adjustment factors'!$R$28,'Class 3, 5-9'!U411='Adjustment factors'!$R$29),AND('Class 3, 5-9'!T411='Adjustment factors'!$R$29,'Class 3, 5-9'!U411='Adjustment factors'!$R$28)),"Invalid combination of adjustment factors",IF(AND(T411=U411,NOT(ISBLANK(T411)),NOT(ISBLANK(U411))),"Same colour factor selected twice","OK"))</f>
        <v>OK</v>
      </c>
      <c r="DI411" s="313" t="str">
        <f t="shared" si="553"/>
        <v>OK</v>
      </c>
      <c r="DJ411" s="153" t="str">
        <f t="shared" si="502"/>
        <v>OK</v>
      </c>
      <c r="DK411" s="153" t="str">
        <f t="shared" si="554"/>
        <v>OK</v>
      </c>
      <c r="DL411" s="313" t="str">
        <f t="shared" si="555"/>
        <v>OK</v>
      </c>
      <c r="DM411" s="153" t="str">
        <f t="shared" si="556"/>
        <v>OK</v>
      </c>
      <c r="DN411" s="153" t="str">
        <f t="shared" si="503"/>
        <v>OK</v>
      </c>
      <c r="DO411" s="154" t="str">
        <f t="shared" si="504"/>
        <v>OK</v>
      </c>
      <c r="DP411" s="153" t="str">
        <f t="shared" si="557"/>
        <v>OK</v>
      </c>
      <c r="DQ411" s="313" t="str">
        <f t="shared" si="558"/>
        <v>OK</v>
      </c>
      <c r="DR411" s="153" t="str">
        <f t="shared" si="505"/>
        <v>OK</v>
      </c>
      <c r="DS411" s="153" t="str">
        <f t="shared" si="559"/>
        <v>OK</v>
      </c>
      <c r="DT411" s="313" t="str">
        <f t="shared" si="517"/>
        <v>OK</v>
      </c>
      <c r="DU411" s="153" t="str">
        <f t="shared" si="560"/>
        <v>OK</v>
      </c>
      <c r="DV411" s="153" t="str">
        <f t="shared" si="506"/>
        <v>OK</v>
      </c>
      <c r="DW411" s="154" t="str">
        <f t="shared" si="507"/>
        <v>OK</v>
      </c>
      <c r="DX411" s="157">
        <f t="shared" si="508"/>
        <v>0</v>
      </c>
      <c r="DY411" s="156" t="str">
        <f t="shared" si="509"/>
        <v>OK</v>
      </c>
    </row>
    <row r="412" spans="1:129" ht="13" hidden="1" x14ac:dyDescent="0.3">
      <c r="A412" s="333"/>
      <c r="B412" s="333"/>
      <c r="C412" s="332" t="str">
        <f t="shared" si="516"/>
        <v>-</v>
      </c>
      <c r="D412" s="584">
        <f t="shared" si="492"/>
        <v>389</v>
      </c>
      <c r="E412" s="585"/>
      <c r="F412" s="586"/>
      <c r="G412" s="600"/>
      <c r="H412" s="587"/>
      <c r="I412" s="601"/>
      <c r="J412" s="585"/>
      <c r="K412" s="617"/>
      <c r="L412" s="602"/>
      <c r="M412" s="603"/>
      <c r="N412" s="588"/>
      <c r="O412" s="604"/>
      <c r="P412" s="605"/>
      <c r="Q412" s="588"/>
      <c r="R412" s="604"/>
      <c r="S412" s="605"/>
      <c r="T412" s="606"/>
      <c r="U412" s="606"/>
      <c r="V412" s="429" t="str">
        <f t="shared" si="514"/>
        <v/>
      </c>
      <c r="W412" s="430" t="str">
        <f t="shared" si="513"/>
        <v/>
      </c>
      <c r="X412" s="66" t="str">
        <f>IF(AND(ISNUMBER(P412),N412=FixedDim),MAX('Adjustment factors'!$S$16,0.2+0.8*P412),IF(ISTEXT(N412),VLOOKUP(N412,Afactors,2,TRUE),""))</f>
        <v/>
      </c>
      <c r="Y412" s="17" t="str">
        <f>IF(AND(ISNUMBER(S412),Q412=FixedDim),MAX('Adjustment factors'!$S$16,0.2+0.8*S412),IF(ISTEXT(Q412),VLOOKUP(Q412,Afactors,2,TRUE),""))</f>
        <v/>
      </c>
      <c r="Z412" s="297" t="str">
        <f>IF(ISBLANK(T412),"",VLOOKUP(T412,'Adjustment factors'!$R$27:$S$30,2,TRUE))</f>
        <v/>
      </c>
      <c r="AA412" s="297" t="str">
        <f>IF(ISBLANK(U412),"",VLOOKUP(U412,'Adjustment factors'!$R$27:$S$30,2,TRUE))</f>
        <v/>
      </c>
      <c r="AB412" s="480">
        <f t="shared" si="561"/>
        <v>1</v>
      </c>
      <c r="AC412" s="18" t="b">
        <f t="shared" si="518"/>
        <v>0</v>
      </c>
      <c r="AD412" s="18" t="b">
        <f t="shared" si="519"/>
        <v>0</v>
      </c>
      <c r="AE412" s="18" t="b">
        <f t="shared" si="510"/>
        <v>0</v>
      </c>
      <c r="AF412" s="17" t="str">
        <f t="shared" si="520"/>
        <v/>
      </c>
      <c r="AG412" s="18" t="str">
        <f t="shared" si="521"/>
        <v/>
      </c>
      <c r="AH412" s="17" t="str">
        <f t="shared" si="511"/>
        <v/>
      </c>
      <c r="AI412" s="297" t="e">
        <f t="shared" si="562"/>
        <v>#VALUE!</v>
      </c>
      <c r="AJ412" s="79" t="e">
        <f t="shared" si="522"/>
        <v>#VALUE!</v>
      </c>
      <c r="AK412" s="17" t="str">
        <f t="shared" si="512"/>
        <v/>
      </c>
      <c r="AL412" s="80" t="e">
        <f t="shared" si="523"/>
        <v>#VALUE!</v>
      </c>
      <c r="AM412" s="139" t="b">
        <f t="shared" si="524"/>
        <v>1</v>
      </c>
      <c r="AN412" s="139" t="b">
        <f>AND(COUNTA(E412)&gt;0,ISNUMBER(F412),OR(COUNT(G412:H412)=0,COUNT(G412:H412)=2,AND(ISNUMBER(G412),ISNUMBER(VALUE(LEFT(H412,SUM(LEN(H412)-LEN(SUBSTITUTE(H412,{"0","1","2","3","4","5","6","7","8","9","."},"")))))))),ISNUMBER(I412),ISTEXT(J412))</f>
        <v>0</v>
      </c>
      <c r="AO412" s="19" t="b">
        <f t="shared" si="525"/>
        <v>0</v>
      </c>
      <c r="AP412" s="19" t="b">
        <f t="shared" si="526"/>
        <v>1</v>
      </c>
      <c r="AQ412" s="19" t="b">
        <f>IF(AND(COUNTBLANK(E412:J412)=6,OR(AN413:AN$523)),NOT(AN412))</f>
        <v>0</v>
      </c>
      <c r="AR412" s="19" t="str">
        <f t="shared" si="527"/>
        <v/>
      </c>
      <c r="AS412" s="19" t="b">
        <f t="shared" si="528"/>
        <v>1</v>
      </c>
      <c r="AT412" s="19" t="str">
        <f t="shared" si="529"/>
        <v/>
      </c>
      <c r="AU412" s="19" t="b">
        <f t="shared" si="530"/>
        <v>1</v>
      </c>
      <c r="AV412" s="140" t="str">
        <f t="shared" si="494"/>
        <v/>
      </c>
      <c r="AW412" s="19" t="str">
        <f t="shared" si="531"/>
        <v/>
      </c>
      <c r="AX412" s="81">
        <f t="shared" si="532"/>
        <v>0</v>
      </c>
      <c r="AY412" s="81" t="str">
        <f t="shared" si="533"/>
        <v/>
      </c>
      <c r="AZ412" s="307" t="str">
        <f t="shared" si="563"/>
        <v/>
      </c>
      <c r="BA412" s="281" t="str">
        <f t="shared" si="495"/>
        <v/>
      </c>
      <c r="BB412" s="281" t="str">
        <f t="shared" si="496"/>
        <v/>
      </c>
      <c r="BC412" s="953"/>
      <c r="BD412" s="955"/>
      <c r="BE412" s="219" t="str">
        <f t="shared" si="534"/>
        <v>n/a</v>
      </c>
      <c r="BF412" s="215" t="b">
        <f t="shared" si="535"/>
        <v>0</v>
      </c>
      <c r="BG412" s="145" t="b">
        <f t="shared" si="536"/>
        <v>0</v>
      </c>
      <c r="BH412" s="145" t="b">
        <f t="shared" si="537"/>
        <v>0</v>
      </c>
      <c r="BI412" s="216" t="b">
        <f t="shared" si="538"/>
        <v>0</v>
      </c>
      <c r="BJ412" s="215" t="b">
        <f t="shared" si="539"/>
        <v>0</v>
      </c>
      <c r="BK412" s="145" t="b">
        <f t="shared" si="540"/>
        <v>0</v>
      </c>
      <c r="BL412" s="216" t="b">
        <f t="shared" si="541"/>
        <v>0</v>
      </c>
      <c r="BM412" s="217" t="str">
        <f t="shared" si="497"/>
        <v/>
      </c>
      <c r="BN412" s="146" t="str">
        <f t="shared" si="498"/>
        <v/>
      </c>
      <c r="BO412" s="147" t="str">
        <f t="shared" si="499"/>
        <v/>
      </c>
      <c r="BP412" s="148" t="str">
        <f t="shared" si="500"/>
        <v/>
      </c>
      <c r="BT412" s="50">
        <f t="shared" si="493"/>
        <v>389</v>
      </c>
      <c r="BU412" s="50" t="str">
        <f t="shared" si="515"/>
        <v>-</v>
      </c>
      <c r="BW412" s="340"/>
      <c r="BX412" s="333"/>
      <c r="BY412" s="333"/>
      <c r="BZ412" s="333"/>
      <c r="CA412" s="333"/>
      <c r="CB412" s="333"/>
      <c r="CC412" s="333"/>
      <c r="CD412" s="333"/>
      <c r="CE412" s="333"/>
      <c r="CF412" s="333"/>
      <c r="CG412" s="354">
        <f t="shared" si="542"/>
        <v>389</v>
      </c>
      <c r="CH412" s="613">
        <f t="shared" si="543"/>
        <v>0</v>
      </c>
      <c r="CI412" s="613">
        <f t="shared" si="544"/>
        <v>0</v>
      </c>
      <c r="CJ412" s="614" t="str">
        <f t="shared" si="545"/>
        <v/>
      </c>
      <c r="CK412" s="615" t="str">
        <f t="shared" si="546"/>
        <v/>
      </c>
      <c r="CL412" s="610" t="str">
        <f>IF(ISBLANK(H412),"",IF(AND(ISNUMBER(F412),ISNUMBER(G412),ISNUMBER(H412)),ROUND(F412/(H412*G412),2),ROUND(F412/(VALUE(LEFT(H412,SUM(LEN(H412)-LEN(SUBSTITUTE(H412,{"0","1","2","3","4","5","6","7","8","9","."},"")))))*G412),2)))</f>
        <v/>
      </c>
      <c r="CM412" s="616" t="str">
        <f t="shared" si="501"/>
        <v/>
      </c>
      <c r="CN412" s="616" t="str">
        <f>IF(ISNUMBER(P412),MAX('Adjustment factors'!$S$16,(0.2+0.8*P412)),IF(ISTEXT(N412),VLOOKUP(N412,Afactors,2,FALSE),""))</f>
        <v/>
      </c>
      <c r="CO412" s="616" t="str">
        <f>IF(ISNUMBER(S412),MAX('Adjustment factors'!$S$16,0.2+0.8*S412),IF(ISTEXT(Q412),VLOOKUP(Q412,Afactors,2,FALSE),""))</f>
        <v/>
      </c>
      <c r="CP412" s="611" t="str">
        <f t="shared" si="564"/>
        <v/>
      </c>
      <c r="CQ412" s="612" t="str">
        <f t="shared" si="565"/>
        <v/>
      </c>
      <c r="CR412" s="340"/>
      <c r="CS412" s="340"/>
      <c r="CT412" s="340"/>
      <c r="CU412" s="340"/>
      <c r="CV412" s="333"/>
      <c r="CW412" s="333"/>
      <c r="CX412" s="333"/>
      <c r="CY412" s="333"/>
      <c r="DA412" s="313" t="str">
        <f t="shared" si="547"/>
        <v>OK</v>
      </c>
      <c r="DB412" s="313" t="str">
        <f t="shared" si="548"/>
        <v>OK</v>
      </c>
      <c r="DC412" s="313" t="str">
        <f t="shared" si="549"/>
        <v>OK</v>
      </c>
      <c r="DD412" s="313" t="str">
        <f t="shared" si="550"/>
        <v>OK</v>
      </c>
      <c r="DE412" s="153" t="str">
        <f t="shared" si="551"/>
        <v>OK</v>
      </c>
      <c r="DF412" s="314" t="str">
        <f t="shared" si="552"/>
        <v>OK</v>
      </c>
      <c r="DG412" s="482" t="str">
        <f t="shared" si="566"/>
        <v>OK</v>
      </c>
      <c r="DH412" s="482" t="str">
        <f>IF(OR(AND(T412='Adjustment factors'!$R$28,'Class 3, 5-9'!U412='Adjustment factors'!$R$29),AND('Class 3, 5-9'!T412='Adjustment factors'!$R$29,'Class 3, 5-9'!U412='Adjustment factors'!$R$28)),"Invalid combination of adjustment factors",IF(AND(T412=U412,NOT(ISBLANK(T412)),NOT(ISBLANK(U412))),"Same colour factor selected twice","OK"))</f>
        <v>OK</v>
      </c>
      <c r="DI412" s="313" t="str">
        <f t="shared" si="553"/>
        <v>OK</v>
      </c>
      <c r="DJ412" s="153" t="str">
        <f t="shared" si="502"/>
        <v>OK</v>
      </c>
      <c r="DK412" s="153" t="str">
        <f t="shared" si="554"/>
        <v>OK</v>
      </c>
      <c r="DL412" s="313" t="str">
        <f t="shared" si="555"/>
        <v>OK</v>
      </c>
      <c r="DM412" s="153" t="str">
        <f t="shared" si="556"/>
        <v>OK</v>
      </c>
      <c r="DN412" s="153" t="str">
        <f t="shared" si="503"/>
        <v>OK</v>
      </c>
      <c r="DO412" s="154" t="str">
        <f t="shared" si="504"/>
        <v>OK</v>
      </c>
      <c r="DP412" s="153" t="str">
        <f t="shared" si="557"/>
        <v>OK</v>
      </c>
      <c r="DQ412" s="313" t="str">
        <f t="shared" si="558"/>
        <v>OK</v>
      </c>
      <c r="DR412" s="153" t="str">
        <f t="shared" si="505"/>
        <v>OK</v>
      </c>
      <c r="DS412" s="153" t="str">
        <f t="shared" si="559"/>
        <v>OK</v>
      </c>
      <c r="DT412" s="313" t="str">
        <f t="shared" si="517"/>
        <v>OK</v>
      </c>
      <c r="DU412" s="153" t="str">
        <f t="shared" si="560"/>
        <v>OK</v>
      </c>
      <c r="DV412" s="153" t="str">
        <f t="shared" si="506"/>
        <v>OK</v>
      </c>
      <c r="DW412" s="154" t="str">
        <f t="shared" si="507"/>
        <v>OK</v>
      </c>
      <c r="DX412" s="157">
        <f t="shared" si="508"/>
        <v>0</v>
      </c>
      <c r="DY412" s="156" t="str">
        <f t="shared" si="509"/>
        <v>OK</v>
      </c>
    </row>
    <row r="413" spans="1:129" ht="13" hidden="1" x14ac:dyDescent="0.3">
      <c r="A413" s="333"/>
      <c r="B413" s="333"/>
      <c r="C413" s="332" t="str">
        <f t="shared" si="516"/>
        <v>-</v>
      </c>
      <c r="D413" s="584">
        <f t="shared" si="492"/>
        <v>390</v>
      </c>
      <c r="E413" s="585"/>
      <c r="F413" s="586"/>
      <c r="G413" s="600"/>
      <c r="H413" s="587"/>
      <c r="I413" s="601"/>
      <c r="J413" s="585"/>
      <c r="K413" s="617"/>
      <c r="L413" s="602"/>
      <c r="M413" s="603"/>
      <c r="N413" s="588"/>
      <c r="O413" s="604"/>
      <c r="P413" s="605"/>
      <c r="Q413" s="588"/>
      <c r="R413" s="604"/>
      <c r="S413" s="605"/>
      <c r="T413" s="606"/>
      <c r="U413" s="606"/>
      <c r="V413" s="429" t="str">
        <f t="shared" si="514"/>
        <v/>
      </c>
      <c r="W413" s="430" t="str">
        <f t="shared" si="513"/>
        <v/>
      </c>
      <c r="X413" s="66" t="str">
        <f>IF(AND(ISNUMBER(P413),N413=FixedDim),MAX('Adjustment factors'!$S$16,0.2+0.8*P413),IF(ISTEXT(N413),VLOOKUP(N413,Afactors,2,TRUE),""))</f>
        <v/>
      </c>
      <c r="Y413" s="17" t="str">
        <f>IF(AND(ISNUMBER(S413),Q413=FixedDim),MAX('Adjustment factors'!$S$16,0.2+0.8*S413),IF(ISTEXT(Q413),VLOOKUP(Q413,Afactors,2,TRUE),""))</f>
        <v/>
      </c>
      <c r="Z413" s="297" t="str">
        <f>IF(ISBLANK(T413),"",VLOOKUP(T413,'Adjustment factors'!$R$27:$S$30,2,TRUE))</f>
        <v/>
      </c>
      <c r="AA413" s="297" t="str">
        <f>IF(ISBLANK(U413),"",VLOOKUP(U413,'Adjustment factors'!$R$27:$S$30,2,TRUE))</f>
        <v/>
      </c>
      <c r="AB413" s="480">
        <f t="shared" si="561"/>
        <v>1</v>
      </c>
      <c r="AC413" s="18" t="b">
        <f t="shared" si="518"/>
        <v>0</v>
      </c>
      <c r="AD413" s="18" t="b">
        <f t="shared" si="519"/>
        <v>0</v>
      </c>
      <c r="AE413" s="18" t="b">
        <f t="shared" si="510"/>
        <v>0</v>
      </c>
      <c r="AF413" s="17" t="str">
        <f t="shared" si="520"/>
        <v/>
      </c>
      <c r="AG413" s="18" t="str">
        <f t="shared" si="521"/>
        <v/>
      </c>
      <c r="AH413" s="17" t="str">
        <f t="shared" si="511"/>
        <v/>
      </c>
      <c r="AI413" s="297" t="e">
        <f t="shared" si="562"/>
        <v>#VALUE!</v>
      </c>
      <c r="AJ413" s="79" t="e">
        <f t="shared" si="522"/>
        <v>#VALUE!</v>
      </c>
      <c r="AK413" s="17" t="str">
        <f t="shared" si="512"/>
        <v/>
      </c>
      <c r="AL413" s="80" t="e">
        <f t="shared" si="523"/>
        <v>#VALUE!</v>
      </c>
      <c r="AM413" s="139" t="b">
        <f t="shared" si="524"/>
        <v>1</v>
      </c>
      <c r="AN413" s="139" t="b">
        <f>AND(COUNTA(E413)&gt;0,ISNUMBER(F413),OR(COUNT(G413:H413)=0,COUNT(G413:H413)=2,AND(ISNUMBER(G413),ISNUMBER(VALUE(LEFT(H413,SUM(LEN(H413)-LEN(SUBSTITUTE(H413,{"0","1","2","3","4","5","6","7","8","9","."},"")))))))),ISNUMBER(I413),ISTEXT(J413))</f>
        <v>0</v>
      </c>
      <c r="AO413" s="19" t="b">
        <f t="shared" si="525"/>
        <v>0</v>
      </c>
      <c r="AP413" s="19" t="b">
        <f t="shared" si="526"/>
        <v>1</v>
      </c>
      <c r="AQ413" s="19" t="b">
        <f>IF(AND(COUNTBLANK(E413:J413)=6,OR(AN414:AN$523)),NOT(AN413))</f>
        <v>0</v>
      </c>
      <c r="AR413" s="19" t="str">
        <f t="shared" si="527"/>
        <v/>
      </c>
      <c r="AS413" s="19" t="b">
        <f t="shared" si="528"/>
        <v>1</v>
      </c>
      <c r="AT413" s="19" t="str">
        <f t="shared" si="529"/>
        <v/>
      </c>
      <c r="AU413" s="19" t="b">
        <f t="shared" si="530"/>
        <v>1</v>
      </c>
      <c r="AV413" s="140" t="str">
        <f t="shared" si="494"/>
        <v/>
      </c>
      <c r="AW413" s="19" t="str">
        <f t="shared" si="531"/>
        <v/>
      </c>
      <c r="AX413" s="81">
        <f t="shared" si="532"/>
        <v>0</v>
      </c>
      <c r="AY413" s="81" t="str">
        <f t="shared" si="533"/>
        <v/>
      </c>
      <c r="AZ413" s="307" t="str">
        <f t="shared" si="563"/>
        <v/>
      </c>
      <c r="BA413" s="281" t="str">
        <f t="shared" si="495"/>
        <v/>
      </c>
      <c r="BB413" s="281" t="str">
        <f t="shared" si="496"/>
        <v/>
      </c>
      <c r="BC413" s="953"/>
      <c r="BD413" s="955"/>
      <c r="BE413" s="219" t="str">
        <f t="shared" si="534"/>
        <v>n/a</v>
      </c>
      <c r="BF413" s="215" t="b">
        <f t="shared" si="535"/>
        <v>0</v>
      </c>
      <c r="BG413" s="145" t="b">
        <f t="shared" si="536"/>
        <v>0</v>
      </c>
      <c r="BH413" s="145" t="b">
        <f t="shared" si="537"/>
        <v>0</v>
      </c>
      <c r="BI413" s="216" t="b">
        <f t="shared" si="538"/>
        <v>0</v>
      </c>
      <c r="BJ413" s="215" t="b">
        <f t="shared" si="539"/>
        <v>0</v>
      </c>
      <c r="BK413" s="145" t="b">
        <f t="shared" si="540"/>
        <v>0</v>
      </c>
      <c r="BL413" s="216" t="b">
        <f t="shared" si="541"/>
        <v>0</v>
      </c>
      <c r="BM413" s="217" t="str">
        <f t="shared" si="497"/>
        <v/>
      </c>
      <c r="BN413" s="146" t="str">
        <f t="shared" si="498"/>
        <v/>
      </c>
      <c r="BO413" s="147" t="str">
        <f t="shared" si="499"/>
        <v/>
      </c>
      <c r="BP413" s="148" t="str">
        <f t="shared" si="500"/>
        <v/>
      </c>
      <c r="BT413" s="50">
        <f t="shared" si="493"/>
        <v>390</v>
      </c>
      <c r="BU413" s="50" t="str">
        <f t="shared" si="515"/>
        <v>-</v>
      </c>
      <c r="BW413" s="340"/>
      <c r="BX413" s="333"/>
      <c r="BY413" s="333"/>
      <c r="BZ413" s="333"/>
      <c r="CA413" s="333"/>
      <c r="CB413" s="333"/>
      <c r="CC413" s="333"/>
      <c r="CD413" s="333"/>
      <c r="CE413" s="333"/>
      <c r="CF413" s="333"/>
      <c r="CG413" s="354">
        <f t="shared" si="542"/>
        <v>390</v>
      </c>
      <c r="CH413" s="613">
        <f t="shared" si="543"/>
        <v>0</v>
      </c>
      <c r="CI413" s="613">
        <f t="shared" si="544"/>
        <v>0</v>
      </c>
      <c r="CJ413" s="614" t="str">
        <f t="shared" si="545"/>
        <v/>
      </c>
      <c r="CK413" s="615" t="str">
        <f t="shared" si="546"/>
        <v/>
      </c>
      <c r="CL413" s="610" t="str">
        <f>IF(ISBLANK(H413),"",IF(AND(ISNUMBER(F413),ISNUMBER(G413),ISNUMBER(H413)),ROUND(F413/(H413*G413),2),ROUND(F413/(VALUE(LEFT(H413,SUM(LEN(H413)-LEN(SUBSTITUTE(H413,{"0","1","2","3","4","5","6","7","8","9","."},"")))))*G413),2)))</f>
        <v/>
      </c>
      <c r="CM413" s="616" t="str">
        <f t="shared" si="501"/>
        <v/>
      </c>
      <c r="CN413" s="616" t="str">
        <f>IF(ISNUMBER(P413),MAX('Adjustment factors'!$S$16,(0.2+0.8*P413)),IF(ISTEXT(N413),VLOOKUP(N413,Afactors,2,FALSE),""))</f>
        <v/>
      </c>
      <c r="CO413" s="616" t="str">
        <f>IF(ISNUMBER(S413),MAX('Adjustment factors'!$S$16,0.2+0.8*S413),IF(ISTEXT(Q413),VLOOKUP(Q413,Afactors,2,FALSE),""))</f>
        <v/>
      </c>
      <c r="CP413" s="611" t="str">
        <f t="shared" si="564"/>
        <v/>
      </c>
      <c r="CQ413" s="612" t="str">
        <f t="shared" si="565"/>
        <v/>
      </c>
      <c r="CR413" s="340"/>
      <c r="CS413" s="340"/>
      <c r="CT413" s="340"/>
      <c r="CU413" s="340"/>
      <c r="CV413" s="333"/>
      <c r="CW413" s="333"/>
      <c r="CX413" s="333"/>
      <c r="CY413" s="333"/>
      <c r="DA413" s="313" t="str">
        <f t="shared" si="547"/>
        <v>OK</v>
      </c>
      <c r="DB413" s="313" t="str">
        <f t="shared" si="548"/>
        <v>OK</v>
      </c>
      <c r="DC413" s="313" t="str">
        <f t="shared" si="549"/>
        <v>OK</v>
      </c>
      <c r="DD413" s="313" t="str">
        <f t="shared" si="550"/>
        <v>OK</v>
      </c>
      <c r="DE413" s="153" t="str">
        <f t="shared" si="551"/>
        <v>OK</v>
      </c>
      <c r="DF413" s="314" t="str">
        <f t="shared" si="552"/>
        <v>OK</v>
      </c>
      <c r="DG413" s="482" t="str">
        <f t="shared" si="566"/>
        <v>OK</v>
      </c>
      <c r="DH413" s="482" t="str">
        <f>IF(OR(AND(T413='Adjustment factors'!$R$28,'Class 3, 5-9'!U413='Adjustment factors'!$R$29),AND('Class 3, 5-9'!T413='Adjustment factors'!$R$29,'Class 3, 5-9'!U413='Adjustment factors'!$R$28)),"Invalid combination of adjustment factors",IF(AND(T413=U413,NOT(ISBLANK(T413)),NOT(ISBLANK(U413))),"Same colour factor selected twice","OK"))</f>
        <v>OK</v>
      </c>
      <c r="DI413" s="313" t="str">
        <f t="shared" si="553"/>
        <v>OK</v>
      </c>
      <c r="DJ413" s="153" t="str">
        <f t="shared" si="502"/>
        <v>OK</v>
      </c>
      <c r="DK413" s="153" t="str">
        <f t="shared" si="554"/>
        <v>OK</v>
      </c>
      <c r="DL413" s="313" t="str">
        <f t="shared" si="555"/>
        <v>OK</v>
      </c>
      <c r="DM413" s="153" t="str">
        <f t="shared" si="556"/>
        <v>OK</v>
      </c>
      <c r="DN413" s="153" t="str">
        <f t="shared" si="503"/>
        <v>OK</v>
      </c>
      <c r="DO413" s="154" t="str">
        <f t="shared" si="504"/>
        <v>OK</v>
      </c>
      <c r="DP413" s="153" t="str">
        <f t="shared" si="557"/>
        <v>OK</v>
      </c>
      <c r="DQ413" s="313" t="str">
        <f t="shared" si="558"/>
        <v>OK</v>
      </c>
      <c r="DR413" s="153" t="str">
        <f t="shared" si="505"/>
        <v>OK</v>
      </c>
      <c r="DS413" s="153" t="str">
        <f t="shared" si="559"/>
        <v>OK</v>
      </c>
      <c r="DT413" s="313" t="str">
        <f t="shared" si="517"/>
        <v>OK</v>
      </c>
      <c r="DU413" s="153" t="str">
        <f t="shared" si="560"/>
        <v>OK</v>
      </c>
      <c r="DV413" s="153" t="str">
        <f t="shared" si="506"/>
        <v>OK</v>
      </c>
      <c r="DW413" s="154" t="str">
        <f t="shared" si="507"/>
        <v>OK</v>
      </c>
      <c r="DX413" s="157">
        <f t="shared" si="508"/>
        <v>0</v>
      </c>
      <c r="DY413" s="156" t="str">
        <f t="shared" si="509"/>
        <v>OK</v>
      </c>
    </row>
    <row r="414" spans="1:129" ht="13" hidden="1" x14ac:dyDescent="0.3">
      <c r="A414" s="333"/>
      <c r="B414" s="333"/>
      <c r="C414" s="332" t="str">
        <f t="shared" si="516"/>
        <v>-</v>
      </c>
      <c r="D414" s="584">
        <f t="shared" si="492"/>
        <v>391</v>
      </c>
      <c r="E414" s="585"/>
      <c r="F414" s="586"/>
      <c r="G414" s="600"/>
      <c r="H414" s="587"/>
      <c r="I414" s="601"/>
      <c r="J414" s="585"/>
      <c r="K414" s="617"/>
      <c r="L414" s="602"/>
      <c r="M414" s="603"/>
      <c r="N414" s="588"/>
      <c r="O414" s="604"/>
      <c r="P414" s="605"/>
      <c r="Q414" s="588"/>
      <c r="R414" s="604"/>
      <c r="S414" s="605"/>
      <c r="T414" s="606"/>
      <c r="U414" s="606"/>
      <c r="V414" s="429" t="str">
        <f t="shared" si="514"/>
        <v/>
      </c>
      <c r="W414" s="430" t="str">
        <f t="shared" si="513"/>
        <v/>
      </c>
      <c r="X414" s="66" t="str">
        <f>IF(AND(ISNUMBER(P414),N414=FixedDim),MAX('Adjustment factors'!$S$16,0.2+0.8*P414),IF(ISTEXT(N414),VLOOKUP(N414,Afactors,2,TRUE),""))</f>
        <v/>
      </c>
      <c r="Y414" s="17" t="str">
        <f>IF(AND(ISNUMBER(S414),Q414=FixedDim),MAX('Adjustment factors'!$S$16,0.2+0.8*S414),IF(ISTEXT(Q414),VLOOKUP(Q414,Afactors,2,TRUE),""))</f>
        <v/>
      </c>
      <c r="Z414" s="297" t="str">
        <f>IF(ISBLANK(T414),"",VLOOKUP(T414,'Adjustment factors'!$R$27:$S$30,2,TRUE))</f>
        <v/>
      </c>
      <c r="AA414" s="297" t="str">
        <f>IF(ISBLANK(U414),"",VLOOKUP(U414,'Adjustment factors'!$R$27:$S$30,2,TRUE))</f>
        <v/>
      </c>
      <c r="AB414" s="480">
        <f t="shared" si="561"/>
        <v>1</v>
      </c>
      <c r="AC414" s="18" t="b">
        <f t="shared" si="518"/>
        <v>0</v>
      </c>
      <c r="AD414" s="18" t="b">
        <f t="shared" si="519"/>
        <v>0</v>
      </c>
      <c r="AE414" s="18" t="b">
        <f t="shared" si="510"/>
        <v>0</v>
      </c>
      <c r="AF414" s="17" t="str">
        <f t="shared" si="520"/>
        <v/>
      </c>
      <c r="AG414" s="18" t="str">
        <f t="shared" si="521"/>
        <v/>
      </c>
      <c r="AH414" s="17" t="str">
        <f t="shared" si="511"/>
        <v/>
      </c>
      <c r="AI414" s="297" t="e">
        <f t="shared" si="562"/>
        <v>#VALUE!</v>
      </c>
      <c r="AJ414" s="79" t="e">
        <f t="shared" si="522"/>
        <v>#VALUE!</v>
      </c>
      <c r="AK414" s="17" t="str">
        <f t="shared" si="512"/>
        <v/>
      </c>
      <c r="AL414" s="80" t="e">
        <f t="shared" si="523"/>
        <v>#VALUE!</v>
      </c>
      <c r="AM414" s="139" t="b">
        <f t="shared" si="524"/>
        <v>1</v>
      </c>
      <c r="AN414" s="139" t="b">
        <f>AND(COUNTA(E414)&gt;0,ISNUMBER(F414),OR(COUNT(G414:H414)=0,COUNT(G414:H414)=2,AND(ISNUMBER(G414),ISNUMBER(VALUE(LEFT(H414,SUM(LEN(H414)-LEN(SUBSTITUTE(H414,{"0","1","2","3","4","5","6","7","8","9","."},"")))))))),ISNUMBER(I414),ISTEXT(J414))</f>
        <v>0</v>
      </c>
      <c r="AO414" s="19" t="b">
        <f t="shared" si="525"/>
        <v>0</v>
      </c>
      <c r="AP414" s="19" t="b">
        <f t="shared" si="526"/>
        <v>1</v>
      </c>
      <c r="AQ414" s="19" t="b">
        <f>IF(AND(COUNTBLANK(E414:J414)=6,OR(AN415:AN$523)),NOT(AN414))</f>
        <v>0</v>
      </c>
      <c r="AR414" s="19" t="str">
        <f t="shared" si="527"/>
        <v/>
      </c>
      <c r="AS414" s="19" t="b">
        <f t="shared" si="528"/>
        <v>1</v>
      </c>
      <c r="AT414" s="19" t="str">
        <f t="shared" si="529"/>
        <v/>
      </c>
      <c r="AU414" s="19" t="b">
        <f t="shared" si="530"/>
        <v>1</v>
      </c>
      <c r="AV414" s="140" t="str">
        <f t="shared" si="494"/>
        <v/>
      </c>
      <c r="AW414" s="19" t="str">
        <f t="shared" si="531"/>
        <v/>
      </c>
      <c r="AX414" s="81">
        <f t="shared" si="532"/>
        <v>0</v>
      </c>
      <c r="AY414" s="81" t="str">
        <f t="shared" si="533"/>
        <v/>
      </c>
      <c r="AZ414" s="307" t="str">
        <f t="shared" si="563"/>
        <v/>
      </c>
      <c r="BA414" s="281" t="str">
        <f t="shared" si="495"/>
        <v/>
      </c>
      <c r="BB414" s="281" t="str">
        <f t="shared" si="496"/>
        <v/>
      </c>
      <c r="BC414" s="953"/>
      <c r="BD414" s="955"/>
      <c r="BE414" s="219" t="str">
        <f t="shared" si="534"/>
        <v>n/a</v>
      </c>
      <c r="BF414" s="215" t="b">
        <f t="shared" si="535"/>
        <v>0</v>
      </c>
      <c r="BG414" s="145" t="b">
        <f t="shared" si="536"/>
        <v>0</v>
      </c>
      <c r="BH414" s="145" t="b">
        <f t="shared" si="537"/>
        <v>0</v>
      </c>
      <c r="BI414" s="216" t="b">
        <f t="shared" si="538"/>
        <v>0</v>
      </c>
      <c r="BJ414" s="215" t="b">
        <f t="shared" si="539"/>
        <v>0</v>
      </c>
      <c r="BK414" s="145" t="b">
        <f t="shared" si="540"/>
        <v>0</v>
      </c>
      <c r="BL414" s="216" t="b">
        <f t="shared" si="541"/>
        <v>0</v>
      </c>
      <c r="BM414" s="217" t="str">
        <f t="shared" si="497"/>
        <v/>
      </c>
      <c r="BN414" s="146" t="str">
        <f t="shared" si="498"/>
        <v/>
      </c>
      <c r="BO414" s="147" t="str">
        <f t="shared" si="499"/>
        <v/>
      </c>
      <c r="BP414" s="148" t="str">
        <f t="shared" si="500"/>
        <v/>
      </c>
      <c r="BT414" s="50">
        <f t="shared" si="493"/>
        <v>391</v>
      </c>
      <c r="BU414" s="50" t="str">
        <f t="shared" si="515"/>
        <v>-</v>
      </c>
      <c r="BW414" s="340"/>
      <c r="BX414" s="333"/>
      <c r="BY414" s="333"/>
      <c r="BZ414" s="333"/>
      <c r="CA414" s="333"/>
      <c r="CB414" s="333"/>
      <c r="CC414" s="333"/>
      <c r="CD414" s="333"/>
      <c r="CE414" s="333"/>
      <c r="CF414" s="333"/>
      <c r="CG414" s="354">
        <f t="shared" si="542"/>
        <v>391</v>
      </c>
      <c r="CH414" s="613">
        <f t="shared" si="543"/>
        <v>0</v>
      </c>
      <c r="CI414" s="613">
        <f t="shared" si="544"/>
        <v>0</v>
      </c>
      <c r="CJ414" s="614" t="str">
        <f t="shared" si="545"/>
        <v/>
      </c>
      <c r="CK414" s="615" t="str">
        <f t="shared" si="546"/>
        <v/>
      </c>
      <c r="CL414" s="610" t="str">
        <f>IF(ISBLANK(H414),"",IF(AND(ISNUMBER(F414),ISNUMBER(G414),ISNUMBER(H414)),ROUND(F414/(H414*G414),2),ROUND(F414/(VALUE(LEFT(H414,SUM(LEN(H414)-LEN(SUBSTITUTE(H414,{"0","1","2","3","4","5","6","7","8","9","."},"")))))*G414),2)))</f>
        <v/>
      </c>
      <c r="CM414" s="616" t="str">
        <f t="shared" si="501"/>
        <v/>
      </c>
      <c r="CN414" s="616" t="str">
        <f>IF(ISNUMBER(P414),MAX('Adjustment factors'!$S$16,(0.2+0.8*P414)),IF(ISTEXT(N414),VLOOKUP(N414,Afactors,2,FALSE),""))</f>
        <v/>
      </c>
      <c r="CO414" s="616" t="str">
        <f>IF(ISNUMBER(S414),MAX('Adjustment factors'!$S$16,0.2+0.8*S414),IF(ISTEXT(Q414),VLOOKUP(Q414,Afactors,2,FALSE),""))</f>
        <v/>
      </c>
      <c r="CP414" s="611" t="str">
        <f t="shared" si="564"/>
        <v/>
      </c>
      <c r="CQ414" s="612" t="str">
        <f t="shared" si="565"/>
        <v/>
      </c>
      <c r="CR414" s="340"/>
      <c r="CS414" s="340"/>
      <c r="CT414" s="340"/>
      <c r="CU414" s="340"/>
      <c r="CV414" s="333"/>
      <c r="CW414" s="333"/>
      <c r="CX414" s="333"/>
      <c r="CY414" s="333"/>
      <c r="DA414" s="313" t="str">
        <f t="shared" si="547"/>
        <v>OK</v>
      </c>
      <c r="DB414" s="313" t="str">
        <f t="shared" si="548"/>
        <v>OK</v>
      </c>
      <c r="DC414" s="313" t="str">
        <f t="shared" si="549"/>
        <v>OK</v>
      </c>
      <c r="DD414" s="313" t="str">
        <f t="shared" si="550"/>
        <v>OK</v>
      </c>
      <c r="DE414" s="153" t="str">
        <f t="shared" si="551"/>
        <v>OK</v>
      </c>
      <c r="DF414" s="314" t="str">
        <f t="shared" si="552"/>
        <v>OK</v>
      </c>
      <c r="DG414" s="482" t="str">
        <f t="shared" si="566"/>
        <v>OK</v>
      </c>
      <c r="DH414" s="482" t="str">
        <f>IF(OR(AND(T414='Adjustment factors'!$R$28,'Class 3, 5-9'!U414='Adjustment factors'!$R$29),AND('Class 3, 5-9'!T414='Adjustment factors'!$R$29,'Class 3, 5-9'!U414='Adjustment factors'!$R$28)),"Invalid combination of adjustment factors",IF(AND(T414=U414,NOT(ISBLANK(T414)),NOT(ISBLANK(U414))),"Same colour factor selected twice","OK"))</f>
        <v>OK</v>
      </c>
      <c r="DI414" s="313" t="str">
        <f t="shared" si="553"/>
        <v>OK</v>
      </c>
      <c r="DJ414" s="153" t="str">
        <f t="shared" si="502"/>
        <v>OK</v>
      </c>
      <c r="DK414" s="153" t="str">
        <f t="shared" si="554"/>
        <v>OK</v>
      </c>
      <c r="DL414" s="313" t="str">
        <f t="shared" si="555"/>
        <v>OK</v>
      </c>
      <c r="DM414" s="153" t="str">
        <f t="shared" si="556"/>
        <v>OK</v>
      </c>
      <c r="DN414" s="153" t="str">
        <f t="shared" si="503"/>
        <v>OK</v>
      </c>
      <c r="DO414" s="154" t="str">
        <f t="shared" si="504"/>
        <v>OK</v>
      </c>
      <c r="DP414" s="153" t="str">
        <f t="shared" si="557"/>
        <v>OK</v>
      </c>
      <c r="DQ414" s="313" t="str">
        <f t="shared" si="558"/>
        <v>OK</v>
      </c>
      <c r="DR414" s="153" t="str">
        <f t="shared" si="505"/>
        <v>OK</v>
      </c>
      <c r="DS414" s="153" t="str">
        <f t="shared" si="559"/>
        <v>OK</v>
      </c>
      <c r="DT414" s="313" t="str">
        <f t="shared" si="517"/>
        <v>OK</v>
      </c>
      <c r="DU414" s="153" t="str">
        <f t="shared" si="560"/>
        <v>OK</v>
      </c>
      <c r="DV414" s="153" t="str">
        <f t="shared" si="506"/>
        <v>OK</v>
      </c>
      <c r="DW414" s="154" t="str">
        <f t="shared" si="507"/>
        <v>OK</v>
      </c>
      <c r="DX414" s="157">
        <f t="shared" si="508"/>
        <v>0</v>
      </c>
      <c r="DY414" s="156" t="str">
        <f t="shared" si="509"/>
        <v>OK</v>
      </c>
    </row>
    <row r="415" spans="1:129" ht="13" hidden="1" x14ac:dyDescent="0.3">
      <c r="A415" s="333"/>
      <c r="B415" s="333"/>
      <c r="C415" s="332" t="str">
        <f t="shared" si="516"/>
        <v>-</v>
      </c>
      <c r="D415" s="584">
        <f t="shared" si="492"/>
        <v>392</v>
      </c>
      <c r="E415" s="585"/>
      <c r="F415" s="586"/>
      <c r="G415" s="600"/>
      <c r="H415" s="587"/>
      <c r="I415" s="601"/>
      <c r="J415" s="585"/>
      <c r="K415" s="617"/>
      <c r="L415" s="602"/>
      <c r="M415" s="603"/>
      <c r="N415" s="588"/>
      <c r="O415" s="604"/>
      <c r="P415" s="605"/>
      <c r="Q415" s="588"/>
      <c r="R415" s="604"/>
      <c r="S415" s="605"/>
      <c r="T415" s="606"/>
      <c r="U415" s="606"/>
      <c r="V415" s="429" t="str">
        <f t="shared" si="514"/>
        <v/>
      </c>
      <c r="W415" s="430" t="str">
        <f t="shared" si="513"/>
        <v/>
      </c>
      <c r="X415" s="66" t="str">
        <f>IF(AND(ISNUMBER(P415),N415=FixedDim),MAX('Adjustment factors'!$S$16,0.2+0.8*P415),IF(ISTEXT(N415),VLOOKUP(N415,Afactors,2,TRUE),""))</f>
        <v/>
      </c>
      <c r="Y415" s="17" t="str">
        <f>IF(AND(ISNUMBER(S415),Q415=FixedDim),MAX('Adjustment factors'!$S$16,0.2+0.8*S415),IF(ISTEXT(Q415),VLOOKUP(Q415,Afactors,2,TRUE),""))</f>
        <v/>
      </c>
      <c r="Z415" s="297" t="str">
        <f>IF(ISBLANK(T415),"",VLOOKUP(T415,'Adjustment factors'!$R$27:$S$30,2,TRUE))</f>
        <v/>
      </c>
      <c r="AA415" s="297" t="str">
        <f>IF(ISBLANK(U415),"",VLOOKUP(U415,'Adjustment factors'!$R$27:$S$30,2,TRUE))</f>
        <v/>
      </c>
      <c r="AB415" s="480">
        <f t="shared" si="561"/>
        <v>1</v>
      </c>
      <c r="AC415" s="18" t="b">
        <f t="shared" si="518"/>
        <v>0</v>
      </c>
      <c r="AD415" s="18" t="b">
        <f t="shared" si="519"/>
        <v>0</v>
      </c>
      <c r="AE415" s="18" t="b">
        <f t="shared" si="510"/>
        <v>0</v>
      </c>
      <c r="AF415" s="17" t="str">
        <f t="shared" si="520"/>
        <v/>
      </c>
      <c r="AG415" s="18" t="str">
        <f t="shared" si="521"/>
        <v/>
      </c>
      <c r="AH415" s="17" t="str">
        <f t="shared" si="511"/>
        <v/>
      </c>
      <c r="AI415" s="297" t="e">
        <f t="shared" si="562"/>
        <v>#VALUE!</v>
      </c>
      <c r="AJ415" s="79" t="e">
        <f t="shared" si="522"/>
        <v>#VALUE!</v>
      </c>
      <c r="AK415" s="17" t="str">
        <f t="shared" si="512"/>
        <v/>
      </c>
      <c r="AL415" s="80" t="e">
        <f t="shared" si="523"/>
        <v>#VALUE!</v>
      </c>
      <c r="AM415" s="139" t="b">
        <f t="shared" si="524"/>
        <v>1</v>
      </c>
      <c r="AN415" s="139" t="b">
        <f>AND(COUNTA(E415)&gt;0,ISNUMBER(F415),OR(COUNT(G415:H415)=0,COUNT(G415:H415)=2,AND(ISNUMBER(G415),ISNUMBER(VALUE(LEFT(H415,SUM(LEN(H415)-LEN(SUBSTITUTE(H415,{"0","1","2","3","4","5","6","7","8","9","."},"")))))))),ISNUMBER(I415),ISTEXT(J415))</f>
        <v>0</v>
      </c>
      <c r="AO415" s="19" t="b">
        <f t="shared" si="525"/>
        <v>0</v>
      </c>
      <c r="AP415" s="19" t="b">
        <f t="shared" si="526"/>
        <v>1</v>
      </c>
      <c r="AQ415" s="19" t="b">
        <f>IF(AND(COUNTBLANK(E415:J415)=6,OR(AN416:AN$523)),NOT(AN415))</f>
        <v>0</v>
      </c>
      <c r="AR415" s="19" t="str">
        <f t="shared" si="527"/>
        <v/>
      </c>
      <c r="AS415" s="19" t="b">
        <f t="shared" si="528"/>
        <v>1</v>
      </c>
      <c r="AT415" s="19" t="str">
        <f t="shared" si="529"/>
        <v/>
      </c>
      <c r="AU415" s="19" t="b">
        <f t="shared" si="530"/>
        <v>1</v>
      </c>
      <c r="AV415" s="140" t="str">
        <f t="shared" si="494"/>
        <v/>
      </c>
      <c r="AW415" s="19" t="str">
        <f t="shared" si="531"/>
        <v/>
      </c>
      <c r="AX415" s="81">
        <f t="shared" si="532"/>
        <v>0</v>
      </c>
      <c r="AY415" s="81" t="str">
        <f t="shared" si="533"/>
        <v/>
      </c>
      <c r="AZ415" s="307" t="str">
        <f t="shared" si="563"/>
        <v/>
      </c>
      <c r="BA415" s="281" t="str">
        <f t="shared" si="495"/>
        <v/>
      </c>
      <c r="BB415" s="281" t="str">
        <f t="shared" si="496"/>
        <v/>
      </c>
      <c r="BC415" s="953"/>
      <c r="BD415" s="955"/>
      <c r="BE415" s="219" t="str">
        <f t="shared" si="534"/>
        <v>n/a</v>
      </c>
      <c r="BF415" s="215" t="b">
        <f t="shared" si="535"/>
        <v>0</v>
      </c>
      <c r="BG415" s="145" t="b">
        <f t="shared" si="536"/>
        <v>0</v>
      </c>
      <c r="BH415" s="145" t="b">
        <f t="shared" si="537"/>
        <v>0</v>
      </c>
      <c r="BI415" s="216" t="b">
        <f t="shared" si="538"/>
        <v>0</v>
      </c>
      <c r="BJ415" s="215" t="b">
        <f t="shared" si="539"/>
        <v>0</v>
      </c>
      <c r="BK415" s="145" t="b">
        <f t="shared" si="540"/>
        <v>0</v>
      </c>
      <c r="BL415" s="216" t="b">
        <f t="shared" si="541"/>
        <v>0</v>
      </c>
      <c r="BM415" s="217" t="str">
        <f t="shared" si="497"/>
        <v/>
      </c>
      <c r="BN415" s="146" t="str">
        <f t="shared" si="498"/>
        <v/>
      </c>
      <c r="BO415" s="147" t="str">
        <f t="shared" si="499"/>
        <v/>
      </c>
      <c r="BP415" s="148" t="str">
        <f t="shared" si="500"/>
        <v/>
      </c>
      <c r="BT415" s="50">
        <f t="shared" si="493"/>
        <v>392</v>
      </c>
      <c r="BU415" s="50" t="str">
        <f t="shared" si="515"/>
        <v>-</v>
      </c>
      <c r="BW415" s="340"/>
      <c r="BX415" s="333"/>
      <c r="BY415" s="333"/>
      <c r="BZ415" s="333"/>
      <c r="CA415" s="333"/>
      <c r="CB415" s="333"/>
      <c r="CC415" s="333"/>
      <c r="CD415" s="333"/>
      <c r="CE415" s="333"/>
      <c r="CF415" s="333"/>
      <c r="CG415" s="354">
        <f t="shared" si="542"/>
        <v>392</v>
      </c>
      <c r="CH415" s="613">
        <f t="shared" si="543"/>
        <v>0</v>
      </c>
      <c r="CI415" s="613">
        <f t="shared" si="544"/>
        <v>0</v>
      </c>
      <c r="CJ415" s="614" t="str">
        <f t="shared" si="545"/>
        <v/>
      </c>
      <c r="CK415" s="615" t="str">
        <f t="shared" si="546"/>
        <v/>
      </c>
      <c r="CL415" s="610" t="str">
        <f>IF(ISBLANK(H415),"",IF(AND(ISNUMBER(F415),ISNUMBER(G415),ISNUMBER(H415)),ROUND(F415/(H415*G415),2),ROUND(F415/(VALUE(LEFT(H415,SUM(LEN(H415)-LEN(SUBSTITUTE(H415,{"0","1","2","3","4","5","6","7","8","9","."},"")))))*G415),2)))</f>
        <v/>
      </c>
      <c r="CM415" s="616" t="str">
        <f t="shared" si="501"/>
        <v/>
      </c>
      <c r="CN415" s="616" t="str">
        <f>IF(ISNUMBER(P415),MAX('Adjustment factors'!$S$16,(0.2+0.8*P415)),IF(ISTEXT(N415),VLOOKUP(N415,Afactors,2,FALSE),""))</f>
        <v/>
      </c>
      <c r="CO415" s="616" t="str">
        <f>IF(ISNUMBER(S415),MAX('Adjustment factors'!$S$16,0.2+0.8*S415),IF(ISTEXT(Q415),VLOOKUP(Q415,Afactors,2,FALSE),""))</f>
        <v/>
      </c>
      <c r="CP415" s="611" t="str">
        <f t="shared" si="564"/>
        <v/>
      </c>
      <c r="CQ415" s="612" t="str">
        <f t="shared" si="565"/>
        <v/>
      </c>
      <c r="CR415" s="340"/>
      <c r="CS415" s="340"/>
      <c r="CT415" s="340"/>
      <c r="CU415" s="340"/>
      <c r="CV415" s="333"/>
      <c r="CW415" s="333"/>
      <c r="CX415" s="333"/>
      <c r="CY415" s="333"/>
      <c r="DA415" s="313" t="str">
        <f t="shared" si="547"/>
        <v>OK</v>
      </c>
      <c r="DB415" s="313" t="str">
        <f t="shared" si="548"/>
        <v>OK</v>
      </c>
      <c r="DC415" s="313" t="str">
        <f t="shared" si="549"/>
        <v>OK</v>
      </c>
      <c r="DD415" s="313" t="str">
        <f t="shared" si="550"/>
        <v>OK</v>
      </c>
      <c r="DE415" s="153" t="str">
        <f t="shared" si="551"/>
        <v>OK</v>
      </c>
      <c r="DF415" s="314" t="str">
        <f t="shared" si="552"/>
        <v>OK</v>
      </c>
      <c r="DG415" s="482" t="str">
        <f t="shared" si="566"/>
        <v>OK</v>
      </c>
      <c r="DH415" s="482" t="str">
        <f>IF(OR(AND(T415='Adjustment factors'!$R$28,'Class 3, 5-9'!U415='Adjustment factors'!$R$29),AND('Class 3, 5-9'!T415='Adjustment factors'!$R$29,'Class 3, 5-9'!U415='Adjustment factors'!$R$28)),"Invalid combination of adjustment factors",IF(AND(T415=U415,NOT(ISBLANK(T415)),NOT(ISBLANK(U415))),"Same colour factor selected twice","OK"))</f>
        <v>OK</v>
      </c>
      <c r="DI415" s="313" t="str">
        <f t="shared" si="553"/>
        <v>OK</v>
      </c>
      <c r="DJ415" s="153" t="str">
        <f t="shared" si="502"/>
        <v>OK</v>
      </c>
      <c r="DK415" s="153" t="str">
        <f t="shared" si="554"/>
        <v>OK</v>
      </c>
      <c r="DL415" s="313" t="str">
        <f t="shared" si="555"/>
        <v>OK</v>
      </c>
      <c r="DM415" s="153" t="str">
        <f t="shared" si="556"/>
        <v>OK</v>
      </c>
      <c r="DN415" s="153" t="str">
        <f t="shared" si="503"/>
        <v>OK</v>
      </c>
      <c r="DO415" s="154" t="str">
        <f t="shared" si="504"/>
        <v>OK</v>
      </c>
      <c r="DP415" s="153" t="str">
        <f t="shared" si="557"/>
        <v>OK</v>
      </c>
      <c r="DQ415" s="313" t="str">
        <f t="shared" si="558"/>
        <v>OK</v>
      </c>
      <c r="DR415" s="153" t="str">
        <f t="shared" si="505"/>
        <v>OK</v>
      </c>
      <c r="DS415" s="153" t="str">
        <f t="shared" si="559"/>
        <v>OK</v>
      </c>
      <c r="DT415" s="313" t="str">
        <f t="shared" si="517"/>
        <v>OK</v>
      </c>
      <c r="DU415" s="153" t="str">
        <f t="shared" si="560"/>
        <v>OK</v>
      </c>
      <c r="DV415" s="153" t="str">
        <f t="shared" si="506"/>
        <v>OK</v>
      </c>
      <c r="DW415" s="154" t="str">
        <f t="shared" si="507"/>
        <v>OK</v>
      </c>
      <c r="DX415" s="157">
        <f t="shared" si="508"/>
        <v>0</v>
      </c>
      <c r="DY415" s="156" t="str">
        <f t="shared" si="509"/>
        <v>OK</v>
      </c>
    </row>
    <row r="416" spans="1:129" ht="13" hidden="1" x14ac:dyDescent="0.3">
      <c r="A416" s="333"/>
      <c r="B416" s="333"/>
      <c r="C416" s="332" t="str">
        <f t="shared" si="516"/>
        <v>-</v>
      </c>
      <c r="D416" s="584">
        <f t="shared" si="492"/>
        <v>393</v>
      </c>
      <c r="E416" s="585"/>
      <c r="F416" s="586"/>
      <c r="G416" s="600"/>
      <c r="H416" s="587"/>
      <c r="I416" s="601"/>
      <c r="J416" s="585"/>
      <c r="K416" s="617"/>
      <c r="L416" s="602"/>
      <c r="M416" s="603"/>
      <c r="N416" s="588"/>
      <c r="O416" s="604"/>
      <c r="P416" s="605"/>
      <c r="Q416" s="588"/>
      <c r="R416" s="604"/>
      <c r="S416" s="605"/>
      <c r="T416" s="606"/>
      <c r="U416" s="606"/>
      <c r="V416" s="429" t="str">
        <f t="shared" si="514"/>
        <v/>
      </c>
      <c r="W416" s="430" t="str">
        <f t="shared" si="513"/>
        <v/>
      </c>
      <c r="X416" s="66" t="str">
        <f>IF(AND(ISNUMBER(P416),N416=FixedDim),MAX('Adjustment factors'!$S$16,0.2+0.8*P416),IF(ISTEXT(N416),VLOOKUP(N416,Afactors,2,TRUE),""))</f>
        <v/>
      </c>
      <c r="Y416" s="17" t="str">
        <f>IF(AND(ISNUMBER(S416),Q416=FixedDim),MAX('Adjustment factors'!$S$16,0.2+0.8*S416),IF(ISTEXT(Q416),VLOOKUP(Q416,Afactors,2,TRUE),""))</f>
        <v/>
      </c>
      <c r="Z416" s="297" t="str">
        <f>IF(ISBLANK(T416),"",VLOOKUP(T416,'Adjustment factors'!$R$27:$S$30,2,TRUE))</f>
        <v/>
      </c>
      <c r="AA416" s="297" t="str">
        <f>IF(ISBLANK(U416),"",VLOOKUP(U416,'Adjustment factors'!$R$27:$S$30,2,TRUE))</f>
        <v/>
      </c>
      <c r="AB416" s="480">
        <f t="shared" si="561"/>
        <v>1</v>
      </c>
      <c r="AC416" s="18" t="b">
        <f t="shared" si="518"/>
        <v>0</v>
      </c>
      <c r="AD416" s="18" t="b">
        <f t="shared" si="519"/>
        <v>0</v>
      </c>
      <c r="AE416" s="18" t="b">
        <f t="shared" si="510"/>
        <v>0</v>
      </c>
      <c r="AF416" s="17" t="str">
        <f t="shared" si="520"/>
        <v/>
      </c>
      <c r="AG416" s="18" t="str">
        <f t="shared" si="521"/>
        <v/>
      </c>
      <c r="AH416" s="17" t="str">
        <f t="shared" si="511"/>
        <v/>
      </c>
      <c r="AI416" s="297" t="e">
        <f t="shared" si="562"/>
        <v>#VALUE!</v>
      </c>
      <c r="AJ416" s="79" t="e">
        <f t="shared" si="522"/>
        <v>#VALUE!</v>
      </c>
      <c r="AK416" s="17" t="str">
        <f t="shared" si="512"/>
        <v/>
      </c>
      <c r="AL416" s="80" t="e">
        <f t="shared" si="523"/>
        <v>#VALUE!</v>
      </c>
      <c r="AM416" s="139" t="b">
        <f t="shared" si="524"/>
        <v>1</v>
      </c>
      <c r="AN416" s="139" t="b">
        <f>AND(COUNTA(E416)&gt;0,ISNUMBER(F416),OR(COUNT(G416:H416)=0,COUNT(G416:H416)=2,AND(ISNUMBER(G416),ISNUMBER(VALUE(LEFT(H416,SUM(LEN(H416)-LEN(SUBSTITUTE(H416,{"0","1","2","3","4","5","6","7","8","9","."},"")))))))),ISNUMBER(I416),ISTEXT(J416))</f>
        <v>0</v>
      </c>
      <c r="AO416" s="19" t="b">
        <f t="shared" si="525"/>
        <v>0</v>
      </c>
      <c r="AP416" s="19" t="b">
        <f t="shared" si="526"/>
        <v>1</v>
      </c>
      <c r="AQ416" s="19" t="b">
        <f>IF(AND(COUNTBLANK(E416:J416)=6,OR(AN417:AN$523)),NOT(AN416))</f>
        <v>0</v>
      </c>
      <c r="AR416" s="19" t="str">
        <f t="shared" si="527"/>
        <v/>
      </c>
      <c r="AS416" s="19" t="b">
        <f t="shared" si="528"/>
        <v>1</v>
      </c>
      <c r="AT416" s="19" t="str">
        <f t="shared" si="529"/>
        <v/>
      </c>
      <c r="AU416" s="19" t="b">
        <f t="shared" si="530"/>
        <v>1</v>
      </c>
      <c r="AV416" s="140" t="str">
        <f t="shared" si="494"/>
        <v/>
      </c>
      <c r="AW416" s="19" t="str">
        <f t="shared" si="531"/>
        <v/>
      </c>
      <c r="AX416" s="81">
        <f t="shared" si="532"/>
        <v>0</v>
      </c>
      <c r="AY416" s="81" t="str">
        <f t="shared" si="533"/>
        <v/>
      </c>
      <c r="AZ416" s="307" t="str">
        <f t="shared" si="563"/>
        <v/>
      </c>
      <c r="BA416" s="281" t="str">
        <f t="shared" si="495"/>
        <v/>
      </c>
      <c r="BB416" s="281" t="str">
        <f t="shared" si="496"/>
        <v/>
      </c>
      <c r="BC416" s="953"/>
      <c r="BD416" s="955"/>
      <c r="BE416" s="219" t="str">
        <f t="shared" si="534"/>
        <v>n/a</v>
      </c>
      <c r="BF416" s="215" t="b">
        <f t="shared" si="535"/>
        <v>0</v>
      </c>
      <c r="BG416" s="145" t="b">
        <f t="shared" si="536"/>
        <v>0</v>
      </c>
      <c r="BH416" s="145" t="b">
        <f t="shared" si="537"/>
        <v>0</v>
      </c>
      <c r="BI416" s="216" t="b">
        <f t="shared" si="538"/>
        <v>0</v>
      </c>
      <c r="BJ416" s="215" t="b">
        <f t="shared" si="539"/>
        <v>0</v>
      </c>
      <c r="BK416" s="145" t="b">
        <f t="shared" si="540"/>
        <v>0</v>
      </c>
      <c r="BL416" s="216" t="b">
        <f t="shared" si="541"/>
        <v>0</v>
      </c>
      <c r="BM416" s="217" t="str">
        <f t="shared" si="497"/>
        <v/>
      </c>
      <c r="BN416" s="146" t="str">
        <f t="shared" si="498"/>
        <v/>
      </c>
      <c r="BO416" s="147" t="str">
        <f t="shared" si="499"/>
        <v/>
      </c>
      <c r="BP416" s="148" t="str">
        <f t="shared" si="500"/>
        <v/>
      </c>
      <c r="BT416" s="50">
        <f t="shared" si="493"/>
        <v>393</v>
      </c>
      <c r="BU416" s="50" t="str">
        <f t="shared" si="515"/>
        <v>-</v>
      </c>
      <c r="BW416" s="340"/>
      <c r="BX416" s="333"/>
      <c r="BY416" s="333"/>
      <c r="BZ416" s="333"/>
      <c r="CA416" s="333"/>
      <c r="CB416" s="333"/>
      <c r="CC416" s="333"/>
      <c r="CD416" s="333"/>
      <c r="CE416" s="333"/>
      <c r="CF416" s="333"/>
      <c r="CG416" s="354">
        <f t="shared" si="542"/>
        <v>393</v>
      </c>
      <c r="CH416" s="613">
        <f t="shared" si="543"/>
        <v>0</v>
      </c>
      <c r="CI416" s="613">
        <f t="shared" si="544"/>
        <v>0</v>
      </c>
      <c r="CJ416" s="614" t="str">
        <f t="shared" si="545"/>
        <v/>
      </c>
      <c r="CK416" s="615" t="str">
        <f t="shared" si="546"/>
        <v/>
      </c>
      <c r="CL416" s="610" t="str">
        <f>IF(ISBLANK(H416),"",IF(AND(ISNUMBER(F416),ISNUMBER(G416),ISNUMBER(H416)),ROUND(F416/(H416*G416),2),ROUND(F416/(VALUE(LEFT(H416,SUM(LEN(H416)-LEN(SUBSTITUTE(H416,{"0","1","2","3","4","5","6","7","8","9","."},"")))))*G416),2)))</f>
        <v/>
      </c>
      <c r="CM416" s="616" t="str">
        <f t="shared" si="501"/>
        <v/>
      </c>
      <c r="CN416" s="616" t="str">
        <f>IF(ISNUMBER(P416),MAX('Adjustment factors'!$S$16,(0.2+0.8*P416)),IF(ISTEXT(N416),VLOOKUP(N416,Afactors,2,FALSE),""))</f>
        <v/>
      </c>
      <c r="CO416" s="616" t="str">
        <f>IF(ISNUMBER(S416),MAX('Adjustment factors'!$S$16,0.2+0.8*S416),IF(ISTEXT(Q416),VLOOKUP(Q416,Afactors,2,FALSE),""))</f>
        <v/>
      </c>
      <c r="CP416" s="611" t="str">
        <f t="shared" si="564"/>
        <v/>
      </c>
      <c r="CQ416" s="612" t="str">
        <f t="shared" si="565"/>
        <v/>
      </c>
      <c r="CR416" s="340"/>
      <c r="CS416" s="340"/>
      <c r="CT416" s="340"/>
      <c r="CU416" s="340"/>
      <c r="CV416" s="333"/>
      <c r="CW416" s="333"/>
      <c r="CX416" s="333"/>
      <c r="CY416" s="333"/>
      <c r="DA416" s="313" t="str">
        <f t="shared" si="547"/>
        <v>OK</v>
      </c>
      <c r="DB416" s="313" t="str">
        <f t="shared" si="548"/>
        <v>OK</v>
      </c>
      <c r="DC416" s="313" t="str">
        <f t="shared" si="549"/>
        <v>OK</v>
      </c>
      <c r="DD416" s="313" t="str">
        <f t="shared" si="550"/>
        <v>OK</v>
      </c>
      <c r="DE416" s="153" t="str">
        <f t="shared" si="551"/>
        <v>OK</v>
      </c>
      <c r="DF416" s="314" t="str">
        <f t="shared" si="552"/>
        <v>OK</v>
      </c>
      <c r="DG416" s="482" t="str">
        <f t="shared" si="566"/>
        <v>OK</v>
      </c>
      <c r="DH416" s="482" t="str">
        <f>IF(OR(AND(T416='Adjustment factors'!$R$28,'Class 3, 5-9'!U416='Adjustment factors'!$R$29),AND('Class 3, 5-9'!T416='Adjustment factors'!$R$29,'Class 3, 5-9'!U416='Adjustment factors'!$R$28)),"Invalid combination of adjustment factors",IF(AND(T416=U416,NOT(ISBLANK(T416)),NOT(ISBLANK(U416))),"Same colour factor selected twice","OK"))</f>
        <v>OK</v>
      </c>
      <c r="DI416" s="313" t="str">
        <f t="shared" si="553"/>
        <v>OK</v>
      </c>
      <c r="DJ416" s="153" t="str">
        <f t="shared" si="502"/>
        <v>OK</v>
      </c>
      <c r="DK416" s="153" t="str">
        <f t="shared" si="554"/>
        <v>OK</v>
      </c>
      <c r="DL416" s="313" t="str">
        <f t="shared" si="555"/>
        <v>OK</v>
      </c>
      <c r="DM416" s="153" t="str">
        <f t="shared" si="556"/>
        <v>OK</v>
      </c>
      <c r="DN416" s="153" t="str">
        <f t="shared" si="503"/>
        <v>OK</v>
      </c>
      <c r="DO416" s="154" t="str">
        <f t="shared" si="504"/>
        <v>OK</v>
      </c>
      <c r="DP416" s="153" t="str">
        <f t="shared" si="557"/>
        <v>OK</v>
      </c>
      <c r="DQ416" s="313" t="str">
        <f t="shared" si="558"/>
        <v>OK</v>
      </c>
      <c r="DR416" s="153" t="str">
        <f t="shared" si="505"/>
        <v>OK</v>
      </c>
      <c r="DS416" s="153" t="str">
        <f t="shared" si="559"/>
        <v>OK</v>
      </c>
      <c r="DT416" s="313" t="str">
        <f t="shared" si="517"/>
        <v>OK</v>
      </c>
      <c r="DU416" s="153" t="str">
        <f t="shared" si="560"/>
        <v>OK</v>
      </c>
      <c r="DV416" s="153" t="str">
        <f t="shared" si="506"/>
        <v>OK</v>
      </c>
      <c r="DW416" s="154" t="str">
        <f t="shared" si="507"/>
        <v>OK</v>
      </c>
      <c r="DX416" s="157">
        <f t="shared" si="508"/>
        <v>0</v>
      </c>
      <c r="DY416" s="156" t="str">
        <f t="shared" si="509"/>
        <v>OK</v>
      </c>
    </row>
    <row r="417" spans="1:129" ht="13" hidden="1" x14ac:dyDescent="0.3">
      <c r="A417" s="333"/>
      <c r="B417" s="333"/>
      <c r="C417" s="332" t="str">
        <f t="shared" si="516"/>
        <v>-</v>
      </c>
      <c r="D417" s="584">
        <f t="shared" si="492"/>
        <v>394</v>
      </c>
      <c r="E417" s="585"/>
      <c r="F417" s="586"/>
      <c r="G417" s="600"/>
      <c r="H417" s="587"/>
      <c r="I417" s="601"/>
      <c r="J417" s="585"/>
      <c r="K417" s="617"/>
      <c r="L417" s="602"/>
      <c r="M417" s="603"/>
      <c r="N417" s="588"/>
      <c r="O417" s="604"/>
      <c r="P417" s="605"/>
      <c r="Q417" s="588"/>
      <c r="R417" s="604"/>
      <c r="S417" s="605"/>
      <c r="T417" s="606"/>
      <c r="U417" s="606"/>
      <c r="V417" s="429" t="str">
        <f t="shared" si="514"/>
        <v/>
      </c>
      <c r="W417" s="430" t="str">
        <f t="shared" si="513"/>
        <v/>
      </c>
      <c r="X417" s="66" t="str">
        <f>IF(AND(ISNUMBER(P417),N417=FixedDim),MAX('Adjustment factors'!$S$16,0.2+0.8*P417),IF(ISTEXT(N417),VLOOKUP(N417,Afactors,2,TRUE),""))</f>
        <v/>
      </c>
      <c r="Y417" s="17" t="str">
        <f>IF(AND(ISNUMBER(S417),Q417=FixedDim),MAX('Adjustment factors'!$S$16,0.2+0.8*S417),IF(ISTEXT(Q417),VLOOKUP(Q417,Afactors,2,TRUE),""))</f>
        <v/>
      </c>
      <c r="Z417" s="297" t="str">
        <f>IF(ISBLANK(T417),"",VLOOKUP(T417,'Adjustment factors'!$R$27:$S$30,2,TRUE))</f>
        <v/>
      </c>
      <c r="AA417" s="297" t="str">
        <f>IF(ISBLANK(U417),"",VLOOKUP(U417,'Adjustment factors'!$R$27:$S$30,2,TRUE))</f>
        <v/>
      </c>
      <c r="AB417" s="480">
        <f t="shared" si="561"/>
        <v>1</v>
      </c>
      <c r="AC417" s="18" t="b">
        <f t="shared" si="518"/>
        <v>0</v>
      </c>
      <c r="AD417" s="18" t="b">
        <f t="shared" si="519"/>
        <v>0</v>
      </c>
      <c r="AE417" s="18" t="b">
        <f t="shared" si="510"/>
        <v>0</v>
      </c>
      <c r="AF417" s="17" t="str">
        <f t="shared" si="520"/>
        <v/>
      </c>
      <c r="AG417" s="18" t="str">
        <f t="shared" si="521"/>
        <v/>
      </c>
      <c r="AH417" s="17" t="str">
        <f t="shared" si="511"/>
        <v/>
      </c>
      <c r="AI417" s="297" t="e">
        <f t="shared" si="562"/>
        <v>#VALUE!</v>
      </c>
      <c r="AJ417" s="79" t="e">
        <f t="shared" si="522"/>
        <v>#VALUE!</v>
      </c>
      <c r="AK417" s="17" t="str">
        <f t="shared" si="512"/>
        <v/>
      </c>
      <c r="AL417" s="80" t="e">
        <f t="shared" si="523"/>
        <v>#VALUE!</v>
      </c>
      <c r="AM417" s="139" t="b">
        <f t="shared" si="524"/>
        <v>1</v>
      </c>
      <c r="AN417" s="139" t="b">
        <f>AND(COUNTA(E417)&gt;0,ISNUMBER(F417),OR(COUNT(G417:H417)=0,COUNT(G417:H417)=2,AND(ISNUMBER(G417),ISNUMBER(VALUE(LEFT(H417,SUM(LEN(H417)-LEN(SUBSTITUTE(H417,{"0","1","2","3","4","5","6","7","8","9","."},"")))))))),ISNUMBER(I417),ISTEXT(J417))</f>
        <v>0</v>
      </c>
      <c r="AO417" s="19" t="b">
        <f t="shared" si="525"/>
        <v>0</v>
      </c>
      <c r="AP417" s="19" t="b">
        <f t="shared" si="526"/>
        <v>1</v>
      </c>
      <c r="AQ417" s="19" t="b">
        <f>IF(AND(COUNTBLANK(E417:J417)=6,OR(AN418:AN$523)),NOT(AN417))</f>
        <v>0</v>
      </c>
      <c r="AR417" s="19" t="str">
        <f t="shared" si="527"/>
        <v/>
      </c>
      <c r="AS417" s="19" t="b">
        <f t="shared" si="528"/>
        <v>1</v>
      </c>
      <c r="AT417" s="19" t="str">
        <f t="shared" si="529"/>
        <v/>
      </c>
      <c r="AU417" s="19" t="b">
        <f t="shared" si="530"/>
        <v>1</v>
      </c>
      <c r="AV417" s="140" t="str">
        <f t="shared" si="494"/>
        <v/>
      </c>
      <c r="AW417" s="19" t="str">
        <f t="shared" si="531"/>
        <v/>
      </c>
      <c r="AX417" s="81">
        <f t="shared" si="532"/>
        <v>0</v>
      </c>
      <c r="AY417" s="81" t="str">
        <f t="shared" si="533"/>
        <v/>
      </c>
      <c r="AZ417" s="307" t="str">
        <f t="shared" si="563"/>
        <v/>
      </c>
      <c r="BA417" s="281" t="str">
        <f t="shared" si="495"/>
        <v/>
      </c>
      <c r="BB417" s="281" t="str">
        <f t="shared" si="496"/>
        <v/>
      </c>
      <c r="BC417" s="953"/>
      <c r="BD417" s="955"/>
      <c r="BE417" s="219" t="str">
        <f t="shared" si="534"/>
        <v>n/a</v>
      </c>
      <c r="BF417" s="215" t="b">
        <f t="shared" si="535"/>
        <v>0</v>
      </c>
      <c r="BG417" s="145" t="b">
        <f t="shared" si="536"/>
        <v>0</v>
      </c>
      <c r="BH417" s="145" t="b">
        <f t="shared" si="537"/>
        <v>0</v>
      </c>
      <c r="BI417" s="216" t="b">
        <f t="shared" si="538"/>
        <v>0</v>
      </c>
      <c r="BJ417" s="215" t="b">
        <f t="shared" si="539"/>
        <v>0</v>
      </c>
      <c r="BK417" s="145" t="b">
        <f t="shared" si="540"/>
        <v>0</v>
      </c>
      <c r="BL417" s="216" t="b">
        <f t="shared" si="541"/>
        <v>0</v>
      </c>
      <c r="BM417" s="217" t="str">
        <f t="shared" si="497"/>
        <v/>
      </c>
      <c r="BN417" s="146" t="str">
        <f t="shared" si="498"/>
        <v/>
      </c>
      <c r="BO417" s="147" t="str">
        <f t="shared" si="499"/>
        <v/>
      </c>
      <c r="BP417" s="148" t="str">
        <f t="shared" si="500"/>
        <v/>
      </c>
      <c r="BT417" s="50">
        <f t="shared" si="493"/>
        <v>394</v>
      </c>
      <c r="BU417" s="50" t="str">
        <f t="shared" si="515"/>
        <v>-</v>
      </c>
      <c r="BW417" s="340"/>
      <c r="BX417" s="333"/>
      <c r="BY417" s="333"/>
      <c r="BZ417" s="333"/>
      <c r="CA417" s="333"/>
      <c r="CB417" s="333"/>
      <c r="CC417" s="333"/>
      <c r="CD417" s="333"/>
      <c r="CE417" s="333"/>
      <c r="CF417" s="333"/>
      <c r="CG417" s="354">
        <f t="shared" si="542"/>
        <v>394</v>
      </c>
      <c r="CH417" s="613">
        <f t="shared" si="543"/>
        <v>0</v>
      </c>
      <c r="CI417" s="613">
        <f t="shared" si="544"/>
        <v>0</v>
      </c>
      <c r="CJ417" s="614" t="str">
        <f t="shared" si="545"/>
        <v/>
      </c>
      <c r="CK417" s="615" t="str">
        <f t="shared" si="546"/>
        <v/>
      </c>
      <c r="CL417" s="610" t="str">
        <f>IF(ISBLANK(H417),"",IF(AND(ISNUMBER(F417),ISNUMBER(G417),ISNUMBER(H417)),ROUND(F417/(H417*G417),2),ROUND(F417/(VALUE(LEFT(H417,SUM(LEN(H417)-LEN(SUBSTITUTE(H417,{"0","1","2","3","4","5","6","7","8","9","."},"")))))*G417),2)))</f>
        <v/>
      </c>
      <c r="CM417" s="616" t="str">
        <f t="shared" si="501"/>
        <v/>
      </c>
      <c r="CN417" s="616" t="str">
        <f>IF(ISNUMBER(P417),MAX('Adjustment factors'!$S$16,(0.2+0.8*P417)),IF(ISTEXT(N417),VLOOKUP(N417,Afactors,2,FALSE),""))</f>
        <v/>
      </c>
      <c r="CO417" s="616" t="str">
        <f>IF(ISNUMBER(S417),MAX('Adjustment factors'!$S$16,0.2+0.8*S417),IF(ISTEXT(Q417),VLOOKUP(Q417,Afactors,2,FALSE),""))</f>
        <v/>
      </c>
      <c r="CP417" s="611" t="str">
        <f t="shared" si="564"/>
        <v/>
      </c>
      <c r="CQ417" s="612" t="str">
        <f t="shared" si="565"/>
        <v/>
      </c>
      <c r="CR417" s="340"/>
      <c r="CS417" s="340"/>
      <c r="CT417" s="340"/>
      <c r="CU417" s="340"/>
      <c r="CV417" s="333"/>
      <c r="CW417" s="333"/>
      <c r="CX417" s="333"/>
      <c r="CY417" s="333"/>
      <c r="DA417" s="313" t="str">
        <f t="shared" si="547"/>
        <v>OK</v>
      </c>
      <c r="DB417" s="313" t="str">
        <f t="shared" si="548"/>
        <v>OK</v>
      </c>
      <c r="DC417" s="313" t="str">
        <f t="shared" si="549"/>
        <v>OK</v>
      </c>
      <c r="DD417" s="313" t="str">
        <f t="shared" si="550"/>
        <v>OK</v>
      </c>
      <c r="DE417" s="153" t="str">
        <f t="shared" si="551"/>
        <v>OK</v>
      </c>
      <c r="DF417" s="314" t="str">
        <f t="shared" si="552"/>
        <v>OK</v>
      </c>
      <c r="DG417" s="482" t="str">
        <f t="shared" si="566"/>
        <v>OK</v>
      </c>
      <c r="DH417" s="482" t="str">
        <f>IF(OR(AND(T417='Adjustment factors'!$R$28,'Class 3, 5-9'!U417='Adjustment factors'!$R$29),AND('Class 3, 5-9'!T417='Adjustment factors'!$R$29,'Class 3, 5-9'!U417='Adjustment factors'!$R$28)),"Invalid combination of adjustment factors",IF(AND(T417=U417,NOT(ISBLANK(T417)),NOT(ISBLANK(U417))),"Same colour factor selected twice","OK"))</f>
        <v>OK</v>
      </c>
      <c r="DI417" s="313" t="str">
        <f t="shared" si="553"/>
        <v>OK</v>
      </c>
      <c r="DJ417" s="153" t="str">
        <f t="shared" si="502"/>
        <v>OK</v>
      </c>
      <c r="DK417" s="153" t="str">
        <f t="shared" si="554"/>
        <v>OK</v>
      </c>
      <c r="DL417" s="313" t="str">
        <f t="shared" si="555"/>
        <v>OK</v>
      </c>
      <c r="DM417" s="153" t="str">
        <f t="shared" si="556"/>
        <v>OK</v>
      </c>
      <c r="DN417" s="153" t="str">
        <f t="shared" si="503"/>
        <v>OK</v>
      </c>
      <c r="DO417" s="154" t="str">
        <f t="shared" si="504"/>
        <v>OK</v>
      </c>
      <c r="DP417" s="153" t="str">
        <f t="shared" si="557"/>
        <v>OK</v>
      </c>
      <c r="DQ417" s="313" t="str">
        <f t="shared" si="558"/>
        <v>OK</v>
      </c>
      <c r="DR417" s="153" t="str">
        <f t="shared" si="505"/>
        <v>OK</v>
      </c>
      <c r="DS417" s="153" t="str">
        <f t="shared" si="559"/>
        <v>OK</v>
      </c>
      <c r="DT417" s="313" t="str">
        <f t="shared" si="517"/>
        <v>OK</v>
      </c>
      <c r="DU417" s="153" t="str">
        <f t="shared" si="560"/>
        <v>OK</v>
      </c>
      <c r="DV417" s="153" t="str">
        <f t="shared" si="506"/>
        <v>OK</v>
      </c>
      <c r="DW417" s="154" t="str">
        <f t="shared" si="507"/>
        <v>OK</v>
      </c>
      <c r="DX417" s="157">
        <f t="shared" si="508"/>
        <v>0</v>
      </c>
      <c r="DY417" s="156" t="str">
        <f t="shared" si="509"/>
        <v>OK</v>
      </c>
    </row>
    <row r="418" spans="1:129" ht="13" hidden="1" x14ac:dyDescent="0.3">
      <c r="A418" s="333"/>
      <c r="B418" s="333"/>
      <c r="C418" s="332" t="str">
        <f t="shared" si="516"/>
        <v>-</v>
      </c>
      <c r="D418" s="584">
        <f t="shared" si="492"/>
        <v>395</v>
      </c>
      <c r="E418" s="585"/>
      <c r="F418" s="586"/>
      <c r="G418" s="600"/>
      <c r="H418" s="587"/>
      <c r="I418" s="601"/>
      <c r="J418" s="585"/>
      <c r="K418" s="617"/>
      <c r="L418" s="602"/>
      <c r="M418" s="603"/>
      <c r="N418" s="588"/>
      <c r="O418" s="604"/>
      <c r="P418" s="605"/>
      <c r="Q418" s="588"/>
      <c r="R418" s="604"/>
      <c r="S418" s="605"/>
      <c r="T418" s="606"/>
      <c r="U418" s="606"/>
      <c r="V418" s="429" t="str">
        <f t="shared" si="514"/>
        <v/>
      </c>
      <c r="W418" s="430" t="str">
        <f t="shared" si="513"/>
        <v/>
      </c>
      <c r="X418" s="66" t="str">
        <f>IF(AND(ISNUMBER(P418),N418=FixedDim),MAX('Adjustment factors'!$S$16,0.2+0.8*P418),IF(ISTEXT(N418),VLOOKUP(N418,Afactors,2,TRUE),""))</f>
        <v/>
      </c>
      <c r="Y418" s="17" t="str">
        <f>IF(AND(ISNUMBER(S418),Q418=FixedDim),MAX('Adjustment factors'!$S$16,0.2+0.8*S418),IF(ISTEXT(Q418),VLOOKUP(Q418,Afactors,2,TRUE),""))</f>
        <v/>
      </c>
      <c r="Z418" s="297" t="str">
        <f>IF(ISBLANK(T418),"",VLOOKUP(T418,'Adjustment factors'!$R$27:$S$30,2,TRUE))</f>
        <v/>
      </c>
      <c r="AA418" s="297" t="str">
        <f>IF(ISBLANK(U418),"",VLOOKUP(U418,'Adjustment factors'!$R$27:$S$30,2,TRUE))</f>
        <v/>
      </c>
      <c r="AB418" s="480">
        <f t="shared" si="561"/>
        <v>1</v>
      </c>
      <c r="AC418" s="18" t="b">
        <f t="shared" si="518"/>
        <v>0</v>
      </c>
      <c r="AD418" s="18" t="b">
        <f t="shared" si="519"/>
        <v>0</v>
      </c>
      <c r="AE418" s="18" t="b">
        <f t="shared" si="510"/>
        <v>0</v>
      </c>
      <c r="AF418" s="17" t="str">
        <f t="shared" si="520"/>
        <v/>
      </c>
      <c r="AG418" s="18" t="str">
        <f t="shared" si="521"/>
        <v/>
      </c>
      <c r="AH418" s="17" t="str">
        <f t="shared" si="511"/>
        <v/>
      </c>
      <c r="AI418" s="297" t="e">
        <f t="shared" si="562"/>
        <v>#VALUE!</v>
      </c>
      <c r="AJ418" s="79" t="e">
        <f t="shared" si="522"/>
        <v>#VALUE!</v>
      </c>
      <c r="AK418" s="17" t="str">
        <f t="shared" si="512"/>
        <v/>
      </c>
      <c r="AL418" s="80" t="e">
        <f t="shared" si="523"/>
        <v>#VALUE!</v>
      </c>
      <c r="AM418" s="139" t="b">
        <f t="shared" si="524"/>
        <v>1</v>
      </c>
      <c r="AN418" s="139" t="b">
        <f>AND(COUNTA(E418)&gt;0,ISNUMBER(F418),OR(COUNT(G418:H418)=0,COUNT(G418:H418)=2,AND(ISNUMBER(G418),ISNUMBER(VALUE(LEFT(H418,SUM(LEN(H418)-LEN(SUBSTITUTE(H418,{"0","1","2","3","4","5","6","7","8","9","."},"")))))))),ISNUMBER(I418),ISTEXT(J418))</f>
        <v>0</v>
      </c>
      <c r="AO418" s="19" t="b">
        <f t="shared" si="525"/>
        <v>0</v>
      </c>
      <c r="AP418" s="19" t="b">
        <f t="shared" si="526"/>
        <v>1</v>
      </c>
      <c r="AQ418" s="19" t="b">
        <f>IF(AND(COUNTBLANK(E418:J418)=6,OR(AN419:AN$523)),NOT(AN418))</f>
        <v>0</v>
      </c>
      <c r="AR418" s="19" t="str">
        <f t="shared" si="527"/>
        <v/>
      </c>
      <c r="AS418" s="19" t="b">
        <f t="shared" si="528"/>
        <v>1</v>
      </c>
      <c r="AT418" s="19" t="str">
        <f t="shared" si="529"/>
        <v/>
      </c>
      <c r="AU418" s="19" t="b">
        <f t="shared" si="530"/>
        <v>1</v>
      </c>
      <c r="AV418" s="140" t="str">
        <f t="shared" si="494"/>
        <v/>
      </c>
      <c r="AW418" s="19" t="str">
        <f t="shared" si="531"/>
        <v/>
      </c>
      <c r="AX418" s="81">
        <f t="shared" si="532"/>
        <v>0</v>
      </c>
      <c r="AY418" s="81" t="str">
        <f t="shared" si="533"/>
        <v/>
      </c>
      <c r="AZ418" s="307" t="str">
        <f t="shared" si="563"/>
        <v/>
      </c>
      <c r="BA418" s="281" t="str">
        <f t="shared" si="495"/>
        <v/>
      </c>
      <c r="BB418" s="281" t="str">
        <f t="shared" si="496"/>
        <v/>
      </c>
      <c r="BC418" s="953"/>
      <c r="BD418" s="955"/>
      <c r="BE418" s="219" t="str">
        <f t="shared" si="534"/>
        <v>n/a</v>
      </c>
      <c r="BF418" s="215" t="b">
        <f t="shared" si="535"/>
        <v>0</v>
      </c>
      <c r="BG418" s="145" t="b">
        <f t="shared" si="536"/>
        <v>0</v>
      </c>
      <c r="BH418" s="145" t="b">
        <f t="shared" si="537"/>
        <v>0</v>
      </c>
      <c r="BI418" s="216" t="b">
        <f t="shared" si="538"/>
        <v>0</v>
      </c>
      <c r="BJ418" s="215" t="b">
        <f t="shared" si="539"/>
        <v>0</v>
      </c>
      <c r="BK418" s="145" t="b">
        <f t="shared" si="540"/>
        <v>0</v>
      </c>
      <c r="BL418" s="216" t="b">
        <f t="shared" si="541"/>
        <v>0</v>
      </c>
      <c r="BM418" s="217" t="str">
        <f t="shared" si="497"/>
        <v/>
      </c>
      <c r="BN418" s="146" t="str">
        <f t="shared" si="498"/>
        <v/>
      </c>
      <c r="BO418" s="147" t="str">
        <f t="shared" si="499"/>
        <v/>
      </c>
      <c r="BP418" s="148" t="str">
        <f t="shared" si="500"/>
        <v/>
      </c>
      <c r="BT418" s="50">
        <f t="shared" si="493"/>
        <v>395</v>
      </c>
      <c r="BU418" s="50" t="str">
        <f t="shared" si="515"/>
        <v>-</v>
      </c>
      <c r="BW418" s="340"/>
      <c r="BX418" s="333"/>
      <c r="BY418" s="333"/>
      <c r="BZ418" s="333"/>
      <c r="CA418" s="333"/>
      <c r="CB418" s="333"/>
      <c r="CC418" s="333"/>
      <c r="CD418" s="333"/>
      <c r="CE418" s="333"/>
      <c r="CF418" s="333"/>
      <c r="CG418" s="354">
        <f t="shared" si="542"/>
        <v>395</v>
      </c>
      <c r="CH418" s="613">
        <f t="shared" si="543"/>
        <v>0</v>
      </c>
      <c r="CI418" s="613">
        <f t="shared" si="544"/>
        <v>0</v>
      </c>
      <c r="CJ418" s="614" t="str">
        <f t="shared" si="545"/>
        <v/>
      </c>
      <c r="CK418" s="615" t="str">
        <f t="shared" si="546"/>
        <v/>
      </c>
      <c r="CL418" s="610" t="str">
        <f>IF(ISBLANK(H418),"",IF(AND(ISNUMBER(F418),ISNUMBER(G418),ISNUMBER(H418)),ROUND(F418/(H418*G418),2),ROUND(F418/(VALUE(LEFT(H418,SUM(LEN(H418)-LEN(SUBSTITUTE(H418,{"0","1","2","3","4","5","6","7","8","9","."},"")))))*G418),2)))</f>
        <v/>
      </c>
      <c r="CM418" s="616" t="str">
        <f t="shared" si="501"/>
        <v/>
      </c>
      <c r="CN418" s="616" t="str">
        <f>IF(ISNUMBER(P418),MAX('Adjustment factors'!$S$16,(0.2+0.8*P418)),IF(ISTEXT(N418),VLOOKUP(N418,Afactors,2,FALSE),""))</f>
        <v/>
      </c>
      <c r="CO418" s="616" t="str">
        <f>IF(ISNUMBER(S418),MAX('Adjustment factors'!$S$16,0.2+0.8*S418),IF(ISTEXT(Q418),VLOOKUP(Q418,Afactors,2,FALSE),""))</f>
        <v/>
      </c>
      <c r="CP418" s="611" t="str">
        <f t="shared" si="564"/>
        <v/>
      </c>
      <c r="CQ418" s="612" t="str">
        <f t="shared" si="565"/>
        <v/>
      </c>
      <c r="CR418" s="340"/>
      <c r="CS418" s="340"/>
      <c r="CT418" s="340"/>
      <c r="CU418" s="340"/>
      <c r="CV418" s="333"/>
      <c r="CW418" s="333"/>
      <c r="CX418" s="333"/>
      <c r="CY418" s="333"/>
      <c r="DA418" s="313" t="str">
        <f t="shared" si="547"/>
        <v>OK</v>
      </c>
      <c r="DB418" s="313" t="str">
        <f t="shared" si="548"/>
        <v>OK</v>
      </c>
      <c r="DC418" s="313" t="str">
        <f t="shared" si="549"/>
        <v>OK</v>
      </c>
      <c r="DD418" s="313" t="str">
        <f t="shared" si="550"/>
        <v>OK</v>
      </c>
      <c r="DE418" s="153" t="str">
        <f t="shared" si="551"/>
        <v>OK</v>
      </c>
      <c r="DF418" s="314" t="str">
        <f t="shared" si="552"/>
        <v>OK</v>
      </c>
      <c r="DG418" s="482" t="str">
        <f t="shared" si="566"/>
        <v>OK</v>
      </c>
      <c r="DH418" s="482" t="str">
        <f>IF(OR(AND(T418='Adjustment factors'!$R$28,'Class 3, 5-9'!U418='Adjustment factors'!$R$29),AND('Class 3, 5-9'!T418='Adjustment factors'!$R$29,'Class 3, 5-9'!U418='Adjustment factors'!$R$28)),"Invalid combination of adjustment factors",IF(AND(T418=U418,NOT(ISBLANK(T418)),NOT(ISBLANK(U418))),"Same colour factor selected twice","OK"))</f>
        <v>OK</v>
      </c>
      <c r="DI418" s="313" t="str">
        <f t="shared" si="553"/>
        <v>OK</v>
      </c>
      <c r="DJ418" s="153" t="str">
        <f t="shared" si="502"/>
        <v>OK</v>
      </c>
      <c r="DK418" s="153" t="str">
        <f t="shared" si="554"/>
        <v>OK</v>
      </c>
      <c r="DL418" s="313" t="str">
        <f t="shared" si="555"/>
        <v>OK</v>
      </c>
      <c r="DM418" s="153" t="str">
        <f t="shared" si="556"/>
        <v>OK</v>
      </c>
      <c r="DN418" s="153" t="str">
        <f t="shared" si="503"/>
        <v>OK</v>
      </c>
      <c r="DO418" s="154" t="str">
        <f t="shared" si="504"/>
        <v>OK</v>
      </c>
      <c r="DP418" s="153" t="str">
        <f t="shared" si="557"/>
        <v>OK</v>
      </c>
      <c r="DQ418" s="313" t="str">
        <f t="shared" si="558"/>
        <v>OK</v>
      </c>
      <c r="DR418" s="153" t="str">
        <f t="shared" si="505"/>
        <v>OK</v>
      </c>
      <c r="DS418" s="153" t="str">
        <f t="shared" si="559"/>
        <v>OK</v>
      </c>
      <c r="DT418" s="313" t="str">
        <f t="shared" si="517"/>
        <v>OK</v>
      </c>
      <c r="DU418" s="153" t="str">
        <f t="shared" si="560"/>
        <v>OK</v>
      </c>
      <c r="DV418" s="153" t="str">
        <f t="shared" si="506"/>
        <v>OK</v>
      </c>
      <c r="DW418" s="154" t="str">
        <f t="shared" si="507"/>
        <v>OK</v>
      </c>
      <c r="DX418" s="157">
        <f t="shared" si="508"/>
        <v>0</v>
      </c>
      <c r="DY418" s="156" t="str">
        <f t="shared" si="509"/>
        <v>OK</v>
      </c>
    </row>
    <row r="419" spans="1:129" ht="13" hidden="1" x14ac:dyDescent="0.3">
      <c r="A419" s="333"/>
      <c r="B419" s="340"/>
      <c r="C419" s="332" t="str">
        <f t="shared" si="516"/>
        <v>-</v>
      </c>
      <c r="D419" s="584">
        <f t="shared" si="492"/>
        <v>396</v>
      </c>
      <c r="E419" s="585"/>
      <c r="F419" s="586"/>
      <c r="G419" s="600"/>
      <c r="H419" s="587"/>
      <c r="I419" s="601"/>
      <c r="J419" s="585"/>
      <c r="K419" s="617"/>
      <c r="L419" s="602"/>
      <c r="M419" s="603"/>
      <c r="N419" s="588"/>
      <c r="O419" s="604"/>
      <c r="P419" s="605"/>
      <c r="Q419" s="588"/>
      <c r="R419" s="604"/>
      <c r="S419" s="605"/>
      <c r="T419" s="606"/>
      <c r="U419" s="606"/>
      <c r="V419" s="429" t="str">
        <f t="shared" si="514"/>
        <v/>
      </c>
      <c r="W419" s="430" t="str">
        <f t="shared" si="513"/>
        <v/>
      </c>
      <c r="X419" s="66" t="str">
        <f>IF(AND(ISNUMBER(P419),N419=FixedDim),MAX('Adjustment factors'!$S$16,0.2+0.8*P419),IF(ISTEXT(N419),VLOOKUP(N419,Afactors,2,TRUE),""))</f>
        <v/>
      </c>
      <c r="Y419" s="17" t="str">
        <f>IF(AND(ISNUMBER(S419),Q419=FixedDim),MAX('Adjustment factors'!$S$16,0.2+0.8*S419),IF(ISTEXT(Q419),VLOOKUP(Q419,Afactors,2,TRUE),""))</f>
        <v/>
      </c>
      <c r="Z419" s="297" t="str">
        <f>IF(ISBLANK(T419),"",VLOOKUP(T419,'Adjustment factors'!$R$27:$S$30,2,TRUE))</f>
        <v/>
      </c>
      <c r="AA419" s="297" t="str">
        <f>IF(ISBLANK(U419),"",VLOOKUP(U419,'Adjustment factors'!$R$27:$S$30,2,TRUE))</f>
        <v/>
      </c>
      <c r="AB419" s="480">
        <f t="shared" si="561"/>
        <v>1</v>
      </c>
      <c r="AC419" s="18" t="b">
        <f t="shared" si="518"/>
        <v>0</v>
      </c>
      <c r="AD419" s="18" t="b">
        <f t="shared" si="519"/>
        <v>0</v>
      </c>
      <c r="AE419" s="18" t="b">
        <f t="shared" si="510"/>
        <v>0</v>
      </c>
      <c r="AF419" s="17" t="str">
        <f t="shared" si="520"/>
        <v/>
      </c>
      <c r="AG419" s="18" t="str">
        <f t="shared" si="521"/>
        <v/>
      </c>
      <c r="AH419" s="17" t="str">
        <f t="shared" si="511"/>
        <v/>
      </c>
      <c r="AI419" s="297" t="e">
        <f t="shared" si="562"/>
        <v>#VALUE!</v>
      </c>
      <c r="AJ419" s="79" t="e">
        <f t="shared" si="522"/>
        <v>#VALUE!</v>
      </c>
      <c r="AK419" s="17" t="str">
        <f t="shared" si="512"/>
        <v/>
      </c>
      <c r="AL419" s="80" t="e">
        <f t="shared" si="523"/>
        <v>#VALUE!</v>
      </c>
      <c r="AM419" s="139" t="b">
        <f t="shared" si="524"/>
        <v>1</v>
      </c>
      <c r="AN419" s="139" t="b">
        <f>AND(COUNTA(E419)&gt;0,ISNUMBER(F419),OR(COUNT(G419:H419)=0,COUNT(G419:H419)=2,AND(ISNUMBER(G419),ISNUMBER(VALUE(LEFT(H419,SUM(LEN(H419)-LEN(SUBSTITUTE(H419,{"0","1","2","3","4","5","6","7","8","9","."},"")))))))),ISNUMBER(I419),ISTEXT(J419))</f>
        <v>0</v>
      </c>
      <c r="AO419" s="19" t="b">
        <f t="shared" si="525"/>
        <v>0</v>
      </c>
      <c r="AP419" s="19" t="b">
        <f t="shared" si="526"/>
        <v>1</v>
      </c>
      <c r="AQ419" s="19" t="b">
        <f>IF(AND(COUNTBLANK(E419:J419)=6,OR(AN420:AN$523)),NOT(AN419))</f>
        <v>0</v>
      </c>
      <c r="AR419" s="19" t="str">
        <f t="shared" si="527"/>
        <v/>
      </c>
      <c r="AS419" s="19" t="b">
        <f t="shared" si="528"/>
        <v>1</v>
      </c>
      <c r="AT419" s="19" t="str">
        <f t="shared" si="529"/>
        <v/>
      </c>
      <c r="AU419" s="19" t="b">
        <f t="shared" si="530"/>
        <v>1</v>
      </c>
      <c r="AV419" s="140" t="str">
        <f t="shared" si="494"/>
        <v/>
      </c>
      <c r="AW419" s="19" t="str">
        <f t="shared" si="531"/>
        <v/>
      </c>
      <c r="AX419" s="81">
        <f t="shared" si="532"/>
        <v>0</v>
      </c>
      <c r="AY419" s="81" t="str">
        <f t="shared" si="533"/>
        <v/>
      </c>
      <c r="AZ419" s="307" t="str">
        <f t="shared" si="563"/>
        <v/>
      </c>
      <c r="BA419" s="281" t="str">
        <f t="shared" si="495"/>
        <v/>
      </c>
      <c r="BB419" s="281" t="str">
        <f t="shared" si="496"/>
        <v/>
      </c>
      <c r="BC419" s="953"/>
      <c r="BD419" s="955"/>
      <c r="BE419" s="219" t="str">
        <f t="shared" si="534"/>
        <v>n/a</v>
      </c>
      <c r="BF419" s="215" t="b">
        <f t="shared" si="535"/>
        <v>0</v>
      </c>
      <c r="BG419" s="145" t="b">
        <f t="shared" si="536"/>
        <v>0</v>
      </c>
      <c r="BH419" s="145" t="b">
        <f t="shared" si="537"/>
        <v>0</v>
      </c>
      <c r="BI419" s="216" t="b">
        <f t="shared" si="538"/>
        <v>0</v>
      </c>
      <c r="BJ419" s="215" t="b">
        <f t="shared" si="539"/>
        <v>0</v>
      </c>
      <c r="BK419" s="145" t="b">
        <f t="shared" si="540"/>
        <v>0</v>
      </c>
      <c r="BL419" s="216" t="b">
        <f t="shared" si="541"/>
        <v>0</v>
      </c>
      <c r="BM419" s="217" t="str">
        <f t="shared" si="497"/>
        <v/>
      </c>
      <c r="BN419" s="146" t="str">
        <f t="shared" si="498"/>
        <v/>
      </c>
      <c r="BO419" s="147" t="str">
        <f t="shared" si="499"/>
        <v/>
      </c>
      <c r="BP419" s="148" t="str">
        <f t="shared" si="500"/>
        <v/>
      </c>
      <c r="BT419" s="50">
        <f t="shared" si="493"/>
        <v>396</v>
      </c>
      <c r="BU419" s="50" t="str">
        <f t="shared" si="515"/>
        <v>-</v>
      </c>
      <c r="BW419" s="340"/>
      <c r="BX419" s="333"/>
      <c r="BY419" s="333"/>
      <c r="BZ419" s="333"/>
      <c r="CA419" s="333"/>
      <c r="CB419" s="333"/>
      <c r="CC419" s="333"/>
      <c r="CD419" s="333"/>
      <c r="CE419" s="333"/>
      <c r="CF419" s="333"/>
      <c r="CG419" s="354">
        <f t="shared" si="542"/>
        <v>396</v>
      </c>
      <c r="CH419" s="613">
        <f t="shared" si="543"/>
        <v>0</v>
      </c>
      <c r="CI419" s="613">
        <f t="shared" si="544"/>
        <v>0</v>
      </c>
      <c r="CJ419" s="614" t="str">
        <f t="shared" si="545"/>
        <v/>
      </c>
      <c r="CK419" s="615" t="str">
        <f t="shared" si="546"/>
        <v/>
      </c>
      <c r="CL419" s="610" t="str">
        <f>IF(ISBLANK(H419),"",IF(AND(ISNUMBER(F419),ISNUMBER(G419),ISNUMBER(H419)),ROUND(F419/(H419*G419),2),ROUND(F419/(VALUE(LEFT(H419,SUM(LEN(H419)-LEN(SUBSTITUTE(H419,{"0","1","2","3","4","5","6","7","8","9","."},"")))))*G419),2)))</f>
        <v/>
      </c>
      <c r="CM419" s="616" t="str">
        <f t="shared" si="501"/>
        <v/>
      </c>
      <c r="CN419" s="616" t="str">
        <f>IF(ISNUMBER(P419),MAX('Adjustment factors'!$S$16,(0.2+0.8*P419)),IF(ISTEXT(N419),VLOOKUP(N419,Afactors,2,FALSE),""))</f>
        <v/>
      </c>
      <c r="CO419" s="616" t="str">
        <f>IF(ISNUMBER(S419),MAX('Adjustment factors'!$S$16,0.2+0.8*S419),IF(ISTEXT(Q419),VLOOKUP(Q419,Afactors,2,FALSE),""))</f>
        <v/>
      </c>
      <c r="CP419" s="611" t="str">
        <f t="shared" si="564"/>
        <v/>
      </c>
      <c r="CQ419" s="612" t="str">
        <f t="shared" si="565"/>
        <v/>
      </c>
      <c r="CR419" s="340"/>
      <c r="CS419" s="340"/>
      <c r="CT419" s="340"/>
      <c r="CU419" s="340"/>
      <c r="CV419" s="333"/>
      <c r="CW419" s="333"/>
      <c r="CX419" s="333"/>
      <c r="CY419" s="333"/>
      <c r="DA419" s="313" t="str">
        <f t="shared" si="547"/>
        <v>OK</v>
      </c>
      <c r="DB419" s="313" t="str">
        <f t="shared" si="548"/>
        <v>OK</v>
      </c>
      <c r="DC419" s="313" t="str">
        <f t="shared" si="549"/>
        <v>OK</v>
      </c>
      <c r="DD419" s="313" t="str">
        <f t="shared" si="550"/>
        <v>OK</v>
      </c>
      <c r="DE419" s="153" t="str">
        <f t="shared" si="551"/>
        <v>OK</v>
      </c>
      <c r="DF419" s="314" t="str">
        <f t="shared" si="552"/>
        <v>OK</v>
      </c>
      <c r="DG419" s="482" t="str">
        <f t="shared" si="566"/>
        <v>OK</v>
      </c>
      <c r="DH419" s="482" t="str">
        <f>IF(OR(AND(T419='Adjustment factors'!$R$28,'Class 3, 5-9'!U419='Adjustment factors'!$R$29),AND('Class 3, 5-9'!T419='Adjustment factors'!$R$29,'Class 3, 5-9'!U419='Adjustment factors'!$R$28)),"Invalid combination of adjustment factors",IF(AND(T419=U419,NOT(ISBLANK(T419)),NOT(ISBLANK(U419))),"Same colour factor selected twice","OK"))</f>
        <v>OK</v>
      </c>
      <c r="DI419" s="313" t="str">
        <f t="shared" si="553"/>
        <v>OK</v>
      </c>
      <c r="DJ419" s="153" t="str">
        <f t="shared" si="502"/>
        <v>OK</v>
      </c>
      <c r="DK419" s="153" t="str">
        <f t="shared" si="554"/>
        <v>OK</v>
      </c>
      <c r="DL419" s="313" t="str">
        <f t="shared" si="555"/>
        <v>OK</v>
      </c>
      <c r="DM419" s="153" t="str">
        <f t="shared" si="556"/>
        <v>OK</v>
      </c>
      <c r="DN419" s="153" t="str">
        <f t="shared" si="503"/>
        <v>OK</v>
      </c>
      <c r="DO419" s="154" t="str">
        <f t="shared" si="504"/>
        <v>OK</v>
      </c>
      <c r="DP419" s="153" t="str">
        <f t="shared" si="557"/>
        <v>OK</v>
      </c>
      <c r="DQ419" s="313" t="str">
        <f t="shared" si="558"/>
        <v>OK</v>
      </c>
      <c r="DR419" s="153" t="str">
        <f t="shared" si="505"/>
        <v>OK</v>
      </c>
      <c r="DS419" s="153" t="str">
        <f t="shared" si="559"/>
        <v>OK</v>
      </c>
      <c r="DT419" s="313" t="str">
        <f t="shared" si="517"/>
        <v>OK</v>
      </c>
      <c r="DU419" s="153" t="str">
        <f t="shared" si="560"/>
        <v>OK</v>
      </c>
      <c r="DV419" s="153" t="str">
        <f t="shared" si="506"/>
        <v>OK</v>
      </c>
      <c r="DW419" s="154" t="str">
        <f t="shared" si="507"/>
        <v>OK</v>
      </c>
      <c r="DX419" s="157">
        <f t="shared" si="508"/>
        <v>0</v>
      </c>
      <c r="DY419" s="156" t="str">
        <f t="shared" si="509"/>
        <v>OK</v>
      </c>
    </row>
    <row r="420" spans="1:129" ht="13" hidden="1" x14ac:dyDescent="0.3">
      <c r="A420" s="333"/>
      <c r="B420" s="340"/>
      <c r="C420" s="332" t="str">
        <f t="shared" si="516"/>
        <v>-</v>
      </c>
      <c r="D420" s="584">
        <f t="shared" si="492"/>
        <v>397</v>
      </c>
      <c r="E420" s="585"/>
      <c r="F420" s="586"/>
      <c r="G420" s="600"/>
      <c r="H420" s="587"/>
      <c r="I420" s="601"/>
      <c r="J420" s="585"/>
      <c r="K420" s="617"/>
      <c r="L420" s="602"/>
      <c r="M420" s="603"/>
      <c r="N420" s="588"/>
      <c r="O420" s="604"/>
      <c r="P420" s="605"/>
      <c r="Q420" s="588"/>
      <c r="R420" s="604"/>
      <c r="S420" s="605"/>
      <c r="T420" s="606"/>
      <c r="U420" s="606"/>
      <c r="V420" s="429" t="str">
        <f t="shared" si="514"/>
        <v/>
      </c>
      <c r="W420" s="430" t="str">
        <f t="shared" si="513"/>
        <v/>
      </c>
      <c r="X420" s="66" t="str">
        <f>IF(AND(ISNUMBER(P420),N420=FixedDim),MAX('Adjustment factors'!$S$16,0.2+0.8*P420),IF(ISTEXT(N420),VLOOKUP(N420,Afactors,2,TRUE),""))</f>
        <v/>
      </c>
      <c r="Y420" s="17" t="str">
        <f>IF(AND(ISNUMBER(S420),Q420=FixedDim),MAX('Adjustment factors'!$S$16,0.2+0.8*S420),IF(ISTEXT(Q420),VLOOKUP(Q420,Afactors,2,TRUE),""))</f>
        <v/>
      </c>
      <c r="Z420" s="297" t="str">
        <f>IF(ISBLANK(T420),"",VLOOKUP(T420,'Adjustment factors'!$R$27:$S$30,2,TRUE))</f>
        <v/>
      </c>
      <c r="AA420" s="297" t="str">
        <f>IF(ISBLANK(U420),"",VLOOKUP(U420,'Adjustment factors'!$R$27:$S$30,2,TRUE))</f>
        <v/>
      </c>
      <c r="AB420" s="480">
        <f t="shared" si="561"/>
        <v>1</v>
      </c>
      <c r="AC420" s="18" t="b">
        <f t="shared" si="518"/>
        <v>0</v>
      </c>
      <c r="AD420" s="18" t="b">
        <f t="shared" si="519"/>
        <v>0</v>
      </c>
      <c r="AE420" s="18" t="b">
        <f t="shared" si="510"/>
        <v>0</v>
      </c>
      <c r="AF420" s="17" t="str">
        <f t="shared" si="520"/>
        <v/>
      </c>
      <c r="AG420" s="18" t="str">
        <f t="shared" si="521"/>
        <v/>
      </c>
      <c r="AH420" s="17" t="str">
        <f t="shared" si="511"/>
        <v/>
      </c>
      <c r="AI420" s="297" t="e">
        <f t="shared" si="562"/>
        <v>#VALUE!</v>
      </c>
      <c r="AJ420" s="79" t="e">
        <f t="shared" si="522"/>
        <v>#VALUE!</v>
      </c>
      <c r="AK420" s="17" t="str">
        <f t="shared" si="512"/>
        <v/>
      </c>
      <c r="AL420" s="80" t="e">
        <f t="shared" si="523"/>
        <v>#VALUE!</v>
      </c>
      <c r="AM420" s="139" t="b">
        <f t="shared" si="524"/>
        <v>1</v>
      </c>
      <c r="AN420" s="139" t="b">
        <f>AND(COUNTA(E420)&gt;0,ISNUMBER(F420),OR(COUNT(G420:H420)=0,COUNT(G420:H420)=2,AND(ISNUMBER(G420),ISNUMBER(VALUE(LEFT(H420,SUM(LEN(H420)-LEN(SUBSTITUTE(H420,{"0","1","2","3","4","5","6","7","8","9","."},"")))))))),ISNUMBER(I420),ISTEXT(J420))</f>
        <v>0</v>
      </c>
      <c r="AO420" s="19" t="b">
        <f t="shared" si="525"/>
        <v>0</v>
      </c>
      <c r="AP420" s="19" t="b">
        <f t="shared" si="526"/>
        <v>1</v>
      </c>
      <c r="AQ420" s="19" t="b">
        <f>IF(AND(COUNTBLANK(E420:J420)=6,OR(AN421:AN$523)),NOT(AN420))</f>
        <v>0</v>
      </c>
      <c r="AR420" s="19" t="str">
        <f t="shared" si="527"/>
        <v/>
      </c>
      <c r="AS420" s="19" t="b">
        <f t="shared" si="528"/>
        <v>1</v>
      </c>
      <c r="AT420" s="19" t="str">
        <f t="shared" si="529"/>
        <v/>
      </c>
      <c r="AU420" s="19" t="b">
        <f t="shared" si="530"/>
        <v>1</v>
      </c>
      <c r="AV420" s="140" t="str">
        <f t="shared" si="494"/>
        <v/>
      </c>
      <c r="AW420" s="19" t="str">
        <f t="shared" si="531"/>
        <v/>
      </c>
      <c r="AX420" s="81">
        <f t="shared" si="532"/>
        <v>0</v>
      </c>
      <c r="AY420" s="81" t="str">
        <f t="shared" si="533"/>
        <v/>
      </c>
      <c r="AZ420" s="307" t="str">
        <f t="shared" si="563"/>
        <v/>
      </c>
      <c r="BA420" s="281" t="str">
        <f t="shared" si="495"/>
        <v/>
      </c>
      <c r="BB420" s="281" t="str">
        <f t="shared" si="496"/>
        <v/>
      </c>
      <c r="BC420" s="953"/>
      <c r="BD420" s="955"/>
      <c r="BE420" s="219" t="str">
        <f t="shared" si="534"/>
        <v>n/a</v>
      </c>
      <c r="BF420" s="215" t="b">
        <f t="shared" si="535"/>
        <v>0</v>
      </c>
      <c r="BG420" s="145" t="b">
        <f t="shared" si="536"/>
        <v>0</v>
      </c>
      <c r="BH420" s="145" t="b">
        <f t="shared" si="537"/>
        <v>0</v>
      </c>
      <c r="BI420" s="216" t="b">
        <f t="shared" si="538"/>
        <v>0</v>
      </c>
      <c r="BJ420" s="215" t="b">
        <f t="shared" si="539"/>
        <v>0</v>
      </c>
      <c r="BK420" s="145" t="b">
        <f t="shared" si="540"/>
        <v>0</v>
      </c>
      <c r="BL420" s="216" t="b">
        <f t="shared" si="541"/>
        <v>0</v>
      </c>
      <c r="BM420" s="217" t="str">
        <f t="shared" si="497"/>
        <v/>
      </c>
      <c r="BN420" s="146" t="str">
        <f t="shared" si="498"/>
        <v/>
      </c>
      <c r="BO420" s="147" t="str">
        <f t="shared" si="499"/>
        <v/>
      </c>
      <c r="BP420" s="148" t="str">
        <f t="shared" si="500"/>
        <v/>
      </c>
      <c r="BT420" s="50">
        <f t="shared" si="493"/>
        <v>397</v>
      </c>
      <c r="BU420" s="50" t="str">
        <f t="shared" si="515"/>
        <v>-</v>
      </c>
      <c r="BW420" s="340"/>
      <c r="BX420" s="333"/>
      <c r="BY420" s="333"/>
      <c r="BZ420" s="333"/>
      <c r="CA420" s="333"/>
      <c r="CB420" s="333"/>
      <c r="CC420" s="333"/>
      <c r="CD420" s="333"/>
      <c r="CE420" s="333"/>
      <c r="CF420" s="333"/>
      <c r="CG420" s="354">
        <f t="shared" si="542"/>
        <v>397</v>
      </c>
      <c r="CH420" s="613">
        <f t="shared" si="543"/>
        <v>0</v>
      </c>
      <c r="CI420" s="613">
        <f t="shared" si="544"/>
        <v>0</v>
      </c>
      <c r="CJ420" s="614" t="str">
        <f t="shared" si="545"/>
        <v/>
      </c>
      <c r="CK420" s="615" t="str">
        <f t="shared" si="546"/>
        <v/>
      </c>
      <c r="CL420" s="610" t="str">
        <f>IF(ISBLANK(H420),"",IF(AND(ISNUMBER(F420),ISNUMBER(G420),ISNUMBER(H420)),ROUND(F420/(H420*G420),2),ROUND(F420/(VALUE(LEFT(H420,SUM(LEN(H420)-LEN(SUBSTITUTE(H420,{"0","1","2","3","4","5","6","7","8","9","."},"")))))*G420),2)))</f>
        <v/>
      </c>
      <c r="CM420" s="616" t="str">
        <f t="shared" si="501"/>
        <v/>
      </c>
      <c r="CN420" s="616" t="str">
        <f>IF(ISNUMBER(P420),MAX('Adjustment factors'!$S$16,(0.2+0.8*P420)),IF(ISTEXT(N420),VLOOKUP(N420,Afactors,2,FALSE),""))</f>
        <v/>
      </c>
      <c r="CO420" s="616" t="str">
        <f>IF(ISNUMBER(S420),MAX('Adjustment factors'!$S$16,0.2+0.8*S420),IF(ISTEXT(Q420),VLOOKUP(Q420,Afactors,2,FALSE),""))</f>
        <v/>
      </c>
      <c r="CP420" s="611" t="str">
        <f t="shared" si="564"/>
        <v/>
      </c>
      <c r="CQ420" s="612" t="str">
        <f t="shared" si="565"/>
        <v/>
      </c>
      <c r="CR420" s="340"/>
      <c r="CS420" s="340"/>
      <c r="CT420" s="340"/>
      <c r="CU420" s="340"/>
      <c r="CV420" s="333"/>
      <c r="CW420" s="333"/>
      <c r="CX420" s="333"/>
      <c r="CY420" s="333"/>
      <c r="DA420" s="313" t="str">
        <f t="shared" si="547"/>
        <v>OK</v>
      </c>
      <c r="DB420" s="313" t="str">
        <f t="shared" si="548"/>
        <v>OK</v>
      </c>
      <c r="DC420" s="313" t="str">
        <f t="shared" si="549"/>
        <v>OK</v>
      </c>
      <c r="DD420" s="313" t="str">
        <f t="shared" si="550"/>
        <v>OK</v>
      </c>
      <c r="DE420" s="153" t="str">
        <f t="shared" si="551"/>
        <v>OK</v>
      </c>
      <c r="DF420" s="314" t="str">
        <f t="shared" si="552"/>
        <v>OK</v>
      </c>
      <c r="DG420" s="482" t="str">
        <f t="shared" si="566"/>
        <v>OK</v>
      </c>
      <c r="DH420" s="482" t="str">
        <f>IF(OR(AND(T420='Adjustment factors'!$R$28,'Class 3, 5-9'!U420='Adjustment factors'!$R$29),AND('Class 3, 5-9'!T420='Adjustment factors'!$R$29,'Class 3, 5-9'!U420='Adjustment factors'!$R$28)),"Invalid combination of adjustment factors",IF(AND(T420=U420,NOT(ISBLANK(T420)),NOT(ISBLANK(U420))),"Same colour factor selected twice","OK"))</f>
        <v>OK</v>
      </c>
      <c r="DI420" s="313" t="str">
        <f t="shared" si="553"/>
        <v>OK</v>
      </c>
      <c r="DJ420" s="153" t="str">
        <f t="shared" si="502"/>
        <v>OK</v>
      </c>
      <c r="DK420" s="153" t="str">
        <f t="shared" si="554"/>
        <v>OK</v>
      </c>
      <c r="DL420" s="313" t="str">
        <f t="shared" si="555"/>
        <v>OK</v>
      </c>
      <c r="DM420" s="153" t="str">
        <f t="shared" si="556"/>
        <v>OK</v>
      </c>
      <c r="DN420" s="153" t="str">
        <f t="shared" si="503"/>
        <v>OK</v>
      </c>
      <c r="DO420" s="154" t="str">
        <f t="shared" si="504"/>
        <v>OK</v>
      </c>
      <c r="DP420" s="153" t="str">
        <f t="shared" si="557"/>
        <v>OK</v>
      </c>
      <c r="DQ420" s="313" t="str">
        <f t="shared" si="558"/>
        <v>OK</v>
      </c>
      <c r="DR420" s="153" t="str">
        <f t="shared" si="505"/>
        <v>OK</v>
      </c>
      <c r="DS420" s="153" t="str">
        <f t="shared" si="559"/>
        <v>OK</v>
      </c>
      <c r="DT420" s="313" t="str">
        <f t="shared" si="517"/>
        <v>OK</v>
      </c>
      <c r="DU420" s="153" t="str">
        <f t="shared" si="560"/>
        <v>OK</v>
      </c>
      <c r="DV420" s="153" t="str">
        <f t="shared" si="506"/>
        <v>OK</v>
      </c>
      <c r="DW420" s="154" t="str">
        <f t="shared" si="507"/>
        <v>OK</v>
      </c>
      <c r="DX420" s="157">
        <f t="shared" si="508"/>
        <v>0</v>
      </c>
      <c r="DY420" s="156" t="str">
        <f t="shared" si="509"/>
        <v>OK</v>
      </c>
    </row>
    <row r="421" spans="1:129" ht="13" hidden="1" x14ac:dyDescent="0.3">
      <c r="A421" s="340"/>
      <c r="B421" s="340"/>
      <c r="C421" s="332" t="str">
        <f t="shared" si="516"/>
        <v>-</v>
      </c>
      <c r="D421" s="584">
        <f t="shared" si="492"/>
        <v>398</v>
      </c>
      <c r="E421" s="585"/>
      <c r="F421" s="586"/>
      <c r="G421" s="600"/>
      <c r="H421" s="587"/>
      <c r="I421" s="601"/>
      <c r="J421" s="585"/>
      <c r="K421" s="617"/>
      <c r="L421" s="602"/>
      <c r="M421" s="603"/>
      <c r="N421" s="588"/>
      <c r="O421" s="604"/>
      <c r="P421" s="605"/>
      <c r="Q421" s="588"/>
      <c r="R421" s="604"/>
      <c r="S421" s="605"/>
      <c r="T421" s="606"/>
      <c r="U421" s="606"/>
      <c r="V421" s="429" t="str">
        <f t="shared" si="514"/>
        <v/>
      </c>
      <c r="W421" s="430" t="str">
        <f t="shared" si="513"/>
        <v/>
      </c>
      <c r="X421" s="66" t="str">
        <f>IF(AND(ISNUMBER(P421),N421=FixedDim),MAX('Adjustment factors'!$S$16,0.2+0.8*P421),IF(ISTEXT(N421),VLOOKUP(N421,Afactors,2,TRUE),""))</f>
        <v/>
      </c>
      <c r="Y421" s="17" t="str">
        <f>IF(AND(ISNUMBER(S421),Q421=FixedDim),MAX('Adjustment factors'!$S$16,0.2+0.8*S421),IF(ISTEXT(Q421),VLOOKUP(Q421,Afactors,2,TRUE),""))</f>
        <v/>
      </c>
      <c r="Z421" s="297" t="str">
        <f>IF(ISBLANK(T421),"",VLOOKUP(T421,'Adjustment factors'!$R$27:$S$30,2,TRUE))</f>
        <v/>
      </c>
      <c r="AA421" s="297" t="str">
        <f>IF(ISBLANK(U421),"",VLOOKUP(U421,'Adjustment factors'!$R$27:$S$30,2,TRUE))</f>
        <v/>
      </c>
      <c r="AB421" s="480">
        <f t="shared" si="561"/>
        <v>1</v>
      </c>
      <c r="AC421" s="18" t="b">
        <f t="shared" si="518"/>
        <v>0</v>
      </c>
      <c r="AD421" s="18" t="b">
        <f t="shared" si="519"/>
        <v>0</v>
      </c>
      <c r="AE421" s="18" t="b">
        <f t="shared" si="510"/>
        <v>0</v>
      </c>
      <c r="AF421" s="17" t="str">
        <f t="shared" si="520"/>
        <v/>
      </c>
      <c r="AG421" s="18" t="str">
        <f t="shared" si="521"/>
        <v/>
      </c>
      <c r="AH421" s="17" t="str">
        <f t="shared" si="511"/>
        <v/>
      </c>
      <c r="AI421" s="297" t="e">
        <f t="shared" si="562"/>
        <v>#VALUE!</v>
      </c>
      <c r="AJ421" s="79" t="e">
        <f t="shared" si="522"/>
        <v>#VALUE!</v>
      </c>
      <c r="AK421" s="17" t="str">
        <f t="shared" si="512"/>
        <v/>
      </c>
      <c r="AL421" s="80" t="e">
        <f t="shared" si="523"/>
        <v>#VALUE!</v>
      </c>
      <c r="AM421" s="139" t="b">
        <f t="shared" si="524"/>
        <v>1</v>
      </c>
      <c r="AN421" s="139" t="b">
        <f>AND(COUNTA(E421)&gt;0,ISNUMBER(F421),OR(COUNT(G421:H421)=0,COUNT(G421:H421)=2,AND(ISNUMBER(G421),ISNUMBER(VALUE(LEFT(H421,SUM(LEN(H421)-LEN(SUBSTITUTE(H421,{"0","1","2","3","4","5","6","7","8","9","."},"")))))))),ISNUMBER(I421),ISTEXT(J421))</f>
        <v>0</v>
      </c>
      <c r="AO421" s="19" t="b">
        <f t="shared" si="525"/>
        <v>0</v>
      </c>
      <c r="AP421" s="19" t="b">
        <f t="shared" si="526"/>
        <v>1</v>
      </c>
      <c r="AQ421" s="19" t="b">
        <f>IF(AND(COUNTBLANK(E421:J421)=6,OR(AN422:AN$523)),NOT(AN421))</f>
        <v>0</v>
      </c>
      <c r="AR421" s="19" t="str">
        <f t="shared" si="527"/>
        <v/>
      </c>
      <c r="AS421" s="19" t="b">
        <f t="shared" si="528"/>
        <v>1</v>
      </c>
      <c r="AT421" s="19" t="str">
        <f t="shared" si="529"/>
        <v/>
      </c>
      <c r="AU421" s="19" t="b">
        <f t="shared" si="530"/>
        <v>1</v>
      </c>
      <c r="AV421" s="140" t="str">
        <f t="shared" si="494"/>
        <v/>
      </c>
      <c r="AW421" s="19" t="str">
        <f t="shared" si="531"/>
        <v/>
      </c>
      <c r="AX421" s="81">
        <f t="shared" si="532"/>
        <v>0</v>
      </c>
      <c r="AY421" s="81" t="str">
        <f t="shared" si="533"/>
        <v/>
      </c>
      <c r="AZ421" s="307" t="str">
        <f t="shared" si="563"/>
        <v/>
      </c>
      <c r="BA421" s="281" t="str">
        <f t="shared" si="495"/>
        <v/>
      </c>
      <c r="BB421" s="281" t="str">
        <f t="shared" si="496"/>
        <v/>
      </c>
      <c r="BC421" s="953"/>
      <c r="BD421" s="955"/>
      <c r="BE421" s="219" t="str">
        <f t="shared" si="534"/>
        <v>n/a</v>
      </c>
      <c r="BF421" s="215" t="b">
        <f t="shared" si="535"/>
        <v>0</v>
      </c>
      <c r="BG421" s="145" t="b">
        <f t="shared" si="536"/>
        <v>0</v>
      </c>
      <c r="BH421" s="145" t="b">
        <f t="shared" si="537"/>
        <v>0</v>
      </c>
      <c r="BI421" s="216" t="b">
        <f t="shared" si="538"/>
        <v>0</v>
      </c>
      <c r="BJ421" s="215" t="b">
        <f t="shared" si="539"/>
        <v>0</v>
      </c>
      <c r="BK421" s="145" t="b">
        <f t="shared" si="540"/>
        <v>0</v>
      </c>
      <c r="BL421" s="216" t="b">
        <f t="shared" si="541"/>
        <v>0</v>
      </c>
      <c r="BM421" s="217" t="str">
        <f t="shared" si="497"/>
        <v/>
      </c>
      <c r="BN421" s="146" t="str">
        <f t="shared" si="498"/>
        <v/>
      </c>
      <c r="BO421" s="147" t="str">
        <f t="shared" si="499"/>
        <v/>
      </c>
      <c r="BP421" s="148" t="str">
        <f t="shared" si="500"/>
        <v/>
      </c>
      <c r="BT421" s="50">
        <f t="shared" si="493"/>
        <v>398</v>
      </c>
      <c r="BU421" s="50" t="str">
        <f t="shared" si="515"/>
        <v>-</v>
      </c>
      <c r="BW421" s="340"/>
      <c r="BX421" s="333"/>
      <c r="BY421" s="333"/>
      <c r="BZ421" s="333"/>
      <c r="CA421" s="333"/>
      <c r="CB421" s="333"/>
      <c r="CC421" s="333"/>
      <c r="CD421" s="333"/>
      <c r="CE421" s="333"/>
      <c r="CF421" s="333"/>
      <c r="CG421" s="354">
        <f t="shared" si="542"/>
        <v>398</v>
      </c>
      <c r="CH421" s="613">
        <f t="shared" si="543"/>
        <v>0</v>
      </c>
      <c r="CI421" s="613">
        <f t="shared" si="544"/>
        <v>0</v>
      </c>
      <c r="CJ421" s="614" t="str">
        <f t="shared" si="545"/>
        <v/>
      </c>
      <c r="CK421" s="615" t="str">
        <f t="shared" si="546"/>
        <v/>
      </c>
      <c r="CL421" s="610" t="str">
        <f>IF(ISBLANK(H421),"",IF(AND(ISNUMBER(F421),ISNUMBER(G421),ISNUMBER(H421)),ROUND(F421/(H421*G421),2),ROUND(F421/(VALUE(LEFT(H421,SUM(LEN(H421)-LEN(SUBSTITUTE(H421,{"0","1","2","3","4","5","6","7","8","9","."},"")))))*G421),2)))</f>
        <v/>
      </c>
      <c r="CM421" s="616" t="str">
        <f t="shared" si="501"/>
        <v/>
      </c>
      <c r="CN421" s="616" t="str">
        <f>IF(ISNUMBER(P421),MAX('Adjustment factors'!$S$16,(0.2+0.8*P421)),IF(ISTEXT(N421),VLOOKUP(N421,Afactors,2,FALSE),""))</f>
        <v/>
      </c>
      <c r="CO421" s="616" t="str">
        <f>IF(ISNUMBER(S421),MAX('Adjustment factors'!$S$16,0.2+0.8*S421),IF(ISTEXT(Q421),VLOOKUP(Q421,Afactors,2,FALSE),""))</f>
        <v/>
      </c>
      <c r="CP421" s="611" t="str">
        <f t="shared" si="564"/>
        <v/>
      </c>
      <c r="CQ421" s="612" t="str">
        <f t="shared" si="565"/>
        <v/>
      </c>
      <c r="CR421" s="340"/>
      <c r="CS421" s="340"/>
      <c r="CT421" s="340"/>
      <c r="CU421" s="340"/>
      <c r="CV421" s="333"/>
      <c r="CW421" s="333"/>
      <c r="CX421" s="333"/>
      <c r="CY421" s="333"/>
      <c r="DA421" s="313" t="str">
        <f t="shared" si="547"/>
        <v>OK</v>
      </c>
      <c r="DB421" s="313" t="str">
        <f t="shared" si="548"/>
        <v>OK</v>
      </c>
      <c r="DC421" s="313" t="str">
        <f t="shared" si="549"/>
        <v>OK</v>
      </c>
      <c r="DD421" s="313" t="str">
        <f t="shared" si="550"/>
        <v>OK</v>
      </c>
      <c r="DE421" s="153" t="str">
        <f t="shared" si="551"/>
        <v>OK</v>
      </c>
      <c r="DF421" s="314" t="str">
        <f t="shared" si="552"/>
        <v>OK</v>
      </c>
      <c r="DG421" s="482" t="str">
        <f t="shared" si="566"/>
        <v>OK</v>
      </c>
      <c r="DH421" s="482" t="str">
        <f>IF(OR(AND(T421='Adjustment factors'!$R$28,'Class 3, 5-9'!U421='Adjustment factors'!$R$29),AND('Class 3, 5-9'!T421='Adjustment factors'!$R$29,'Class 3, 5-9'!U421='Adjustment factors'!$R$28)),"Invalid combination of adjustment factors",IF(AND(T421=U421,NOT(ISBLANK(T421)),NOT(ISBLANK(U421))),"Same colour factor selected twice","OK"))</f>
        <v>OK</v>
      </c>
      <c r="DI421" s="313" t="str">
        <f t="shared" si="553"/>
        <v>OK</v>
      </c>
      <c r="DJ421" s="153" t="str">
        <f t="shared" si="502"/>
        <v>OK</v>
      </c>
      <c r="DK421" s="153" t="str">
        <f t="shared" si="554"/>
        <v>OK</v>
      </c>
      <c r="DL421" s="313" t="str">
        <f t="shared" si="555"/>
        <v>OK</v>
      </c>
      <c r="DM421" s="153" t="str">
        <f t="shared" si="556"/>
        <v>OK</v>
      </c>
      <c r="DN421" s="153" t="str">
        <f t="shared" si="503"/>
        <v>OK</v>
      </c>
      <c r="DO421" s="154" t="str">
        <f t="shared" si="504"/>
        <v>OK</v>
      </c>
      <c r="DP421" s="153" t="str">
        <f t="shared" si="557"/>
        <v>OK</v>
      </c>
      <c r="DQ421" s="313" t="str">
        <f t="shared" si="558"/>
        <v>OK</v>
      </c>
      <c r="DR421" s="153" t="str">
        <f t="shared" si="505"/>
        <v>OK</v>
      </c>
      <c r="DS421" s="153" t="str">
        <f t="shared" si="559"/>
        <v>OK</v>
      </c>
      <c r="DT421" s="313" t="str">
        <f t="shared" si="517"/>
        <v>OK</v>
      </c>
      <c r="DU421" s="153" t="str">
        <f t="shared" si="560"/>
        <v>OK</v>
      </c>
      <c r="DV421" s="153" t="str">
        <f t="shared" si="506"/>
        <v>OK</v>
      </c>
      <c r="DW421" s="154" t="str">
        <f t="shared" si="507"/>
        <v>OK</v>
      </c>
      <c r="DX421" s="157">
        <f t="shared" si="508"/>
        <v>0</v>
      </c>
      <c r="DY421" s="156" t="str">
        <f t="shared" si="509"/>
        <v>OK</v>
      </c>
    </row>
    <row r="422" spans="1:129" ht="13" hidden="1" x14ac:dyDescent="0.3">
      <c r="A422" s="340"/>
      <c r="B422" s="340"/>
      <c r="C422" s="332" t="str">
        <f t="shared" si="516"/>
        <v>-</v>
      </c>
      <c r="D422" s="584">
        <f t="shared" si="492"/>
        <v>399</v>
      </c>
      <c r="E422" s="585"/>
      <c r="F422" s="586"/>
      <c r="G422" s="600"/>
      <c r="H422" s="587"/>
      <c r="I422" s="601"/>
      <c r="J422" s="585"/>
      <c r="K422" s="617"/>
      <c r="L422" s="602"/>
      <c r="M422" s="603"/>
      <c r="N422" s="588"/>
      <c r="O422" s="604"/>
      <c r="P422" s="605"/>
      <c r="Q422" s="588"/>
      <c r="R422" s="604"/>
      <c r="S422" s="605"/>
      <c r="T422" s="606"/>
      <c r="U422" s="606"/>
      <c r="V422" s="429" t="str">
        <f t="shared" si="514"/>
        <v/>
      </c>
      <c r="W422" s="430" t="str">
        <f t="shared" si="513"/>
        <v/>
      </c>
      <c r="X422" s="66" t="str">
        <f>IF(AND(ISNUMBER(P422),N422=FixedDim),MAX('Adjustment factors'!$S$16,0.2+0.8*P422),IF(ISTEXT(N422),VLOOKUP(N422,Afactors,2,TRUE),""))</f>
        <v/>
      </c>
      <c r="Y422" s="17" t="str">
        <f>IF(AND(ISNUMBER(S422),Q422=FixedDim),MAX('Adjustment factors'!$S$16,0.2+0.8*S422),IF(ISTEXT(Q422),VLOOKUP(Q422,Afactors,2,TRUE),""))</f>
        <v/>
      </c>
      <c r="Z422" s="297" t="str">
        <f>IF(ISBLANK(T422),"",VLOOKUP(T422,'Adjustment factors'!$R$27:$S$30,2,TRUE))</f>
        <v/>
      </c>
      <c r="AA422" s="297" t="str">
        <f>IF(ISBLANK(U422),"",VLOOKUP(U422,'Adjustment factors'!$R$27:$S$30,2,TRUE))</f>
        <v/>
      </c>
      <c r="AB422" s="480">
        <f t="shared" si="561"/>
        <v>1</v>
      </c>
      <c r="AC422" s="18" t="b">
        <f t="shared" si="518"/>
        <v>0</v>
      </c>
      <c r="AD422" s="18" t="b">
        <f t="shared" si="519"/>
        <v>0</v>
      </c>
      <c r="AE422" s="18" t="b">
        <f t="shared" si="510"/>
        <v>0</v>
      </c>
      <c r="AF422" s="17" t="str">
        <f t="shared" si="520"/>
        <v/>
      </c>
      <c r="AG422" s="18" t="str">
        <f t="shared" si="521"/>
        <v/>
      </c>
      <c r="AH422" s="17" t="str">
        <f t="shared" si="511"/>
        <v/>
      </c>
      <c r="AI422" s="297" t="e">
        <f t="shared" si="562"/>
        <v>#VALUE!</v>
      </c>
      <c r="AJ422" s="79" t="e">
        <f t="shared" si="522"/>
        <v>#VALUE!</v>
      </c>
      <c r="AK422" s="17" t="str">
        <f t="shared" si="512"/>
        <v/>
      </c>
      <c r="AL422" s="80" t="e">
        <f t="shared" si="523"/>
        <v>#VALUE!</v>
      </c>
      <c r="AM422" s="139" t="b">
        <f t="shared" si="524"/>
        <v>1</v>
      </c>
      <c r="AN422" s="139" t="b">
        <f>AND(COUNTA(E422)&gt;0,ISNUMBER(F422),OR(COUNT(G422:H422)=0,COUNT(G422:H422)=2,AND(ISNUMBER(G422),ISNUMBER(VALUE(LEFT(H422,SUM(LEN(H422)-LEN(SUBSTITUTE(H422,{"0","1","2","3","4","5","6","7","8","9","."},"")))))))),ISNUMBER(I422),ISTEXT(J422))</f>
        <v>0</v>
      </c>
      <c r="AO422" s="19" t="b">
        <f t="shared" si="525"/>
        <v>0</v>
      </c>
      <c r="AP422" s="19" t="b">
        <f t="shared" si="526"/>
        <v>1</v>
      </c>
      <c r="AQ422" s="19" t="b">
        <f>IF(AND(COUNTBLANK(E422:J422)=6,OR(AN423:AN$523)),NOT(AN422))</f>
        <v>0</v>
      </c>
      <c r="AR422" s="19" t="str">
        <f t="shared" si="527"/>
        <v/>
      </c>
      <c r="AS422" s="19" t="b">
        <f t="shared" si="528"/>
        <v>1</v>
      </c>
      <c r="AT422" s="19" t="str">
        <f t="shared" si="529"/>
        <v/>
      </c>
      <c r="AU422" s="19" t="b">
        <f t="shared" si="530"/>
        <v>1</v>
      </c>
      <c r="AV422" s="140" t="str">
        <f t="shared" si="494"/>
        <v/>
      </c>
      <c r="AW422" s="19" t="str">
        <f t="shared" si="531"/>
        <v/>
      </c>
      <c r="AX422" s="81">
        <f t="shared" si="532"/>
        <v>0</v>
      </c>
      <c r="AY422" s="81" t="str">
        <f t="shared" si="533"/>
        <v/>
      </c>
      <c r="AZ422" s="307" t="str">
        <f t="shared" si="563"/>
        <v/>
      </c>
      <c r="BA422" s="281" t="str">
        <f t="shared" si="495"/>
        <v/>
      </c>
      <c r="BB422" s="281" t="str">
        <f t="shared" si="496"/>
        <v/>
      </c>
      <c r="BC422" s="953"/>
      <c r="BD422" s="955"/>
      <c r="BE422" s="219" t="str">
        <f t="shared" si="534"/>
        <v>n/a</v>
      </c>
      <c r="BF422" s="215" t="b">
        <f t="shared" si="535"/>
        <v>0</v>
      </c>
      <c r="BG422" s="145" t="b">
        <f t="shared" si="536"/>
        <v>0</v>
      </c>
      <c r="BH422" s="145" t="b">
        <f t="shared" si="537"/>
        <v>0</v>
      </c>
      <c r="BI422" s="216" t="b">
        <f t="shared" si="538"/>
        <v>0</v>
      </c>
      <c r="BJ422" s="215" t="b">
        <f t="shared" si="539"/>
        <v>0</v>
      </c>
      <c r="BK422" s="145" t="b">
        <f t="shared" si="540"/>
        <v>0</v>
      </c>
      <c r="BL422" s="216" t="b">
        <f t="shared" si="541"/>
        <v>0</v>
      </c>
      <c r="BM422" s="217" t="str">
        <f t="shared" si="497"/>
        <v/>
      </c>
      <c r="BN422" s="146" t="str">
        <f t="shared" si="498"/>
        <v/>
      </c>
      <c r="BO422" s="147" t="str">
        <f t="shared" si="499"/>
        <v/>
      </c>
      <c r="BP422" s="148" t="str">
        <f t="shared" si="500"/>
        <v/>
      </c>
      <c r="BT422" s="50">
        <f t="shared" si="493"/>
        <v>399</v>
      </c>
      <c r="BU422" s="50" t="str">
        <f t="shared" si="515"/>
        <v>-</v>
      </c>
      <c r="BW422" s="340"/>
      <c r="BX422" s="333"/>
      <c r="BY422" s="333"/>
      <c r="BZ422" s="333"/>
      <c r="CA422" s="333"/>
      <c r="CB422" s="333"/>
      <c r="CC422" s="333"/>
      <c r="CD422" s="333"/>
      <c r="CE422" s="333"/>
      <c r="CF422" s="333"/>
      <c r="CG422" s="354">
        <f t="shared" si="542"/>
        <v>399</v>
      </c>
      <c r="CH422" s="613">
        <f t="shared" si="543"/>
        <v>0</v>
      </c>
      <c r="CI422" s="613">
        <f t="shared" si="544"/>
        <v>0</v>
      </c>
      <c r="CJ422" s="614" t="str">
        <f t="shared" si="545"/>
        <v/>
      </c>
      <c r="CK422" s="615" t="str">
        <f t="shared" si="546"/>
        <v/>
      </c>
      <c r="CL422" s="610" t="str">
        <f>IF(ISBLANK(H422),"",IF(AND(ISNUMBER(F422),ISNUMBER(G422),ISNUMBER(H422)),ROUND(F422/(H422*G422),2),ROUND(F422/(VALUE(LEFT(H422,SUM(LEN(H422)-LEN(SUBSTITUTE(H422,{"0","1","2","3","4","5","6","7","8","9","."},"")))))*G422),2)))</f>
        <v/>
      </c>
      <c r="CM422" s="616" t="str">
        <f t="shared" si="501"/>
        <v/>
      </c>
      <c r="CN422" s="616" t="str">
        <f>IF(ISNUMBER(P422),MAX('Adjustment factors'!$S$16,(0.2+0.8*P422)),IF(ISTEXT(N422),VLOOKUP(N422,Afactors,2,FALSE),""))</f>
        <v/>
      </c>
      <c r="CO422" s="616" t="str">
        <f>IF(ISNUMBER(S422),MAX('Adjustment factors'!$S$16,0.2+0.8*S422),IF(ISTEXT(Q422),VLOOKUP(Q422,Afactors,2,FALSE),""))</f>
        <v/>
      </c>
      <c r="CP422" s="611" t="str">
        <f t="shared" si="564"/>
        <v/>
      </c>
      <c r="CQ422" s="612" t="str">
        <f t="shared" si="565"/>
        <v/>
      </c>
      <c r="CR422" s="340"/>
      <c r="CS422" s="340"/>
      <c r="CT422" s="340"/>
      <c r="CU422" s="340"/>
      <c r="CV422" s="333"/>
      <c r="CW422" s="333"/>
      <c r="CX422" s="333"/>
      <c r="CY422" s="333"/>
      <c r="DA422" s="313" t="str">
        <f t="shared" si="547"/>
        <v>OK</v>
      </c>
      <c r="DB422" s="313" t="str">
        <f t="shared" si="548"/>
        <v>OK</v>
      </c>
      <c r="DC422" s="313" t="str">
        <f t="shared" si="549"/>
        <v>OK</v>
      </c>
      <c r="DD422" s="313" t="str">
        <f t="shared" si="550"/>
        <v>OK</v>
      </c>
      <c r="DE422" s="153" t="str">
        <f t="shared" si="551"/>
        <v>OK</v>
      </c>
      <c r="DF422" s="314" t="str">
        <f t="shared" si="552"/>
        <v>OK</v>
      </c>
      <c r="DG422" s="482" t="str">
        <f t="shared" si="566"/>
        <v>OK</v>
      </c>
      <c r="DH422" s="482" t="str">
        <f>IF(OR(AND(T422='Adjustment factors'!$R$28,'Class 3, 5-9'!U422='Adjustment factors'!$R$29),AND('Class 3, 5-9'!T422='Adjustment factors'!$R$29,'Class 3, 5-9'!U422='Adjustment factors'!$R$28)),"Invalid combination of adjustment factors",IF(AND(T422=U422,NOT(ISBLANK(T422)),NOT(ISBLANK(U422))),"Same colour factor selected twice","OK"))</f>
        <v>OK</v>
      </c>
      <c r="DI422" s="313" t="str">
        <f t="shared" si="553"/>
        <v>OK</v>
      </c>
      <c r="DJ422" s="153" t="str">
        <f t="shared" si="502"/>
        <v>OK</v>
      </c>
      <c r="DK422" s="153" t="str">
        <f t="shared" si="554"/>
        <v>OK</v>
      </c>
      <c r="DL422" s="313" t="str">
        <f t="shared" si="555"/>
        <v>OK</v>
      </c>
      <c r="DM422" s="153" t="str">
        <f t="shared" si="556"/>
        <v>OK</v>
      </c>
      <c r="DN422" s="153" t="str">
        <f t="shared" si="503"/>
        <v>OK</v>
      </c>
      <c r="DO422" s="154" t="str">
        <f t="shared" si="504"/>
        <v>OK</v>
      </c>
      <c r="DP422" s="153" t="str">
        <f t="shared" si="557"/>
        <v>OK</v>
      </c>
      <c r="DQ422" s="313" t="str">
        <f t="shared" si="558"/>
        <v>OK</v>
      </c>
      <c r="DR422" s="153" t="str">
        <f t="shared" si="505"/>
        <v>OK</v>
      </c>
      <c r="DS422" s="153" t="str">
        <f t="shared" si="559"/>
        <v>OK</v>
      </c>
      <c r="DT422" s="313" t="str">
        <f t="shared" si="517"/>
        <v>OK</v>
      </c>
      <c r="DU422" s="153" t="str">
        <f t="shared" si="560"/>
        <v>OK</v>
      </c>
      <c r="DV422" s="153" t="str">
        <f t="shared" si="506"/>
        <v>OK</v>
      </c>
      <c r="DW422" s="154" t="str">
        <f t="shared" si="507"/>
        <v>OK</v>
      </c>
      <c r="DX422" s="157">
        <f t="shared" si="508"/>
        <v>0</v>
      </c>
      <c r="DY422" s="156" t="str">
        <f t="shared" si="509"/>
        <v>OK</v>
      </c>
    </row>
    <row r="423" spans="1:129" ht="13" hidden="1" x14ac:dyDescent="0.3">
      <c r="A423" s="340"/>
      <c r="B423" s="418"/>
      <c r="C423" s="332" t="str">
        <f t="shared" si="516"/>
        <v>-</v>
      </c>
      <c r="D423" s="584">
        <f t="shared" si="492"/>
        <v>400</v>
      </c>
      <c r="E423" s="585"/>
      <c r="F423" s="586"/>
      <c r="G423" s="600"/>
      <c r="H423" s="587"/>
      <c r="I423" s="601"/>
      <c r="J423" s="585"/>
      <c r="K423" s="617"/>
      <c r="L423" s="602"/>
      <c r="M423" s="603"/>
      <c r="N423" s="588"/>
      <c r="O423" s="604"/>
      <c r="P423" s="605"/>
      <c r="Q423" s="588"/>
      <c r="R423" s="604"/>
      <c r="S423" s="605"/>
      <c r="T423" s="606"/>
      <c r="U423" s="606"/>
      <c r="V423" s="429" t="str">
        <f t="shared" si="514"/>
        <v/>
      </c>
      <c r="W423" s="430" t="str">
        <f t="shared" si="513"/>
        <v/>
      </c>
      <c r="X423" s="66" t="str">
        <f>IF(AND(ISNUMBER(P423),N423=FixedDim),MAX('Adjustment factors'!$S$16,0.2+0.8*P423),IF(ISTEXT(N423),VLOOKUP(N423,Afactors,2,TRUE),""))</f>
        <v/>
      </c>
      <c r="Y423" s="17" t="str">
        <f>IF(AND(ISNUMBER(S423),Q423=FixedDim),MAX('Adjustment factors'!$S$16,0.2+0.8*S423),IF(ISTEXT(Q423),VLOOKUP(Q423,Afactors,2,TRUE),""))</f>
        <v/>
      </c>
      <c r="Z423" s="297" t="str">
        <f>IF(ISBLANK(T423),"",VLOOKUP(T423,'Adjustment factors'!$R$27:$S$30,2,TRUE))</f>
        <v/>
      </c>
      <c r="AA423" s="297" t="str">
        <f>IF(ISBLANK(U423),"",VLOOKUP(U423,'Adjustment factors'!$R$27:$S$30,2,TRUE))</f>
        <v/>
      </c>
      <c r="AB423" s="480">
        <f t="shared" si="561"/>
        <v>1</v>
      </c>
      <c r="AC423" s="18" t="b">
        <f t="shared" si="518"/>
        <v>0</v>
      </c>
      <c r="AD423" s="18" t="b">
        <f t="shared" si="519"/>
        <v>0</v>
      </c>
      <c r="AE423" s="18" t="b">
        <f t="shared" si="510"/>
        <v>0</v>
      </c>
      <c r="AF423" s="17" t="str">
        <f t="shared" si="520"/>
        <v/>
      </c>
      <c r="AG423" s="18" t="str">
        <f t="shared" si="521"/>
        <v/>
      </c>
      <c r="AH423" s="17" t="str">
        <f t="shared" si="511"/>
        <v/>
      </c>
      <c r="AI423" s="297" t="e">
        <f t="shared" si="562"/>
        <v>#VALUE!</v>
      </c>
      <c r="AJ423" s="79" t="e">
        <f t="shared" si="522"/>
        <v>#VALUE!</v>
      </c>
      <c r="AK423" s="17" t="str">
        <f t="shared" si="512"/>
        <v/>
      </c>
      <c r="AL423" s="80" t="e">
        <f t="shared" si="523"/>
        <v>#VALUE!</v>
      </c>
      <c r="AM423" s="139" t="b">
        <f t="shared" si="524"/>
        <v>1</v>
      </c>
      <c r="AN423" s="139" t="b">
        <f>AND(COUNTA(E423)&gt;0,ISNUMBER(F423),OR(COUNT(G423:H423)=0,COUNT(G423:H423)=2,AND(ISNUMBER(G423),ISNUMBER(VALUE(LEFT(H423,SUM(LEN(H423)-LEN(SUBSTITUTE(H423,{"0","1","2","3","4","5","6","7","8","9","."},"")))))))),ISNUMBER(I423),ISTEXT(J423))</f>
        <v>0</v>
      </c>
      <c r="AO423" s="19" t="b">
        <f t="shared" si="525"/>
        <v>0</v>
      </c>
      <c r="AP423" s="19" t="b">
        <f t="shared" si="526"/>
        <v>1</v>
      </c>
      <c r="AQ423" s="19" t="b">
        <f>IF(AND(COUNTBLANK(E423:J423)=6,OR(AN424:AN$523)),NOT(AN423))</f>
        <v>0</v>
      </c>
      <c r="AR423" s="19" t="str">
        <f t="shared" si="527"/>
        <v/>
      </c>
      <c r="AS423" s="19" t="b">
        <f t="shared" si="528"/>
        <v>1</v>
      </c>
      <c r="AT423" s="19" t="str">
        <f t="shared" si="529"/>
        <v/>
      </c>
      <c r="AU423" s="19" t="b">
        <f t="shared" si="530"/>
        <v>1</v>
      </c>
      <c r="AV423" s="140" t="str">
        <f t="shared" si="494"/>
        <v/>
      </c>
      <c r="AW423" s="19" t="str">
        <f t="shared" si="531"/>
        <v/>
      </c>
      <c r="AX423" s="81">
        <f t="shared" si="532"/>
        <v>0</v>
      </c>
      <c r="AY423" s="81" t="str">
        <f t="shared" si="533"/>
        <v/>
      </c>
      <c r="AZ423" s="307" t="str">
        <f t="shared" si="563"/>
        <v/>
      </c>
      <c r="BA423" s="281" t="str">
        <f t="shared" si="495"/>
        <v/>
      </c>
      <c r="BB423" s="281" t="str">
        <f t="shared" si="496"/>
        <v/>
      </c>
      <c r="BC423" s="953"/>
      <c r="BD423" s="955"/>
      <c r="BE423" s="219" t="str">
        <f t="shared" si="534"/>
        <v>n/a</v>
      </c>
      <c r="BF423" s="215" t="b">
        <f t="shared" si="535"/>
        <v>0</v>
      </c>
      <c r="BG423" s="145" t="b">
        <f t="shared" si="536"/>
        <v>0</v>
      </c>
      <c r="BH423" s="145" t="b">
        <f t="shared" si="537"/>
        <v>0</v>
      </c>
      <c r="BI423" s="216" t="b">
        <f t="shared" si="538"/>
        <v>0</v>
      </c>
      <c r="BJ423" s="215" t="b">
        <f t="shared" si="539"/>
        <v>0</v>
      </c>
      <c r="BK423" s="145" t="b">
        <f t="shared" si="540"/>
        <v>0</v>
      </c>
      <c r="BL423" s="216" t="b">
        <f t="shared" si="541"/>
        <v>0</v>
      </c>
      <c r="BM423" s="217" t="str">
        <f t="shared" si="497"/>
        <v/>
      </c>
      <c r="BN423" s="146" t="str">
        <f t="shared" si="498"/>
        <v/>
      </c>
      <c r="BO423" s="147" t="str">
        <f t="shared" si="499"/>
        <v/>
      </c>
      <c r="BP423" s="148" t="str">
        <f t="shared" si="500"/>
        <v/>
      </c>
      <c r="BT423" s="50">
        <f t="shared" si="493"/>
        <v>400</v>
      </c>
      <c r="BU423" s="50" t="str">
        <f t="shared" si="515"/>
        <v>-</v>
      </c>
      <c r="BW423" s="340"/>
      <c r="BX423" s="333"/>
      <c r="BY423" s="333"/>
      <c r="BZ423" s="333"/>
      <c r="CA423" s="333"/>
      <c r="CB423" s="333"/>
      <c r="CC423" s="333"/>
      <c r="CD423" s="333"/>
      <c r="CE423" s="333"/>
      <c r="CF423" s="333"/>
      <c r="CG423" s="354">
        <f t="shared" si="542"/>
        <v>400</v>
      </c>
      <c r="CH423" s="613">
        <f t="shared" si="543"/>
        <v>0</v>
      </c>
      <c r="CI423" s="613">
        <f t="shared" si="544"/>
        <v>0</v>
      </c>
      <c r="CJ423" s="614" t="str">
        <f t="shared" si="545"/>
        <v/>
      </c>
      <c r="CK423" s="615" t="str">
        <f t="shared" si="546"/>
        <v/>
      </c>
      <c r="CL423" s="610" t="str">
        <f>IF(ISBLANK(H423),"",IF(AND(ISNUMBER(F423),ISNUMBER(G423),ISNUMBER(H423)),ROUND(F423/(H423*G423),2),ROUND(F423/(VALUE(LEFT(H423,SUM(LEN(H423)-LEN(SUBSTITUTE(H423,{"0","1","2","3","4","5","6","7","8","9","."},"")))))*G423),2)))</f>
        <v/>
      </c>
      <c r="CM423" s="616" t="str">
        <f t="shared" si="501"/>
        <v/>
      </c>
      <c r="CN423" s="616" t="str">
        <f>IF(ISNUMBER(P423),MAX('Adjustment factors'!$S$16,(0.2+0.8*P423)),IF(ISTEXT(N423),VLOOKUP(N423,Afactors,2,FALSE),""))</f>
        <v/>
      </c>
      <c r="CO423" s="616" t="str">
        <f>IF(ISNUMBER(S423),MAX('Adjustment factors'!$S$16,0.2+0.8*S423),IF(ISTEXT(Q423),VLOOKUP(Q423,Afactors,2,FALSE),""))</f>
        <v/>
      </c>
      <c r="CP423" s="611" t="str">
        <f t="shared" si="564"/>
        <v/>
      </c>
      <c r="CQ423" s="612" t="str">
        <f t="shared" si="565"/>
        <v/>
      </c>
      <c r="CR423" s="340"/>
      <c r="CS423" s="340"/>
      <c r="CT423" s="340"/>
      <c r="CU423" s="340"/>
      <c r="CV423" s="333"/>
      <c r="CW423" s="333"/>
      <c r="CX423" s="333"/>
      <c r="CY423" s="333"/>
      <c r="DA423" s="313" t="str">
        <f t="shared" si="547"/>
        <v>OK</v>
      </c>
      <c r="DB423" s="313" t="str">
        <f t="shared" si="548"/>
        <v>OK</v>
      </c>
      <c r="DC423" s="313" t="str">
        <f t="shared" si="549"/>
        <v>OK</v>
      </c>
      <c r="DD423" s="313" t="str">
        <f t="shared" si="550"/>
        <v>OK</v>
      </c>
      <c r="DE423" s="153" t="str">
        <f t="shared" si="551"/>
        <v>OK</v>
      </c>
      <c r="DF423" s="314" t="str">
        <f t="shared" si="552"/>
        <v>OK</v>
      </c>
      <c r="DG423" s="482" t="str">
        <f t="shared" si="566"/>
        <v>OK</v>
      </c>
      <c r="DH423" s="482" t="str">
        <f>IF(OR(AND(T423='Adjustment factors'!$R$28,'Class 3, 5-9'!U423='Adjustment factors'!$R$29),AND('Class 3, 5-9'!T423='Adjustment factors'!$R$29,'Class 3, 5-9'!U423='Adjustment factors'!$R$28)),"Invalid combination of adjustment factors",IF(AND(T423=U423,NOT(ISBLANK(T423)),NOT(ISBLANK(U423))),"Same colour factor selected twice","OK"))</f>
        <v>OK</v>
      </c>
      <c r="DI423" s="313" t="str">
        <f t="shared" si="553"/>
        <v>OK</v>
      </c>
      <c r="DJ423" s="153" t="str">
        <f t="shared" si="502"/>
        <v>OK</v>
      </c>
      <c r="DK423" s="153" t="str">
        <f t="shared" si="554"/>
        <v>OK</v>
      </c>
      <c r="DL423" s="313" t="str">
        <f t="shared" si="555"/>
        <v>OK</v>
      </c>
      <c r="DM423" s="153" t="str">
        <f t="shared" si="556"/>
        <v>OK</v>
      </c>
      <c r="DN423" s="153" t="str">
        <f t="shared" si="503"/>
        <v>OK</v>
      </c>
      <c r="DO423" s="154" t="str">
        <f t="shared" si="504"/>
        <v>OK</v>
      </c>
      <c r="DP423" s="153" t="str">
        <f t="shared" si="557"/>
        <v>OK</v>
      </c>
      <c r="DQ423" s="313" t="str">
        <f t="shared" si="558"/>
        <v>OK</v>
      </c>
      <c r="DR423" s="153" t="str">
        <f t="shared" si="505"/>
        <v>OK</v>
      </c>
      <c r="DS423" s="153" t="str">
        <f t="shared" si="559"/>
        <v>OK</v>
      </c>
      <c r="DT423" s="313" t="str">
        <f t="shared" si="517"/>
        <v>OK</v>
      </c>
      <c r="DU423" s="153" t="str">
        <f t="shared" si="560"/>
        <v>OK</v>
      </c>
      <c r="DV423" s="153" t="str">
        <f t="shared" si="506"/>
        <v>OK</v>
      </c>
      <c r="DW423" s="154" t="str">
        <f t="shared" si="507"/>
        <v>OK</v>
      </c>
      <c r="DX423" s="157">
        <f t="shared" si="508"/>
        <v>0</v>
      </c>
      <c r="DY423" s="156" t="str">
        <f t="shared" si="509"/>
        <v>OK</v>
      </c>
    </row>
    <row r="424" spans="1:129" s="312" customFormat="1" ht="13" hidden="1" x14ac:dyDescent="0.25">
      <c r="A424" s="351"/>
      <c r="B424" s="417"/>
      <c r="C424" s="330" t="str">
        <f>BU424</f>
        <v>-</v>
      </c>
      <c r="D424" s="584">
        <f t="shared" si="492"/>
        <v>401</v>
      </c>
      <c r="E424" s="585"/>
      <c r="F424" s="586"/>
      <c r="G424" s="600"/>
      <c r="H424" s="587"/>
      <c r="I424" s="601"/>
      <c r="J424" s="585"/>
      <c r="K424" s="617"/>
      <c r="L424" s="602"/>
      <c r="M424" s="603"/>
      <c r="N424" s="588"/>
      <c r="O424" s="604"/>
      <c r="P424" s="605"/>
      <c r="Q424" s="588"/>
      <c r="R424" s="604"/>
      <c r="S424" s="605"/>
      <c r="T424" s="606"/>
      <c r="U424" s="606"/>
      <c r="V424" s="429" t="str">
        <f t="shared" si="514"/>
        <v/>
      </c>
      <c r="W424" s="430" t="str">
        <f>AW424</f>
        <v/>
      </c>
      <c r="X424" s="66" t="str">
        <f>IF(AND(ISNUMBER(P424),N424=FixedDim),MAX('Adjustment factors'!$S$16,0.2+0.8*P424),IF(ISTEXT(N424),VLOOKUP(N424,Afactors,2,TRUE),""))</f>
        <v/>
      </c>
      <c r="Y424" s="17" t="str">
        <f>IF(AND(ISNUMBER(S424),Q424=FixedDim),MAX('Adjustment factors'!$S$16,0.2+0.8*S424),IF(ISTEXT(Q424),VLOOKUP(Q424,Afactors,2,TRUE),""))</f>
        <v/>
      </c>
      <c r="Z424" s="297" t="str">
        <f>IF(ISBLANK(T424),"",VLOOKUP(T424,'Adjustment factors'!$R$27:$S$30,2,TRUE))</f>
        <v/>
      </c>
      <c r="AA424" s="297" t="str">
        <f>IF(ISBLANK(U424),"",VLOOKUP(U424,'Adjustment factors'!$R$27:$S$30,2,TRUE))</f>
        <v/>
      </c>
      <c r="AB424" s="480">
        <f t="shared" si="561"/>
        <v>1</v>
      </c>
      <c r="AC424" s="18" t="b">
        <f t="shared" si="518"/>
        <v>0</v>
      </c>
      <c r="AD424" s="18" t="b">
        <f t="shared" si="519"/>
        <v>0</v>
      </c>
      <c r="AE424" s="18" t="b">
        <f>ISNUMBER(CM424)</f>
        <v>0</v>
      </c>
      <c r="AF424" s="17" t="str">
        <f t="shared" si="520"/>
        <v/>
      </c>
      <c r="AG424" s="18" t="str">
        <f t="shared" si="521"/>
        <v/>
      </c>
      <c r="AH424" s="17" t="str">
        <f t="shared" si="511"/>
        <v/>
      </c>
      <c r="AI424" s="297" t="e">
        <f t="shared" si="562"/>
        <v>#VALUE!</v>
      </c>
      <c r="AJ424" s="79" t="e">
        <f t="shared" si="522"/>
        <v>#VALUE!</v>
      </c>
      <c r="AK424" s="17" t="str">
        <f>IF(AD424,(AF424*(AG424+((1-AG424)/2))),"")</f>
        <v/>
      </c>
      <c r="AL424" s="80" t="e">
        <f t="shared" si="523"/>
        <v>#VALUE!</v>
      </c>
      <c r="AM424" s="139" t="b">
        <f t="shared" si="524"/>
        <v>1</v>
      </c>
      <c r="AN424" s="139" t="b">
        <f>AND(COUNTA(E424)&gt;0,ISNUMBER(F424),OR(COUNT(G424:H424)=0,COUNT(G424:H424)=2,AND(ISNUMBER(G424),ISNUMBER(VALUE(LEFT(H424,SUM(LEN(H424)-LEN(SUBSTITUTE(H424,{"0","1","2","3","4","5","6","7","8","9","."},"")))))))),ISNUMBER(I424),ISTEXT(J424))</f>
        <v>0</v>
      </c>
      <c r="AO424" s="19" t="b">
        <f t="shared" si="525"/>
        <v>0</v>
      </c>
      <c r="AP424" s="19" t="b">
        <f t="shared" si="526"/>
        <v>1</v>
      </c>
      <c r="AQ424" s="19" t="b">
        <f>IF(AND(COUNTBLANK(E424:J424)=6,OR(AN425:AN$523)),NOT(AN424))</f>
        <v>0</v>
      </c>
      <c r="AR424" s="19" t="str">
        <f t="shared" si="527"/>
        <v/>
      </c>
      <c r="AS424" s="19" t="b">
        <f t="shared" si="528"/>
        <v>1</v>
      </c>
      <c r="AT424" s="19" t="str">
        <f t="shared" si="529"/>
        <v/>
      </c>
      <c r="AU424" s="19" t="b">
        <f t="shared" si="530"/>
        <v>1</v>
      </c>
      <c r="AV424" s="140" t="str">
        <f>IF(AND(AM424,AN424,AR424,AT424),IF(ISNUMBER(AG424),ROUND(AL424,0),ROUND(AJ424,0)),"")</f>
        <v/>
      </c>
      <c r="AW424" s="19" t="str">
        <f t="shared" si="531"/>
        <v/>
      </c>
      <c r="AX424" s="81">
        <f t="shared" si="532"/>
        <v>0</v>
      </c>
      <c r="AY424" s="81" t="str">
        <f t="shared" si="533"/>
        <v/>
      </c>
      <c r="AZ424" s="307" t="str">
        <f t="shared" si="563"/>
        <v/>
      </c>
      <c r="BA424" s="307" t="str">
        <f>IF(DI424&lt;&gt;"OK",DI424,IF(DJ424&lt;&gt;"OK",DJ424,IF(DK424&lt;&gt;"OK",DK424,IF(DL424&lt;&gt;"OK",DL424,IF(DM424&lt;&gt;"OK",DM424,IF(DN424&lt;&gt;"OK",DN424,IF(DO424&lt;&gt;"OK",DO424,BB424)))))))</f>
        <v/>
      </c>
      <c r="BB424" s="307" t="str">
        <f>IF(DP424&lt;&gt;"OK",DP424,IF(DQ424&lt;&gt;"OK",DQ424,IF(DR424&lt;&gt;"OK",DR424,IF(DS424&lt;&gt;"OK",DS424,IF(DT424&lt;&gt;"OK",DT424,IF(DU424&lt;&gt;"OK",DU424,IF(DV424&lt;&gt;"OK",DV424,IF(DW424&lt;&gt;"OK",DW424,IF(DY424&lt;&gt;"OK",DY424,"")))))))))</f>
        <v/>
      </c>
      <c r="BC424" s="953"/>
      <c r="BD424" s="955"/>
      <c r="BE424" s="308" t="str">
        <f t="shared" si="534"/>
        <v>n/a</v>
      </c>
      <c r="BF424" s="309" t="b">
        <f t="shared" si="535"/>
        <v>0</v>
      </c>
      <c r="BG424" s="310" t="b">
        <f t="shared" si="536"/>
        <v>0</v>
      </c>
      <c r="BH424" s="310" t="b">
        <f t="shared" si="537"/>
        <v>0</v>
      </c>
      <c r="BI424" s="311" t="b">
        <f t="shared" si="538"/>
        <v>0</v>
      </c>
      <c r="BJ424" s="309" t="b">
        <f t="shared" si="539"/>
        <v>0</v>
      </c>
      <c r="BK424" s="310" t="b">
        <f t="shared" si="540"/>
        <v>0</v>
      </c>
      <c r="BL424" s="311" t="b">
        <f t="shared" si="541"/>
        <v>0</v>
      </c>
      <c r="BM424" s="217" t="str">
        <f>IF(AN424,AX424/ADIPLone,"")</f>
        <v/>
      </c>
      <c r="BN424" s="146" t="str">
        <f>IF(AN424,percentage,"")</f>
        <v/>
      </c>
      <c r="BO424" s="147" t="str">
        <f>IF(AN424,MIPDLONE&gt;=ADIPLone,"")</f>
        <v/>
      </c>
      <c r="BP424" s="148" t="str">
        <f>IF(AND(AN424,AR424,AT424),TEXT(BM424,"0%")&amp;" of "&amp;TEXT(BN424*100,"General")&amp;"%","")</f>
        <v/>
      </c>
      <c r="BT424" s="50">
        <f t="shared" si="493"/>
        <v>401</v>
      </c>
      <c r="BU424" s="49" t="str">
        <f t="shared" si="515"/>
        <v>-</v>
      </c>
      <c r="BW424" s="352"/>
      <c r="BX424" s="333"/>
      <c r="BY424" s="333"/>
      <c r="BZ424" s="333"/>
      <c r="CA424" s="333"/>
      <c r="CB424" s="333"/>
      <c r="CC424" s="333"/>
      <c r="CD424" s="333"/>
      <c r="CE424" s="333"/>
      <c r="CF424" s="352"/>
      <c r="CG424" s="353">
        <f t="shared" si="542"/>
        <v>401</v>
      </c>
      <c r="CH424" s="607">
        <f t="shared" si="543"/>
        <v>0</v>
      </c>
      <c r="CI424" s="607">
        <f t="shared" si="544"/>
        <v>0</v>
      </c>
      <c r="CJ424" s="608" t="str">
        <f t="shared" si="545"/>
        <v/>
      </c>
      <c r="CK424" s="609" t="str">
        <f t="shared" si="546"/>
        <v/>
      </c>
      <c r="CL424" s="610" t="str">
        <f>IF(ISBLANK(H424),"",IF(AND(ISNUMBER(F424),ISNUMBER(G424),ISNUMBER(H424)),ROUND(F424/(H424*G424),2),ROUND(F424/(VALUE(LEFT(H424,SUM(LEN(H424)-LEN(SUBSTITUTE(H424,{"0","1","2","3","4","5","6","7","8","9","."},"")))))*G424),2)))</f>
        <v/>
      </c>
      <c r="CM424" s="611" t="str">
        <f>IF(CL424&lt;1.5,ROUND(0.5+CL424/3,2),"")</f>
        <v/>
      </c>
      <c r="CN424" s="611" t="str">
        <f>IF(ISNUMBER(P424),MAX('Adjustment factors'!$S$16,(0.2+0.8*P424)),IF(ISTEXT(N424),VLOOKUP(N424,Afactors,2,FALSE),""))</f>
        <v/>
      </c>
      <c r="CO424" s="611" t="str">
        <f>IF(ISNUMBER(S424),MAX('Adjustment factors'!$S$16,0.2+0.8*S424),IF(ISTEXT(Q424),VLOOKUP(Q424,Afactors,2,FALSE),""))</f>
        <v/>
      </c>
      <c r="CP424" s="611" t="str">
        <f t="shared" si="564"/>
        <v/>
      </c>
      <c r="CQ424" s="612" t="str">
        <f t="shared" si="565"/>
        <v/>
      </c>
      <c r="CR424" s="351"/>
      <c r="CS424" s="351"/>
      <c r="CT424" s="351"/>
      <c r="CU424" s="351"/>
      <c r="CV424" s="352"/>
      <c r="CW424" s="352"/>
      <c r="CX424" s="352"/>
      <c r="CY424" s="352"/>
      <c r="DA424" s="313" t="str">
        <f t="shared" si="547"/>
        <v>OK</v>
      </c>
      <c r="DB424" s="313" t="str">
        <f t="shared" si="548"/>
        <v>OK</v>
      </c>
      <c r="DC424" s="313" t="str">
        <f t="shared" si="549"/>
        <v>OK</v>
      </c>
      <c r="DD424" s="313" t="str">
        <f t="shared" si="550"/>
        <v>OK</v>
      </c>
      <c r="DE424" s="313" t="str">
        <f t="shared" si="551"/>
        <v>OK</v>
      </c>
      <c r="DF424" s="314" t="str">
        <f t="shared" si="552"/>
        <v>OK</v>
      </c>
      <c r="DG424" s="482" t="str">
        <f t="shared" si="566"/>
        <v>OK</v>
      </c>
      <c r="DH424" s="482" t="str">
        <f>IF(OR(AND(T424='Adjustment factors'!$R$28,'Class 3, 5-9'!U424='Adjustment factors'!$R$29),AND('Class 3, 5-9'!T424='Adjustment factors'!$R$29,'Class 3, 5-9'!U424='Adjustment factors'!$R$28)),"Invalid combination of adjustment factors",IF(AND(T424=U424,NOT(ISBLANK(T424)),NOT(ISBLANK(U424))),"Same colour factor selected twice","OK"))</f>
        <v>OK</v>
      </c>
      <c r="DI424" s="313" t="str">
        <f t="shared" si="553"/>
        <v>OK</v>
      </c>
      <c r="DJ424" s="313" t="str">
        <f>"OK"</f>
        <v>OK</v>
      </c>
      <c r="DK424" s="313" t="str">
        <f t="shared" si="554"/>
        <v>OK</v>
      </c>
      <c r="DL424" s="313" t="str">
        <f t="shared" si="555"/>
        <v>OK</v>
      </c>
      <c r="DM424" s="313" t="str">
        <f t="shared" si="556"/>
        <v>OK</v>
      </c>
      <c r="DN424" s="313" t="str">
        <f>IF(ISNUMBER(FIND("NA",$N424)),"Adjustment Factor not applicable","OK")</f>
        <v>OK</v>
      </c>
      <c r="DO424" s="314" t="str">
        <f>"OK"</f>
        <v>OK</v>
      </c>
      <c r="DP424" s="313" t="str">
        <f t="shared" si="557"/>
        <v>OK</v>
      </c>
      <c r="DQ424" s="313" t="str">
        <f t="shared" si="558"/>
        <v>OK</v>
      </c>
      <c r="DR424" s="313" t="str">
        <f>"OK"</f>
        <v>OK</v>
      </c>
      <c r="DS424" s="313" t="str">
        <f t="shared" si="559"/>
        <v>OK</v>
      </c>
      <c r="DT424" s="313" t="str">
        <f t="shared" ref="DT424:DT438" si="567">IF(AND(ISNUMBER(S424),Q424&lt;&gt;FixedDim),"Illuminance turndown is only valid for Fixed Dimming","OK")</f>
        <v>OK</v>
      </c>
      <c r="DU424" s="313" t="str">
        <f t="shared" si="560"/>
        <v>OK</v>
      </c>
      <c r="DV424" s="313" t="str">
        <f>IF(ISNUMBER(FIND("NA",$Q424)),"Adjustment Factor not applicable","OK")</f>
        <v>OK</v>
      </c>
      <c r="DW424" s="314" t="str">
        <f>"OK"</f>
        <v>OK</v>
      </c>
      <c r="DX424" s="315">
        <f>COUNTIF(DA424:DW424,"&lt;&gt;OK")</f>
        <v>0</v>
      </c>
      <c r="DY424" s="316" t="str">
        <f>IF(AQ424,"ROW SKIPPED (OK if intentional)","OK")</f>
        <v>OK</v>
      </c>
    </row>
    <row r="425" spans="1:129" ht="13" hidden="1" x14ac:dyDescent="0.3">
      <c r="A425" s="333"/>
      <c r="B425" s="333"/>
      <c r="C425" s="331" t="str">
        <f t="shared" ref="C425:C434" si="568">BU425</f>
        <v>-</v>
      </c>
      <c r="D425" s="584">
        <f t="shared" si="492"/>
        <v>402</v>
      </c>
      <c r="E425" s="585"/>
      <c r="F425" s="586"/>
      <c r="G425" s="600"/>
      <c r="H425" s="587"/>
      <c r="I425" s="601"/>
      <c r="J425" s="585"/>
      <c r="K425" s="617"/>
      <c r="L425" s="602"/>
      <c r="M425" s="603"/>
      <c r="N425" s="588"/>
      <c r="O425" s="604"/>
      <c r="P425" s="605"/>
      <c r="Q425" s="588"/>
      <c r="R425" s="604"/>
      <c r="S425" s="605"/>
      <c r="T425" s="606"/>
      <c r="U425" s="606"/>
      <c r="V425" s="429" t="str">
        <f t="shared" si="514"/>
        <v/>
      </c>
      <c r="W425" s="430" t="str">
        <f t="shared" ref="W425:W426" si="569">AW425</f>
        <v/>
      </c>
      <c r="X425" s="66" t="str">
        <f>IF(AND(ISNUMBER(P425),N425=FixedDim),MAX('Adjustment factors'!$S$16,0.2+0.8*P425),IF(ISTEXT(N425),VLOOKUP(N425,Afactors,2,TRUE),""))</f>
        <v/>
      </c>
      <c r="Y425" s="17" t="str">
        <f>IF(AND(ISNUMBER(S425),Q425=FixedDim),MAX('Adjustment factors'!$S$16,0.2+0.8*S425),IF(ISTEXT(Q425),VLOOKUP(Q425,Afactors,2,TRUE),""))</f>
        <v/>
      </c>
      <c r="Z425" s="297" t="str">
        <f>IF(ISBLANK(T425),"",VLOOKUP(T425,'Adjustment factors'!$R$27:$S$30,2,TRUE))</f>
        <v/>
      </c>
      <c r="AA425" s="297" t="str">
        <f>IF(ISBLANK(U425),"",VLOOKUP(U425,'Adjustment factors'!$R$27:$S$30,2,TRUE))</f>
        <v/>
      </c>
      <c r="AB425" s="480">
        <f t="shared" si="561"/>
        <v>1</v>
      </c>
      <c r="AC425" s="18" t="b">
        <f t="shared" si="518"/>
        <v>0</v>
      </c>
      <c r="AD425" s="18" t="b">
        <f t="shared" si="519"/>
        <v>0</v>
      </c>
      <c r="AE425" s="18" t="b">
        <f>ISNUMBER(CM425)</f>
        <v>0</v>
      </c>
      <c r="AF425" s="17" t="str">
        <f t="shared" si="520"/>
        <v/>
      </c>
      <c r="AG425" s="18" t="str">
        <f t="shared" si="521"/>
        <v/>
      </c>
      <c r="AH425" s="17" t="str">
        <f>IF(AE425,CK425/CM425,"")</f>
        <v/>
      </c>
      <c r="AI425" s="297" t="e">
        <f t="shared" si="562"/>
        <v>#VALUE!</v>
      </c>
      <c r="AJ425" s="79" t="e">
        <f t="shared" si="522"/>
        <v>#VALUE!</v>
      </c>
      <c r="AK425" s="17" t="str">
        <f>IF(AD425,(AF425*(AG425+((1-AG425)/2))),"")</f>
        <v/>
      </c>
      <c r="AL425" s="80" t="e">
        <f t="shared" si="523"/>
        <v>#VALUE!</v>
      </c>
      <c r="AM425" s="139" t="b">
        <f t="shared" si="524"/>
        <v>1</v>
      </c>
      <c r="AN425" s="139" t="b">
        <f>AND(COUNTA(E425)&gt;0,ISNUMBER(F425),OR(COUNT(G425:H425)=0,COUNT(G425:H425)=2,AND(ISNUMBER(G425),ISNUMBER(VALUE(LEFT(H425,SUM(LEN(H425)-LEN(SUBSTITUTE(H425,{"0","1","2","3","4","5","6","7","8","9","."},"")))))))),ISNUMBER(I425),ISTEXT(J425))</f>
        <v>0</v>
      </c>
      <c r="AO425" s="19" t="b">
        <f t="shared" si="525"/>
        <v>0</v>
      </c>
      <c r="AP425" s="19" t="b">
        <f t="shared" si="526"/>
        <v>1</v>
      </c>
      <c r="AQ425" s="19" t="b">
        <f>IF(AND(COUNTBLANK(E425:J425)=6,OR(AN426:AN$523)),NOT(AN425))</f>
        <v>0</v>
      </c>
      <c r="AR425" s="19" t="str">
        <f t="shared" si="527"/>
        <v/>
      </c>
      <c r="AS425" s="19" t="b">
        <f t="shared" si="528"/>
        <v>1</v>
      </c>
      <c r="AT425" s="19" t="str">
        <f t="shared" si="529"/>
        <v/>
      </c>
      <c r="AU425" s="19" t="b">
        <f t="shared" si="530"/>
        <v>1</v>
      </c>
      <c r="AV425" s="140" t="str">
        <f t="shared" ref="AV425:AV488" si="570">IF(AND(AM425,AN425,AR425,AT425),IF(ISNUMBER(AG425),ROUND(AL425,0),ROUND(AJ425,0)),"")</f>
        <v/>
      </c>
      <c r="AW425" s="19" t="str">
        <f t="shared" si="531"/>
        <v/>
      </c>
      <c r="AX425" s="81">
        <f t="shared" si="532"/>
        <v>0</v>
      </c>
      <c r="AY425" s="81" t="str">
        <f t="shared" si="533"/>
        <v/>
      </c>
      <c r="AZ425" s="307" t="str">
        <f t="shared" si="563"/>
        <v/>
      </c>
      <c r="BA425" s="281" t="str">
        <f t="shared" ref="BA425:BA488" si="571">IF(DI425&lt;&gt;"OK",DI425,IF(DJ425&lt;&gt;"OK",DJ425,IF(DK425&lt;&gt;"OK",DK425,IF(DL425&lt;&gt;"OK",DL425,IF(DM425&lt;&gt;"OK",DM425,IF(DN425&lt;&gt;"OK",DN425,IF(DO425&lt;&gt;"OK",DO425,BB425)))))))</f>
        <v/>
      </c>
      <c r="BB425" s="281" t="str">
        <f t="shared" ref="BB425:BB488" si="572">IF(DP425&lt;&gt;"OK",DP425,IF(DQ425&lt;&gt;"OK",DQ425,IF(DR425&lt;&gt;"OK",DR425,IF(DS425&lt;&gt;"OK",DS425,IF(DT425&lt;&gt;"OK",DT425,IF(DU425&lt;&gt;"OK",DU425,IF(DV425&lt;&gt;"OK",DV425,IF(DW425&lt;&gt;"OK",DW425,IF(DY425&lt;&gt;"OK",DY425,"")))))))))</f>
        <v/>
      </c>
      <c r="BC425" s="953"/>
      <c r="BD425" s="955"/>
      <c r="BE425" s="219" t="str">
        <f t="shared" si="534"/>
        <v>n/a</v>
      </c>
      <c r="BF425" s="215" t="b">
        <f t="shared" si="535"/>
        <v>0</v>
      </c>
      <c r="BG425" s="145" t="b">
        <f t="shared" si="536"/>
        <v>0</v>
      </c>
      <c r="BH425" s="145" t="b">
        <f t="shared" si="537"/>
        <v>0</v>
      </c>
      <c r="BI425" s="216" t="b">
        <f t="shared" si="538"/>
        <v>0</v>
      </c>
      <c r="BJ425" s="215" t="b">
        <f t="shared" si="539"/>
        <v>0</v>
      </c>
      <c r="BK425" s="145" t="b">
        <f t="shared" si="540"/>
        <v>0</v>
      </c>
      <c r="BL425" s="216" t="b">
        <f t="shared" si="541"/>
        <v>0</v>
      </c>
      <c r="BM425" s="217" t="str">
        <f t="shared" ref="BM425:BM488" si="573">IF(AN425,AX425/ADIPLone,"")</f>
        <v/>
      </c>
      <c r="BN425" s="146" t="str">
        <f t="shared" ref="BN425:BN488" si="574">IF(AN425,percentage,"")</f>
        <v/>
      </c>
      <c r="BO425" s="147" t="str">
        <f t="shared" ref="BO425:BO488" si="575">IF(AN425,MIPDLONE&gt;=ADIPLone,"")</f>
        <v/>
      </c>
      <c r="BP425" s="148" t="str">
        <f t="shared" ref="BP425:BP488" si="576">IF(AND(AN425,AR425,AT425),TEXT(BM425,"0%")&amp;" of "&amp;TEXT(BN425*100,"General")&amp;"%","")</f>
        <v/>
      </c>
      <c r="BT425" s="50">
        <f t="shared" si="493"/>
        <v>402</v>
      </c>
      <c r="BU425" s="50" t="str">
        <f t="shared" si="515"/>
        <v>-</v>
      </c>
      <c r="BW425" s="333"/>
      <c r="BX425" s="333"/>
      <c r="BY425" s="333"/>
      <c r="BZ425" s="333"/>
      <c r="CA425" s="333"/>
      <c r="CB425" s="333"/>
      <c r="CC425" s="333"/>
      <c r="CD425" s="333"/>
      <c r="CE425" s="333"/>
      <c r="CF425" s="333"/>
      <c r="CG425" s="354">
        <f t="shared" si="542"/>
        <v>402</v>
      </c>
      <c r="CH425" s="613">
        <f t="shared" si="543"/>
        <v>0</v>
      </c>
      <c r="CI425" s="613">
        <f t="shared" si="544"/>
        <v>0</v>
      </c>
      <c r="CJ425" s="614" t="str">
        <f t="shared" si="545"/>
        <v/>
      </c>
      <c r="CK425" s="615" t="str">
        <f t="shared" si="546"/>
        <v/>
      </c>
      <c r="CL425" s="610" t="str">
        <f>IF(ISBLANK(H425),"",IF(AND(ISNUMBER(F425),ISNUMBER(G425),ISNUMBER(H425)),ROUND(F425/(H425*G425),2),ROUND(F425/(VALUE(LEFT(H425,SUM(LEN(H425)-LEN(SUBSTITUTE(H425,{"0","1","2","3","4","5","6","7","8","9","."},"")))))*G425),2)))</f>
        <v/>
      </c>
      <c r="CM425" s="616" t="str">
        <f t="shared" ref="CM425:CM488" si="577">IF(CL425&lt;1.5,ROUND(0.5+CL425/3,2),"")</f>
        <v/>
      </c>
      <c r="CN425" s="616" t="str">
        <f>IF(ISNUMBER(P425),MAX('Adjustment factors'!$S$16,(0.2+0.8*P425)),IF(ISTEXT(N425),VLOOKUP(N425,Afactors,2,FALSE),""))</f>
        <v/>
      </c>
      <c r="CO425" s="616" t="str">
        <f>IF(ISNUMBER(S425),MAX('Adjustment factors'!$S$16,0.2+0.8*S425),IF(ISTEXT(Q425),VLOOKUP(Q425,Afactors,2,FALSE),""))</f>
        <v/>
      </c>
      <c r="CP425" s="611" t="str">
        <f t="shared" si="564"/>
        <v/>
      </c>
      <c r="CQ425" s="612" t="str">
        <f t="shared" si="565"/>
        <v/>
      </c>
      <c r="CR425" s="340"/>
      <c r="CS425" s="340"/>
      <c r="CT425" s="340"/>
      <c r="CU425" s="340"/>
      <c r="CV425" s="333"/>
      <c r="CW425" s="333"/>
      <c r="CX425" s="333"/>
      <c r="CY425" s="333"/>
      <c r="DA425" s="313" t="str">
        <f t="shared" si="547"/>
        <v>OK</v>
      </c>
      <c r="DB425" s="313" t="str">
        <f t="shared" si="548"/>
        <v>OK</v>
      </c>
      <c r="DC425" s="313" t="str">
        <f t="shared" si="549"/>
        <v>OK</v>
      </c>
      <c r="DD425" s="313" t="str">
        <f t="shared" si="550"/>
        <v>OK</v>
      </c>
      <c r="DE425" s="153" t="str">
        <f t="shared" si="551"/>
        <v>OK</v>
      </c>
      <c r="DF425" s="314" t="str">
        <f t="shared" si="552"/>
        <v>OK</v>
      </c>
      <c r="DG425" s="482" t="str">
        <f t="shared" si="566"/>
        <v>OK</v>
      </c>
      <c r="DH425" s="482" t="str">
        <f>IF(OR(AND(T425='Adjustment factors'!$R$28,'Class 3, 5-9'!U425='Adjustment factors'!$R$29),AND('Class 3, 5-9'!T425='Adjustment factors'!$R$29,'Class 3, 5-9'!U425='Adjustment factors'!$R$28)),"Invalid combination of adjustment factors",IF(AND(T425=U425,NOT(ISBLANK(T425)),NOT(ISBLANK(U425))),"Same colour factor selected twice","OK"))</f>
        <v>OK</v>
      </c>
      <c r="DI425" s="313" t="str">
        <f t="shared" si="553"/>
        <v>OK</v>
      </c>
      <c r="DJ425" s="153" t="str">
        <f t="shared" ref="DJ425:DJ488" si="578">"OK"</f>
        <v>OK</v>
      </c>
      <c r="DK425" s="153" t="str">
        <f t="shared" si="554"/>
        <v>OK</v>
      </c>
      <c r="DL425" s="313" t="str">
        <f t="shared" si="555"/>
        <v>OK</v>
      </c>
      <c r="DM425" s="153" t="str">
        <f t="shared" si="556"/>
        <v>OK</v>
      </c>
      <c r="DN425" s="153" t="str">
        <f t="shared" ref="DN425:DN488" si="579">IF(ISNUMBER(FIND("NA",$N425)),"Adjustment Factor not applicable","OK")</f>
        <v>OK</v>
      </c>
      <c r="DO425" s="154" t="str">
        <f t="shared" ref="DO425:DO488" si="580">"OK"</f>
        <v>OK</v>
      </c>
      <c r="DP425" s="153" t="str">
        <f t="shared" si="557"/>
        <v>OK</v>
      </c>
      <c r="DQ425" s="313" t="str">
        <f t="shared" si="558"/>
        <v>OK</v>
      </c>
      <c r="DR425" s="153" t="str">
        <f t="shared" ref="DR425:DR488" si="581">"OK"</f>
        <v>OK</v>
      </c>
      <c r="DS425" s="153" t="str">
        <f t="shared" si="559"/>
        <v>OK</v>
      </c>
      <c r="DT425" s="313" t="str">
        <f t="shared" si="567"/>
        <v>OK</v>
      </c>
      <c r="DU425" s="153" t="str">
        <f t="shared" si="560"/>
        <v>OK</v>
      </c>
      <c r="DV425" s="153" t="str">
        <f t="shared" ref="DV425:DV488" si="582">IF(ISNUMBER(FIND("NA",$Q425)),"Adjustment Factor not applicable","OK")</f>
        <v>OK</v>
      </c>
      <c r="DW425" s="154" t="str">
        <f t="shared" ref="DW425:DW488" si="583">"OK"</f>
        <v>OK</v>
      </c>
      <c r="DX425" s="157">
        <f t="shared" ref="DX425:DX488" si="584">COUNTIF(DA425:DW425,"&lt;&gt;OK")</f>
        <v>0</v>
      </c>
      <c r="DY425" s="156" t="str">
        <f t="shared" ref="DY425:DY488" si="585">IF(AQ425,"ROW SKIPPED (OK if intentional)","OK")</f>
        <v>OK</v>
      </c>
    </row>
    <row r="426" spans="1:129" ht="13" hidden="1" x14ac:dyDescent="0.3">
      <c r="A426" s="333"/>
      <c r="B426" s="333"/>
      <c r="C426" s="331" t="str">
        <f t="shared" si="568"/>
        <v>-</v>
      </c>
      <c r="D426" s="584">
        <f t="shared" si="492"/>
        <v>403</v>
      </c>
      <c r="E426" s="585"/>
      <c r="F426" s="586"/>
      <c r="G426" s="600"/>
      <c r="H426" s="587"/>
      <c r="I426" s="601"/>
      <c r="J426" s="585"/>
      <c r="K426" s="617"/>
      <c r="L426" s="602"/>
      <c r="M426" s="603"/>
      <c r="N426" s="588"/>
      <c r="O426" s="604"/>
      <c r="P426" s="605"/>
      <c r="Q426" s="588"/>
      <c r="R426" s="604"/>
      <c r="S426" s="605"/>
      <c r="T426" s="606"/>
      <c r="U426" s="606"/>
      <c r="V426" s="429" t="str">
        <f t="shared" si="514"/>
        <v/>
      </c>
      <c r="W426" s="430" t="str">
        <f t="shared" si="569"/>
        <v/>
      </c>
      <c r="X426" s="66" t="str">
        <f>IF(AND(ISNUMBER(P426),N426=FixedDim),MAX('Adjustment factors'!$S$16,0.2+0.8*P426),IF(ISTEXT(N426),VLOOKUP(N426,Afactors,2,TRUE),""))</f>
        <v/>
      </c>
      <c r="Y426" s="17" t="str">
        <f>IF(AND(ISNUMBER(S426),Q426=FixedDim),MAX('Adjustment factors'!$S$16,0.2+0.8*S426),IF(ISTEXT(Q426),VLOOKUP(Q426,Afactors,2,TRUE),""))</f>
        <v/>
      </c>
      <c r="Z426" s="297" t="str">
        <f>IF(ISBLANK(T426),"",VLOOKUP(T426,'Adjustment factors'!$R$27:$S$30,2,TRUE))</f>
        <v/>
      </c>
      <c r="AA426" s="297" t="str">
        <f>IF(ISBLANK(U426),"",VLOOKUP(U426,'Adjustment factors'!$R$27:$S$30,2,TRUE))</f>
        <v/>
      </c>
      <c r="AB426" s="480">
        <f t="shared" si="561"/>
        <v>1</v>
      </c>
      <c r="AC426" s="18" t="b">
        <f t="shared" si="518"/>
        <v>0</v>
      </c>
      <c r="AD426" s="18" t="b">
        <f t="shared" si="519"/>
        <v>0</v>
      </c>
      <c r="AE426" s="18" t="b">
        <f t="shared" ref="AE426:AE489" si="586">ISNUMBER(CM426)</f>
        <v>0</v>
      </c>
      <c r="AF426" s="17" t="str">
        <f t="shared" si="520"/>
        <v/>
      </c>
      <c r="AG426" s="18" t="str">
        <f t="shared" si="521"/>
        <v/>
      </c>
      <c r="AH426" s="17" t="str">
        <f t="shared" ref="AH426:AH489" si="587">IF(AE426,CK426/CM426,"")</f>
        <v/>
      </c>
      <c r="AI426" s="297" t="e">
        <f t="shared" si="562"/>
        <v>#VALUE!</v>
      </c>
      <c r="AJ426" s="79" t="e">
        <f t="shared" si="522"/>
        <v>#VALUE!</v>
      </c>
      <c r="AK426" s="17" t="str">
        <f>IF(AD426,(AF426*(AG426+((1-AG426)/2))),"")</f>
        <v/>
      </c>
      <c r="AL426" s="80" t="e">
        <f t="shared" si="523"/>
        <v>#VALUE!</v>
      </c>
      <c r="AM426" s="139" t="b">
        <f t="shared" si="524"/>
        <v>1</v>
      </c>
      <c r="AN426" s="139" t="b">
        <f>AND(COUNTA(E426)&gt;0,ISNUMBER(F426),OR(COUNT(G426:H426)=0,COUNT(G426:H426)=2,AND(ISNUMBER(G426),ISNUMBER(VALUE(LEFT(H426,SUM(LEN(H426)-LEN(SUBSTITUTE(H426,{"0","1","2","3","4","5","6","7","8","9","."},"")))))))),ISNUMBER(I426),ISTEXT(J426))</f>
        <v>0</v>
      </c>
      <c r="AO426" s="19" t="b">
        <f t="shared" si="525"/>
        <v>0</v>
      </c>
      <c r="AP426" s="19" t="b">
        <f t="shared" si="526"/>
        <v>1</v>
      </c>
      <c r="AQ426" s="19" t="b">
        <f>IF(AND(COUNTBLANK(E426:J426)=6,OR(AN427:AN$523)),NOT(AN426))</f>
        <v>0</v>
      </c>
      <c r="AR426" s="19" t="str">
        <f t="shared" si="527"/>
        <v/>
      </c>
      <c r="AS426" s="19" t="b">
        <f t="shared" si="528"/>
        <v>1</v>
      </c>
      <c r="AT426" s="19" t="str">
        <f t="shared" si="529"/>
        <v/>
      </c>
      <c r="AU426" s="19" t="b">
        <f t="shared" si="530"/>
        <v>1</v>
      </c>
      <c r="AV426" s="140" t="str">
        <f t="shared" si="570"/>
        <v/>
      </c>
      <c r="AW426" s="19" t="str">
        <f t="shared" si="531"/>
        <v/>
      </c>
      <c r="AX426" s="81">
        <f t="shared" si="532"/>
        <v>0</v>
      </c>
      <c r="AY426" s="81" t="str">
        <f t="shared" si="533"/>
        <v/>
      </c>
      <c r="AZ426" s="307" t="str">
        <f t="shared" si="563"/>
        <v/>
      </c>
      <c r="BA426" s="281" t="str">
        <f t="shared" si="571"/>
        <v/>
      </c>
      <c r="BB426" s="281" t="str">
        <f t="shared" si="572"/>
        <v/>
      </c>
      <c r="BC426" s="953"/>
      <c r="BD426" s="955"/>
      <c r="BE426" s="219" t="str">
        <f t="shared" si="534"/>
        <v>n/a</v>
      </c>
      <c r="BF426" s="215" t="b">
        <f t="shared" si="535"/>
        <v>0</v>
      </c>
      <c r="BG426" s="145" t="b">
        <f t="shared" si="536"/>
        <v>0</v>
      </c>
      <c r="BH426" s="145" t="b">
        <f t="shared" si="537"/>
        <v>0</v>
      </c>
      <c r="BI426" s="216" t="b">
        <f t="shared" si="538"/>
        <v>0</v>
      </c>
      <c r="BJ426" s="215" t="b">
        <f t="shared" si="539"/>
        <v>0</v>
      </c>
      <c r="BK426" s="145" t="b">
        <f t="shared" si="540"/>
        <v>0</v>
      </c>
      <c r="BL426" s="216" t="b">
        <f t="shared" si="541"/>
        <v>0</v>
      </c>
      <c r="BM426" s="217" t="str">
        <f t="shared" si="573"/>
        <v/>
      </c>
      <c r="BN426" s="146" t="str">
        <f t="shared" si="574"/>
        <v/>
      </c>
      <c r="BO426" s="147" t="str">
        <f t="shared" si="575"/>
        <v/>
      </c>
      <c r="BP426" s="148" t="str">
        <f t="shared" si="576"/>
        <v/>
      </c>
      <c r="BT426" s="50">
        <f t="shared" si="493"/>
        <v>403</v>
      </c>
      <c r="BU426" s="50" t="str">
        <f t="shared" si="515"/>
        <v>-</v>
      </c>
      <c r="BW426" s="333"/>
      <c r="BX426" s="333"/>
      <c r="BY426" s="333"/>
      <c r="BZ426" s="333"/>
      <c r="CA426" s="333"/>
      <c r="CB426" s="333"/>
      <c r="CC426" s="333"/>
      <c r="CD426" s="333"/>
      <c r="CE426" s="333"/>
      <c r="CF426" s="333"/>
      <c r="CG426" s="354">
        <f t="shared" si="542"/>
        <v>403</v>
      </c>
      <c r="CH426" s="613">
        <f t="shared" si="543"/>
        <v>0</v>
      </c>
      <c r="CI426" s="613">
        <f t="shared" si="544"/>
        <v>0</v>
      </c>
      <c r="CJ426" s="614" t="str">
        <f t="shared" si="545"/>
        <v/>
      </c>
      <c r="CK426" s="615" t="str">
        <f t="shared" si="546"/>
        <v/>
      </c>
      <c r="CL426" s="610" t="str">
        <f>IF(ISBLANK(H426),"",IF(AND(ISNUMBER(F426),ISNUMBER(G426),ISNUMBER(H426)),ROUND(F426/(H426*G426),2),ROUND(F426/(VALUE(LEFT(H426,SUM(LEN(H426)-LEN(SUBSTITUTE(H426,{"0","1","2","3","4","5","6","7","8","9","."},"")))))*G426),2)))</f>
        <v/>
      </c>
      <c r="CM426" s="616" t="str">
        <f t="shared" si="577"/>
        <v/>
      </c>
      <c r="CN426" s="616" t="str">
        <f>IF(ISNUMBER(P426),MAX('Adjustment factors'!$S$16,(0.2+0.8*P426)),IF(ISTEXT(N426),VLOOKUP(N426,Afactors,2,FALSE),""))</f>
        <v/>
      </c>
      <c r="CO426" s="616" t="str">
        <f>IF(ISNUMBER(S426),MAX('Adjustment factors'!$S$16,0.2+0.8*S426),IF(ISTEXT(Q426),VLOOKUP(Q426,Afactors,2,FALSE),""))</f>
        <v/>
      </c>
      <c r="CP426" s="611" t="str">
        <f t="shared" si="564"/>
        <v/>
      </c>
      <c r="CQ426" s="612" t="str">
        <f t="shared" si="565"/>
        <v/>
      </c>
      <c r="CR426" s="340"/>
      <c r="CS426" s="340"/>
      <c r="CT426" s="340"/>
      <c r="CU426" s="340"/>
      <c r="CV426" s="333"/>
      <c r="CW426" s="333"/>
      <c r="CX426" s="333"/>
      <c r="CY426" s="333"/>
      <c r="DA426" s="313" t="str">
        <f t="shared" si="547"/>
        <v>OK</v>
      </c>
      <c r="DB426" s="313" t="str">
        <f t="shared" si="548"/>
        <v>OK</v>
      </c>
      <c r="DC426" s="313" t="str">
        <f t="shared" si="549"/>
        <v>OK</v>
      </c>
      <c r="DD426" s="313" t="str">
        <f t="shared" si="550"/>
        <v>OK</v>
      </c>
      <c r="DE426" s="153" t="str">
        <f t="shared" si="551"/>
        <v>OK</v>
      </c>
      <c r="DF426" s="314" t="str">
        <f t="shared" si="552"/>
        <v>OK</v>
      </c>
      <c r="DG426" s="482" t="str">
        <f t="shared" si="566"/>
        <v>OK</v>
      </c>
      <c r="DH426" s="482" t="str">
        <f>IF(OR(AND(T426='Adjustment factors'!$R$28,'Class 3, 5-9'!U426='Adjustment factors'!$R$29),AND('Class 3, 5-9'!T426='Adjustment factors'!$R$29,'Class 3, 5-9'!U426='Adjustment factors'!$R$28)),"Invalid combination of adjustment factors",IF(AND(T426=U426,NOT(ISBLANK(T426)),NOT(ISBLANK(U426))),"Same colour factor selected twice","OK"))</f>
        <v>OK</v>
      </c>
      <c r="DI426" s="313" t="str">
        <f t="shared" si="553"/>
        <v>OK</v>
      </c>
      <c r="DJ426" s="153" t="str">
        <f t="shared" si="578"/>
        <v>OK</v>
      </c>
      <c r="DK426" s="153" t="str">
        <f t="shared" si="554"/>
        <v>OK</v>
      </c>
      <c r="DL426" s="313" t="str">
        <f t="shared" si="555"/>
        <v>OK</v>
      </c>
      <c r="DM426" s="153" t="str">
        <f t="shared" si="556"/>
        <v>OK</v>
      </c>
      <c r="DN426" s="153" t="str">
        <f t="shared" si="579"/>
        <v>OK</v>
      </c>
      <c r="DO426" s="154" t="str">
        <f t="shared" si="580"/>
        <v>OK</v>
      </c>
      <c r="DP426" s="153" t="str">
        <f t="shared" si="557"/>
        <v>OK</v>
      </c>
      <c r="DQ426" s="313" t="str">
        <f t="shared" si="558"/>
        <v>OK</v>
      </c>
      <c r="DR426" s="153" t="str">
        <f t="shared" si="581"/>
        <v>OK</v>
      </c>
      <c r="DS426" s="153" t="str">
        <f t="shared" si="559"/>
        <v>OK</v>
      </c>
      <c r="DT426" s="313" t="str">
        <f t="shared" si="567"/>
        <v>OK</v>
      </c>
      <c r="DU426" s="153" t="str">
        <f t="shared" si="560"/>
        <v>OK</v>
      </c>
      <c r="DV426" s="153" t="str">
        <f t="shared" si="582"/>
        <v>OK</v>
      </c>
      <c r="DW426" s="154" t="str">
        <f t="shared" si="583"/>
        <v>OK</v>
      </c>
      <c r="DX426" s="157">
        <f t="shared" si="584"/>
        <v>0</v>
      </c>
      <c r="DY426" s="156" t="str">
        <f t="shared" si="585"/>
        <v>OK</v>
      </c>
    </row>
    <row r="427" spans="1:129" ht="13" hidden="1" x14ac:dyDescent="0.3">
      <c r="A427" s="333"/>
      <c r="B427" s="333"/>
      <c r="C427" s="331" t="str">
        <f t="shared" si="568"/>
        <v>-</v>
      </c>
      <c r="D427" s="584">
        <f t="shared" si="492"/>
        <v>404</v>
      </c>
      <c r="E427" s="585"/>
      <c r="F427" s="586"/>
      <c r="G427" s="600"/>
      <c r="H427" s="587"/>
      <c r="I427" s="601"/>
      <c r="J427" s="585"/>
      <c r="K427" s="617"/>
      <c r="L427" s="602"/>
      <c r="M427" s="603"/>
      <c r="N427" s="588"/>
      <c r="O427" s="604"/>
      <c r="P427" s="605"/>
      <c r="Q427" s="588"/>
      <c r="R427" s="604"/>
      <c r="S427" s="605"/>
      <c r="T427" s="606"/>
      <c r="U427" s="606"/>
      <c r="V427" s="429" t="str">
        <f t="shared" si="514"/>
        <v/>
      </c>
      <c r="W427" s="430" t="str">
        <f>AW427</f>
        <v/>
      </c>
      <c r="X427" s="66" t="str">
        <f>IF(AND(ISNUMBER(P427),N427=FixedDim),MAX('Adjustment factors'!$S$16,0.2+0.8*P427),IF(ISTEXT(N427),VLOOKUP(N427,Afactors,2,TRUE),""))</f>
        <v/>
      </c>
      <c r="Y427" s="17" t="str">
        <f>IF(AND(ISNUMBER(S427),Q427=FixedDim),MAX('Adjustment factors'!$S$16,0.2+0.8*S427),IF(ISTEXT(Q427),VLOOKUP(Q427,Afactors,2,TRUE),""))</f>
        <v/>
      </c>
      <c r="Z427" s="297" t="str">
        <f>IF(ISBLANK(T427),"",VLOOKUP(T427,'Adjustment factors'!$R$27:$S$30,2,TRUE))</f>
        <v/>
      </c>
      <c r="AA427" s="297" t="str">
        <f>IF(ISBLANK(U427),"",VLOOKUP(U427,'Adjustment factors'!$R$27:$S$30,2,TRUE))</f>
        <v/>
      </c>
      <c r="AB427" s="480">
        <f t="shared" si="561"/>
        <v>1</v>
      </c>
      <c r="AC427" s="18" t="b">
        <f t="shared" si="518"/>
        <v>0</v>
      </c>
      <c r="AD427" s="18" t="b">
        <f t="shared" si="519"/>
        <v>0</v>
      </c>
      <c r="AE427" s="18" t="b">
        <f t="shared" si="586"/>
        <v>0</v>
      </c>
      <c r="AF427" s="17" t="str">
        <f t="shared" si="520"/>
        <v/>
      </c>
      <c r="AG427" s="18" t="str">
        <f t="shared" si="521"/>
        <v/>
      </c>
      <c r="AH427" s="17" t="str">
        <f t="shared" si="587"/>
        <v/>
      </c>
      <c r="AI427" s="297" t="e">
        <f t="shared" si="562"/>
        <v>#VALUE!</v>
      </c>
      <c r="AJ427" s="79" t="e">
        <f t="shared" si="522"/>
        <v>#VALUE!</v>
      </c>
      <c r="AK427" s="17" t="str">
        <f t="shared" ref="AK427:AK490" si="588">IF(AD427,(AF427*(AG427+((1-AG427)/2))),"")</f>
        <v/>
      </c>
      <c r="AL427" s="80" t="e">
        <f t="shared" si="523"/>
        <v>#VALUE!</v>
      </c>
      <c r="AM427" s="139" t="b">
        <f t="shared" si="524"/>
        <v>1</v>
      </c>
      <c r="AN427" s="139" t="b">
        <f>AND(COUNTA(E427)&gt;0,ISNUMBER(F427),OR(COUNT(G427:H427)=0,COUNT(G427:H427)=2,AND(ISNUMBER(G427),ISNUMBER(VALUE(LEFT(H427,SUM(LEN(H427)-LEN(SUBSTITUTE(H427,{"0","1","2","3","4","5","6","7","8","9","."},"")))))))),ISNUMBER(I427),ISTEXT(J427))</f>
        <v>0</v>
      </c>
      <c r="AO427" s="19" t="b">
        <f t="shared" si="525"/>
        <v>0</v>
      </c>
      <c r="AP427" s="19" t="b">
        <f t="shared" si="526"/>
        <v>1</v>
      </c>
      <c r="AQ427" s="19" t="b">
        <f>IF(AND(COUNTBLANK(E427:J427)=6,OR(AN428:AN$523)),NOT(AN427))</f>
        <v>0</v>
      </c>
      <c r="AR427" s="19" t="str">
        <f t="shared" si="527"/>
        <v/>
      </c>
      <c r="AS427" s="19" t="b">
        <f t="shared" si="528"/>
        <v>1</v>
      </c>
      <c r="AT427" s="19" t="str">
        <f t="shared" si="529"/>
        <v/>
      </c>
      <c r="AU427" s="19" t="b">
        <f t="shared" si="530"/>
        <v>1</v>
      </c>
      <c r="AV427" s="140" t="str">
        <f t="shared" si="570"/>
        <v/>
      </c>
      <c r="AW427" s="19" t="str">
        <f t="shared" si="531"/>
        <v/>
      </c>
      <c r="AX427" s="81">
        <f t="shared" si="532"/>
        <v>0</v>
      </c>
      <c r="AY427" s="81" t="str">
        <f t="shared" si="533"/>
        <v/>
      </c>
      <c r="AZ427" s="307" t="str">
        <f t="shared" si="563"/>
        <v/>
      </c>
      <c r="BA427" s="281" t="str">
        <f t="shared" si="571"/>
        <v/>
      </c>
      <c r="BB427" s="281" t="str">
        <f t="shared" si="572"/>
        <v/>
      </c>
      <c r="BC427" s="953"/>
      <c r="BD427" s="955"/>
      <c r="BE427" s="219" t="str">
        <f t="shared" si="534"/>
        <v>n/a</v>
      </c>
      <c r="BF427" s="215" t="b">
        <f t="shared" si="535"/>
        <v>0</v>
      </c>
      <c r="BG427" s="145" t="b">
        <f t="shared" si="536"/>
        <v>0</v>
      </c>
      <c r="BH427" s="145" t="b">
        <f t="shared" si="537"/>
        <v>0</v>
      </c>
      <c r="BI427" s="216" t="b">
        <f t="shared" si="538"/>
        <v>0</v>
      </c>
      <c r="BJ427" s="215" t="b">
        <f t="shared" si="539"/>
        <v>0</v>
      </c>
      <c r="BK427" s="145" t="b">
        <f t="shared" si="540"/>
        <v>0</v>
      </c>
      <c r="BL427" s="216" t="b">
        <f t="shared" si="541"/>
        <v>0</v>
      </c>
      <c r="BM427" s="217" t="str">
        <f t="shared" si="573"/>
        <v/>
      </c>
      <c r="BN427" s="146" t="str">
        <f t="shared" si="574"/>
        <v/>
      </c>
      <c r="BO427" s="147" t="str">
        <f t="shared" si="575"/>
        <v/>
      </c>
      <c r="BP427" s="148" t="str">
        <f t="shared" si="576"/>
        <v/>
      </c>
      <c r="BT427" s="50">
        <f t="shared" si="493"/>
        <v>404</v>
      </c>
      <c r="BU427" s="50" t="str">
        <f t="shared" si="515"/>
        <v>-</v>
      </c>
      <c r="BW427" s="333"/>
      <c r="BX427" s="333"/>
      <c r="BY427" s="333"/>
      <c r="BZ427" s="333"/>
      <c r="CA427" s="333"/>
      <c r="CB427" s="333"/>
      <c r="CC427" s="333"/>
      <c r="CD427" s="333"/>
      <c r="CE427" s="333"/>
      <c r="CF427" s="333"/>
      <c r="CG427" s="354">
        <f t="shared" si="542"/>
        <v>404</v>
      </c>
      <c r="CH427" s="613">
        <f t="shared" si="543"/>
        <v>0</v>
      </c>
      <c r="CI427" s="613">
        <f t="shared" si="544"/>
        <v>0</v>
      </c>
      <c r="CJ427" s="614" t="str">
        <f t="shared" si="545"/>
        <v/>
      </c>
      <c r="CK427" s="615" t="str">
        <f t="shared" si="546"/>
        <v/>
      </c>
      <c r="CL427" s="610" t="str">
        <f>IF(ISBLANK(H427),"",IF(AND(ISNUMBER(F427),ISNUMBER(G427),ISNUMBER(H427)),ROUND(F427/(H427*G427),2),ROUND(F427/(VALUE(LEFT(H427,SUM(LEN(H427)-LEN(SUBSTITUTE(H427,{"0","1","2","3","4","5","6","7","8","9","."},"")))))*G427),2)))</f>
        <v/>
      </c>
      <c r="CM427" s="616" t="str">
        <f t="shared" si="577"/>
        <v/>
      </c>
      <c r="CN427" s="616" t="str">
        <f>IF(ISNUMBER(P427),MAX('Adjustment factors'!$S$16,(0.2+0.8*P427)),IF(ISTEXT(N427),VLOOKUP(N427,Afactors,2,FALSE),""))</f>
        <v/>
      </c>
      <c r="CO427" s="616" t="str">
        <f>IF(ISNUMBER(S427),MAX('Adjustment factors'!$S$16,0.2+0.8*S427),IF(ISTEXT(Q427),VLOOKUP(Q427,Afactors,2,FALSE),""))</f>
        <v/>
      </c>
      <c r="CP427" s="611" t="str">
        <f t="shared" si="564"/>
        <v/>
      </c>
      <c r="CQ427" s="612" t="str">
        <f t="shared" si="565"/>
        <v/>
      </c>
      <c r="CR427" s="340"/>
      <c r="CS427" s="340"/>
      <c r="CT427" s="340"/>
      <c r="CU427" s="340"/>
      <c r="CV427" s="333"/>
      <c r="CW427" s="333"/>
      <c r="CX427" s="333"/>
      <c r="CY427" s="333"/>
      <c r="DA427" s="313" t="str">
        <f t="shared" si="547"/>
        <v>OK</v>
      </c>
      <c r="DB427" s="313" t="str">
        <f t="shared" si="548"/>
        <v>OK</v>
      </c>
      <c r="DC427" s="313" t="str">
        <f t="shared" si="549"/>
        <v>OK</v>
      </c>
      <c r="DD427" s="313" t="str">
        <f t="shared" si="550"/>
        <v>OK</v>
      </c>
      <c r="DE427" s="153" t="str">
        <f t="shared" si="551"/>
        <v>OK</v>
      </c>
      <c r="DF427" s="314" t="str">
        <f t="shared" si="552"/>
        <v>OK</v>
      </c>
      <c r="DG427" s="482" t="str">
        <f t="shared" si="566"/>
        <v>OK</v>
      </c>
      <c r="DH427" s="482" t="str">
        <f>IF(OR(AND(T427='Adjustment factors'!$R$28,'Class 3, 5-9'!U427='Adjustment factors'!$R$29),AND('Class 3, 5-9'!T427='Adjustment factors'!$R$29,'Class 3, 5-9'!U427='Adjustment factors'!$R$28)),"Invalid combination of adjustment factors",IF(AND(T427=U427,NOT(ISBLANK(T427)),NOT(ISBLANK(U427))),"Same colour factor selected twice","OK"))</f>
        <v>OK</v>
      </c>
      <c r="DI427" s="313" t="str">
        <f t="shared" si="553"/>
        <v>OK</v>
      </c>
      <c r="DJ427" s="153" t="str">
        <f t="shared" si="578"/>
        <v>OK</v>
      </c>
      <c r="DK427" s="153" t="str">
        <f t="shared" si="554"/>
        <v>OK</v>
      </c>
      <c r="DL427" s="313" t="str">
        <f t="shared" si="555"/>
        <v>OK</v>
      </c>
      <c r="DM427" s="153" t="str">
        <f t="shared" si="556"/>
        <v>OK</v>
      </c>
      <c r="DN427" s="153" t="str">
        <f t="shared" si="579"/>
        <v>OK</v>
      </c>
      <c r="DO427" s="154" t="str">
        <f t="shared" si="580"/>
        <v>OK</v>
      </c>
      <c r="DP427" s="153" t="str">
        <f t="shared" si="557"/>
        <v>OK</v>
      </c>
      <c r="DQ427" s="313" t="str">
        <f t="shared" si="558"/>
        <v>OK</v>
      </c>
      <c r="DR427" s="153" t="str">
        <f t="shared" si="581"/>
        <v>OK</v>
      </c>
      <c r="DS427" s="153" t="str">
        <f t="shared" si="559"/>
        <v>OK</v>
      </c>
      <c r="DT427" s="313" t="str">
        <f t="shared" si="567"/>
        <v>OK</v>
      </c>
      <c r="DU427" s="153" t="str">
        <f t="shared" si="560"/>
        <v>OK</v>
      </c>
      <c r="DV427" s="153" t="str">
        <f t="shared" si="582"/>
        <v>OK</v>
      </c>
      <c r="DW427" s="154" t="str">
        <f t="shared" si="583"/>
        <v>OK</v>
      </c>
      <c r="DX427" s="157">
        <f t="shared" si="584"/>
        <v>0</v>
      </c>
      <c r="DY427" s="156" t="str">
        <f t="shared" si="585"/>
        <v>OK</v>
      </c>
    </row>
    <row r="428" spans="1:129" ht="13" hidden="1" x14ac:dyDescent="0.3">
      <c r="A428" s="333"/>
      <c r="B428" s="333"/>
      <c r="C428" s="331" t="str">
        <f t="shared" si="568"/>
        <v>-</v>
      </c>
      <c r="D428" s="584">
        <f t="shared" si="492"/>
        <v>405</v>
      </c>
      <c r="E428" s="585"/>
      <c r="F428" s="586"/>
      <c r="G428" s="600"/>
      <c r="H428" s="587"/>
      <c r="I428" s="601"/>
      <c r="J428" s="585"/>
      <c r="K428" s="617"/>
      <c r="L428" s="602"/>
      <c r="M428" s="603"/>
      <c r="N428" s="588"/>
      <c r="O428" s="604"/>
      <c r="P428" s="605"/>
      <c r="Q428" s="588"/>
      <c r="R428" s="604"/>
      <c r="S428" s="605"/>
      <c r="T428" s="606"/>
      <c r="U428" s="606"/>
      <c r="V428" s="429" t="str">
        <f t="shared" si="514"/>
        <v/>
      </c>
      <c r="W428" s="430" t="str">
        <f t="shared" ref="W428:W491" si="589">AW428</f>
        <v/>
      </c>
      <c r="X428" s="66" t="str">
        <f>IF(AND(ISNUMBER(P428),N428=FixedDim),MAX('Adjustment factors'!$S$16,0.2+0.8*P428),IF(ISTEXT(N428),VLOOKUP(N428,Afactors,2,TRUE),""))</f>
        <v/>
      </c>
      <c r="Y428" s="17" t="str">
        <f>IF(AND(ISNUMBER(S428),Q428=FixedDim),MAX('Adjustment factors'!$S$16,0.2+0.8*S428),IF(ISTEXT(Q428),VLOOKUP(Q428,Afactors,2,TRUE),""))</f>
        <v/>
      </c>
      <c r="Z428" s="297" t="str">
        <f>IF(ISBLANK(T428),"",VLOOKUP(T428,'Adjustment factors'!$R$27:$S$30,2,TRUE))</f>
        <v/>
      </c>
      <c r="AA428" s="297" t="str">
        <f>IF(ISBLANK(U428),"",VLOOKUP(U428,'Adjustment factors'!$R$27:$S$30,2,TRUE))</f>
        <v/>
      </c>
      <c r="AB428" s="480">
        <f t="shared" si="561"/>
        <v>1</v>
      </c>
      <c r="AC428" s="18" t="b">
        <f t="shared" si="518"/>
        <v>0</v>
      </c>
      <c r="AD428" s="18" t="b">
        <f t="shared" si="519"/>
        <v>0</v>
      </c>
      <c r="AE428" s="18" t="b">
        <f t="shared" si="586"/>
        <v>0</v>
      </c>
      <c r="AF428" s="17" t="str">
        <f t="shared" si="520"/>
        <v/>
      </c>
      <c r="AG428" s="18" t="str">
        <f t="shared" si="521"/>
        <v/>
      </c>
      <c r="AH428" s="17" t="str">
        <f t="shared" si="587"/>
        <v/>
      </c>
      <c r="AI428" s="297" t="e">
        <f t="shared" si="562"/>
        <v>#VALUE!</v>
      </c>
      <c r="AJ428" s="79" t="e">
        <f t="shared" si="522"/>
        <v>#VALUE!</v>
      </c>
      <c r="AK428" s="17" t="str">
        <f t="shared" si="588"/>
        <v/>
      </c>
      <c r="AL428" s="80" t="e">
        <f t="shared" si="523"/>
        <v>#VALUE!</v>
      </c>
      <c r="AM428" s="139" t="b">
        <f t="shared" si="524"/>
        <v>1</v>
      </c>
      <c r="AN428" s="139" t="b">
        <f>AND(COUNTA(E428)&gt;0,ISNUMBER(F428),OR(COUNT(G428:H428)=0,COUNT(G428:H428)=2,AND(ISNUMBER(G428),ISNUMBER(VALUE(LEFT(H428,SUM(LEN(H428)-LEN(SUBSTITUTE(H428,{"0","1","2","3","4","5","6","7","8","9","."},"")))))))),ISNUMBER(I428),ISTEXT(J428))</f>
        <v>0</v>
      </c>
      <c r="AO428" s="19" t="b">
        <f t="shared" si="525"/>
        <v>0</v>
      </c>
      <c r="AP428" s="19" t="b">
        <f t="shared" si="526"/>
        <v>1</v>
      </c>
      <c r="AQ428" s="19" t="b">
        <f>IF(AND(COUNTBLANK(E428:J428)=6,OR(AN429:AN$523)),NOT(AN428))</f>
        <v>0</v>
      </c>
      <c r="AR428" s="19" t="str">
        <f t="shared" si="527"/>
        <v/>
      </c>
      <c r="AS428" s="19" t="b">
        <f t="shared" si="528"/>
        <v>1</v>
      </c>
      <c r="AT428" s="19" t="str">
        <f t="shared" si="529"/>
        <v/>
      </c>
      <c r="AU428" s="19" t="b">
        <f t="shared" si="530"/>
        <v>1</v>
      </c>
      <c r="AV428" s="140" t="str">
        <f t="shared" si="570"/>
        <v/>
      </c>
      <c r="AW428" s="19" t="str">
        <f t="shared" si="531"/>
        <v/>
      </c>
      <c r="AX428" s="81">
        <f t="shared" si="532"/>
        <v>0</v>
      </c>
      <c r="AY428" s="81" t="str">
        <f t="shared" si="533"/>
        <v/>
      </c>
      <c r="AZ428" s="307" t="str">
        <f t="shared" si="563"/>
        <v/>
      </c>
      <c r="BA428" s="281" t="str">
        <f t="shared" si="571"/>
        <v/>
      </c>
      <c r="BB428" s="281" t="str">
        <f t="shared" si="572"/>
        <v/>
      </c>
      <c r="BC428" s="953"/>
      <c r="BD428" s="955"/>
      <c r="BE428" s="219" t="str">
        <f t="shared" si="534"/>
        <v>n/a</v>
      </c>
      <c r="BF428" s="215" t="b">
        <f t="shared" si="535"/>
        <v>0</v>
      </c>
      <c r="BG428" s="145" t="b">
        <f t="shared" si="536"/>
        <v>0</v>
      </c>
      <c r="BH428" s="145" t="b">
        <f t="shared" si="537"/>
        <v>0</v>
      </c>
      <c r="BI428" s="216" t="b">
        <f t="shared" si="538"/>
        <v>0</v>
      </c>
      <c r="BJ428" s="215" t="b">
        <f t="shared" si="539"/>
        <v>0</v>
      </c>
      <c r="BK428" s="145" t="b">
        <f t="shared" si="540"/>
        <v>0</v>
      </c>
      <c r="BL428" s="216" t="b">
        <f t="shared" si="541"/>
        <v>0</v>
      </c>
      <c r="BM428" s="217" t="str">
        <f t="shared" si="573"/>
        <v/>
      </c>
      <c r="BN428" s="146" t="str">
        <f t="shared" si="574"/>
        <v/>
      </c>
      <c r="BO428" s="147" t="str">
        <f t="shared" si="575"/>
        <v/>
      </c>
      <c r="BP428" s="148" t="str">
        <f t="shared" si="576"/>
        <v/>
      </c>
      <c r="BT428" s="50">
        <f t="shared" si="493"/>
        <v>405</v>
      </c>
      <c r="BU428" s="50" t="str">
        <f t="shared" si="515"/>
        <v>-</v>
      </c>
      <c r="BW428" s="333"/>
      <c r="BX428" s="333"/>
      <c r="BY428" s="333"/>
      <c r="BZ428" s="333"/>
      <c r="CA428" s="333"/>
      <c r="CB428" s="333"/>
      <c r="CC428" s="333"/>
      <c r="CD428" s="333"/>
      <c r="CE428" s="333"/>
      <c r="CF428" s="333"/>
      <c r="CG428" s="354">
        <f t="shared" si="542"/>
        <v>405</v>
      </c>
      <c r="CH428" s="613">
        <f t="shared" si="543"/>
        <v>0</v>
      </c>
      <c r="CI428" s="613">
        <f t="shared" si="544"/>
        <v>0</v>
      </c>
      <c r="CJ428" s="614" t="str">
        <f t="shared" si="545"/>
        <v/>
      </c>
      <c r="CK428" s="615" t="str">
        <f t="shared" si="546"/>
        <v/>
      </c>
      <c r="CL428" s="610" t="str">
        <f>IF(ISBLANK(H428),"",IF(AND(ISNUMBER(F428),ISNUMBER(G428),ISNUMBER(H428)),ROUND(F428/(H428*G428),2),ROUND(F428/(VALUE(LEFT(H428,SUM(LEN(H428)-LEN(SUBSTITUTE(H428,{"0","1","2","3","4","5","6","7","8","9","."},"")))))*G428),2)))</f>
        <v/>
      </c>
      <c r="CM428" s="616" t="str">
        <f t="shared" si="577"/>
        <v/>
      </c>
      <c r="CN428" s="616" t="str">
        <f>IF(ISNUMBER(P428),MAX('Adjustment factors'!$S$16,(0.2+0.8*P428)),IF(ISTEXT(N428),VLOOKUP(N428,Afactors,2,FALSE),""))</f>
        <v/>
      </c>
      <c r="CO428" s="616" t="str">
        <f>IF(ISNUMBER(S428),MAX('Adjustment factors'!$S$16,0.2+0.8*S428),IF(ISTEXT(Q428),VLOOKUP(Q428,Afactors,2,FALSE),""))</f>
        <v/>
      </c>
      <c r="CP428" s="611" t="str">
        <f t="shared" si="564"/>
        <v/>
      </c>
      <c r="CQ428" s="612" t="str">
        <f t="shared" si="565"/>
        <v/>
      </c>
      <c r="CR428" s="340"/>
      <c r="CS428" s="340"/>
      <c r="CT428" s="340"/>
      <c r="CU428" s="340"/>
      <c r="CV428" s="333"/>
      <c r="CW428" s="333"/>
      <c r="CX428" s="333"/>
      <c r="CY428" s="333"/>
      <c r="DA428" s="313" t="str">
        <f t="shared" si="547"/>
        <v>OK</v>
      </c>
      <c r="DB428" s="313" t="str">
        <f t="shared" si="548"/>
        <v>OK</v>
      </c>
      <c r="DC428" s="313" t="str">
        <f t="shared" si="549"/>
        <v>OK</v>
      </c>
      <c r="DD428" s="313" t="str">
        <f t="shared" si="550"/>
        <v>OK</v>
      </c>
      <c r="DE428" s="153" t="str">
        <f t="shared" si="551"/>
        <v>OK</v>
      </c>
      <c r="DF428" s="314" t="str">
        <f t="shared" si="552"/>
        <v>OK</v>
      </c>
      <c r="DG428" s="482" t="str">
        <f t="shared" si="566"/>
        <v>OK</v>
      </c>
      <c r="DH428" s="482" t="str">
        <f>IF(OR(AND(T428='Adjustment factors'!$R$28,'Class 3, 5-9'!U428='Adjustment factors'!$R$29),AND('Class 3, 5-9'!T428='Adjustment factors'!$R$29,'Class 3, 5-9'!U428='Adjustment factors'!$R$28)),"Invalid combination of adjustment factors",IF(AND(T428=U428,NOT(ISBLANK(T428)),NOT(ISBLANK(U428))),"Same colour factor selected twice","OK"))</f>
        <v>OK</v>
      </c>
      <c r="DI428" s="313" t="str">
        <f t="shared" si="553"/>
        <v>OK</v>
      </c>
      <c r="DJ428" s="153" t="str">
        <f t="shared" si="578"/>
        <v>OK</v>
      </c>
      <c r="DK428" s="153" t="str">
        <f t="shared" si="554"/>
        <v>OK</v>
      </c>
      <c r="DL428" s="313" t="str">
        <f t="shared" si="555"/>
        <v>OK</v>
      </c>
      <c r="DM428" s="153" t="str">
        <f t="shared" si="556"/>
        <v>OK</v>
      </c>
      <c r="DN428" s="153" t="str">
        <f t="shared" si="579"/>
        <v>OK</v>
      </c>
      <c r="DO428" s="154" t="str">
        <f t="shared" si="580"/>
        <v>OK</v>
      </c>
      <c r="DP428" s="153" t="str">
        <f t="shared" si="557"/>
        <v>OK</v>
      </c>
      <c r="DQ428" s="313" t="str">
        <f t="shared" si="558"/>
        <v>OK</v>
      </c>
      <c r="DR428" s="153" t="str">
        <f t="shared" si="581"/>
        <v>OK</v>
      </c>
      <c r="DS428" s="153" t="str">
        <f t="shared" si="559"/>
        <v>OK</v>
      </c>
      <c r="DT428" s="313" t="str">
        <f t="shared" si="567"/>
        <v>OK</v>
      </c>
      <c r="DU428" s="153" t="str">
        <f t="shared" si="560"/>
        <v>OK</v>
      </c>
      <c r="DV428" s="153" t="str">
        <f t="shared" si="582"/>
        <v>OK</v>
      </c>
      <c r="DW428" s="154" t="str">
        <f t="shared" si="583"/>
        <v>OK</v>
      </c>
      <c r="DX428" s="157">
        <f t="shared" si="584"/>
        <v>0</v>
      </c>
      <c r="DY428" s="156" t="str">
        <f t="shared" si="585"/>
        <v>OK</v>
      </c>
    </row>
    <row r="429" spans="1:129" ht="13" hidden="1" x14ac:dyDescent="0.3">
      <c r="A429" s="333"/>
      <c r="B429" s="333"/>
      <c r="C429" s="331" t="str">
        <f t="shared" si="568"/>
        <v>-</v>
      </c>
      <c r="D429" s="584">
        <f t="shared" si="492"/>
        <v>406</v>
      </c>
      <c r="E429" s="585"/>
      <c r="F429" s="586"/>
      <c r="G429" s="600"/>
      <c r="H429" s="587"/>
      <c r="I429" s="601"/>
      <c r="J429" s="585"/>
      <c r="K429" s="617"/>
      <c r="L429" s="602"/>
      <c r="M429" s="603"/>
      <c r="N429" s="588"/>
      <c r="O429" s="604"/>
      <c r="P429" s="605"/>
      <c r="Q429" s="588"/>
      <c r="R429" s="604"/>
      <c r="S429" s="605"/>
      <c r="T429" s="606"/>
      <c r="U429" s="606"/>
      <c r="V429" s="429" t="str">
        <f>AV429</f>
        <v/>
      </c>
      <c r="W429" s="430" t="str">
        <f t="shared" si="589"/>
        <v/>
      </c>
      <c r="X429" s="66" t="str">
        <f>IF(AND(ISNUMBER(P429),N429=FixedDim),MAX('Adjustment factors'!$S$16,0.2+0.8*P429),IF(ISTEXT(N429),VLOOKUP(N429,Afactors,2,TRUE),""))</f>
        <v/>
      </c>
      <c r="Y429" s="17" t="str">
        <f>IF(AND(ISNUMBER(S429),Q429=FixedDim),MAX('Adjustment factors'!$S$16,0.2+0.8*S429),IF(ISTEXT(Q429),VLOOKUP(Q429,Afactors,2,TRUE),""))</f>
        <v/>
      </c>
      <c r="Z429" s="297" t="str">
        <f>IF(ISBLANK(T429),"",VLOOKUP(T429,'Adjustment factors'!$R$27:$S$30,2,TRUE))</f>
        <v/>
      </c>
      <c r="AA429" s="297" t="str">
        <f>IF(ISBLANK(U429),"",VLOOKUP(U429,'Adjustment factors'!$R$27:$S$30,2,TRUE))</f>
        <v/>
      </c>
      <c r="AB429" s="480">
        <f t="shared" si="561"/>
        <v>1</v>
      </c>
      <c r="AC429" s="18" t="b">
        <f t="shared" si="518"/>
        <v>0</v>
      </c>
      <c r="AD429" s="18" t="b">
        <f t="shared" si="519"/>
        <v>0</v>
      </c>
      <c r="AE429" s="18" t="b">
        <f t="shared" si="586"/>
        <v>0</v>
      </c>
      <c r="AF429" s="17" t="str">
        <f t="shared" si="520"/>
        <v/>
      </c>
      <c r="AG429" s="18" t="str">
        <f t="shared" si="521"/>
        <v/>
      </c>
      <c r="AH429" s="17" t="str">
        <f t="shared" si="587"/>
        <v/>
      </c>
      <c r="AI429" s="297" t="e">
        <f t="shared" si="562"/>
        <v>#VALUE!</v>
      </c>
      <c r="AJ429" s="79" t="e">
        <f t="shared" si="522"/>
        <v>#VALUE!</v>
      </c>
      <c r="AK429" s="17" t="str">
        <f t="shared" si="588"/>
        <v/>
      </c>
      <c r="AL429" s="80" t="e">
        <f t="shared" si="523"/>
        <v>#VALUE!</v>
      </c>
      <c r="AM429" s="139" t="b">
        <f t="shared" si="524"/>
        <v>1</v>
      </c>
      <c r="AN429" s="139" t="b">
        <f>AND(COUNTA(E429)&gt;0,ISNUMBER(F429),OR(COUNT(G429:H429)=0,COUNT(G429:H429)=2,AND(ISNUMBER(G429),ISNUMBER(VALUE(LEFT(H429,SUM(LEN(H429)-LEN(SUBSTITUTE(H429,{"0","1","2","3","4","5","6","7","8","9","."},"")))))))),ISNUMBER(I429),ISTEXT(J429))</f>
        <v>0</v>
      </c>
      <c r="AO429" s="19" t="b">
        <f t="shared" si="525"/>
        <v>0</v>
      </c>
      <c r="AP429" s="19" t="b">
        <f t="shared" si="526"/>
        <v>1</v>
      </c>
      <c r="AQ429" s="19" t="b">
        <f>IF(AND(COUNTBLANK(E429:J429)=6,OR(AN430:AN$523)),NOT(AN429))</f>
        <v>0</v>
      </c>
      <c r="AR429" s="19" t="str">
        <f t="shared" si="527"/>
        <v/>
      </c>
      <c r="AS429" s="19" t="b">
        <f t="shared" si="528"/>
        <v>1</v>
      </c>
      <c r="AT429" s="19" t="str">
        <f t="shared" si="529"/>
        <v/>
      </c>
      <c r="AU429" s="19" t="b">
        <f t="shared" si="530"/>
        <v>1</v>
      </c>
      <c r="AV429" s="140" t="str">
        <f t="shared" si="570"/>
        <v/>
      </c>
      <c r="AW429" s="19" t="str">
        <f t="shared" si="531"/>
        <v/>
      </c>
      <c r="AX429" s="81">
        <f t="shared" si="532"/>
        <v>0</v>
      </c>
      <c r="AY429" s="81" t="str">
        <f t="shared" si="533"/>
        <v/>
      </c>
      <c r="AZ429" s="307" t="str">
        <f t="shared" si="563"/>
        <v/>
      </c>
      <c r="BA429" s="281" t="str">
        <f t="shared" si="571"/>
        <v/>
      </c>
      <c r="BB429" s="281" t="str">
        <f t="shared" si="572"/>
        <v/>
      </c>
      <c r="BC429" s="953"/>
      <c r="BD429" s="955"/>
      <c r="BE429" s="219" t="str">
        <f t="shared" si="534"/>
        <v>n/a</v>
      </c>
      <c r="BF429" s="215" t="b">
        <f t="shared" si="535"/>
        <v>0</v>
      </c>
      <c r="BG429" s="145" t="b">
        <f t="shared" si="536"/>
        <v>0</v>
      </c>
      <c r="BH429" s="145" t="b">
        <f t="shared" si="537"/>
        <v>0</v>
      </c>
      <c r="BI429" s="216" t="b">
        <f t="shared" si="538"/>
        <v>0</v>
      </c>
      <c r="BJ429" s="215" t="b">
        <f t="shared" si="539"/>
        <v>0</v>
      </c>
      <c r="BK429" s="145" t="b">
        <f t="shared" si="540"/>
        <v>0</v>
      </c>
      <c r="BL429" s="216" t="b">
        <f t="shared" si="541"/>
        <v>0</v>
      </c>
      <c r="BM429" s="217" t="str">
        <f t="shared" si="573"/>
        <v/>
      </c>
      <c r="BN429" s="146" t="str">
        <f t="shared" si="574"/>
        <v/>
      </c>
      <c r="BO429" s="147" t="str">
        <f t="shared" si="575"/>
        <v/>
      </c>
      <c r="BP429" s="148" t="str">
        <f t="shared" si="576"/>
        <v/>
      </c>
      <c r="BT429" s="50">
        <f t="shared" si="493"/>
        <v>406</v>
      </c>
      <c r="BU429" s="50" t="str">
        <f>IF(RowsPreferredOne&gt;=BT429,RowsPreferredOne,"-")</f>
        <v>-</v>
      </c>
      <c r="BW429" s="333"/>
      <c r="BX429" s="333"/>
      <c r="BY429" s="333"/>
      <c r="BZ429" s="333"/>
      <c r="CA429" s="333"/>
      <c r="CB429" s="333"/>
      <c r="CC429" s="333"/>
      <c r="CD429" s="333"/>
      <c r="CE429" s="333"/>
      <c r="CF429" s="333"/>
      <c r="CG429" s="354">
        <f t="shared" si="542"/>
        <v>406</v>
      </c>
      <c r="CH429" s="613">
        <f t="shared" si="543"/>
        <v>0</v>
      </c>
      <c r="CI429" s="613">
        <f t="shared" si="544"/>
        <v>0</v>
      </c>
      <c r="CJ429" s="614" t="str">
        <f t="shared" si="545"/>
        <v/>
      </c>
      <c r="CK429" s="615" t="str">
        <f t="shared" si="546"/>
        <v/>
      </c>
      <c r="CL429" s="610" t="str">
        <f>IF(ISBLANK(H429),"",IF(AND(ISNUMBER(F429),ISNUMBER(G429),ISNUMBER(H429)),ROUND(F429/(H429*G429),2),ROUND(F429/(VALUE(LEFT(H429,SUM(LEN(H429)-LEN(SUBSTITUTE(H429,{"0","1","2","3","4","5","6","7","8","9","."},"")))))*G429),2)))</f>
        <v/>
      </c>
      <c r="CM429" s="616" t="str">
        <f t="shared" si="577"/>
        <v/>
      </c>
      <c r="CN429" s="616" t="str">
        <f>IF(ISNUMBER(P429),MAX('Adjustment factors'!$S$16,(0.2+0.8*P429)),IF(ISTEXT(N429),VLOOKUP(N429,Afactors,2,FALSE),""))</f>
        <v/>
      </c>
      <c r="CO429" s="616" t="str">
        <f>IF(ISNUMBER(S429),MAX('Adjustment factors'!$S$16,0.2+0.8*S429),IF(ISTEXT(Q429),VLOOKUP(Q429,Afactors,2,FALSE),""))</f>
        <v/>
      </c>
      <c r="CP429" s="611" t="str">
        <f t="shared" si="564"/>
        <v/>
      </c>
      <c r="CQ429" s="612" t="str">
        <f t="shared" si="565"/>
        <v/>
      </c>
      <c r="CR429" s="340"/>
      <c r="CS429" s="416"/>
      <c r="CT429" s="416"/>
      <c r="CU429" s="340"/>
      <c r="CV429" s="333"/>
      <c r="CW429" s="333"/>
      <c r="CX429" s="333"/>
      <c r="CY429" s="333"/>
      <c r="DA429" s="313" t="str">
        <f t="shared" si="547"/>
        <v>OK</v>
      </c>
      <c r="DB429" s="313" t="str">
        <f t="shared" si="548"/>
        <v>OK</v>
      </c>
      <c r="DC429" s="313" t="str">
        <f t="shared" si="549"/>
        <v>OK</v>
      </c>
      <c r="DD429" s="313" t="str">
        <f t="shared" si="550"/>
        <v>OK</v>
      </c>
      <c r="DE429" s="153" t="str">
        <f t="shared" si="551"/>
        <v>OK</v>
      </c>
      <c r="DF429" s="314" t="str">
        <f t="shared" si="552"/>
        <v>OK</v>
      </c>
      <c r="DG429" s="482" t="str">
        <f t="shared" si="566"/>
        <v>OK</v>
      </c>
      <c r="DH429" s="482" t="str">
        <f>IF(OR(AND(T429='Adjustment factors'!$R$28,'Class 3, 5-9'!U429='Adjustment factors'!$R$29),AND('Class 3, 5-9'!T429='Adjustment factors'!$R$29,'Class 3, 5-9'!U429='Adjustment factors'!$R$28)),"Invalid combination of adjustment factors",IF(AND(T429=U429,NOT(ISBLANK(T429)),NOT(ISBLANK(U429))),"Same colour factor selected twice","OK"))</f>
        <v>OK</v>
      </c>
      <c r="DI429" s="313" t="str">
        <f t="shared" si="553"/>
        <v>OK</v>
      </c>
      <c r="DJ429" s="153" t="str">
        <f t="shared" si="578"/>
        <v>OK</v>
      </c>
      <c r="DK429" s="153" t="str">
        <f t="shared" si="554"/>
        <v>OK</v>
      </c>
      <c r="DL429" s="313" t="str">
        <f t="shared" si="555"/>
        <v>OK</v>
      </c>
      <c r="DM429" s="153" t="str">
        <f t="shared" si="556"/>
        <v>OK</v>
      </c>
      <c r="DN429" s="153" t="str">
        <f t="shared" si="579"/>
        <v>OK</v>
      </c>
      <c r="DO429" s="154" t="str">
        <f t="shared" si="580"/>
        <v>OK</v>
      </c>
      <c r="DP429" s="153" t="str">
        <f t="shared" si="557"/>
        <v>OK</v>
      </c>
      <c r="DQ429" s="313" t="str">
        <f t="shared" si="558"/>
        <v>OK</v>
      </c>
      <c r="DR429" s="153" t="str">
        <f t="shared" si="581"/>
        <v>OK</v>
      </c>
      <c r="DS429" s="153" t="str">
        <f t="shared" si="559"/>
        <v>OK</v>
      </c>
      <c r="DT429" s="313" t="str">
        <f t="shared" si="567"/>
        <v>OK</v>
      </c>
      <c r="DU429" s="153" t="str">
        <f t="shared" si="560"/>
        <v>OK</v>
      </c>
      <c r="DV429" s="153" t="str">
        <f t="shared" si="582"/>
        <v>OK</v>
      </c>
      <c r="DW429" s="154" t="str">
        <f t="shared" si="583"/>
        <v>OK</v>
      </c>
      <c r="DX429" s="157">
        <f t="shared" si="584"/>
        <v>0</v>
      </c>
      <c r="DY429" s="156" t="str">
        <f t="shared" si="585"/>
        <v>OK</v>
      </c>
    </row>
    <row r="430" spans="1:129" ht="13" hidden="1" x14ac:dyDescent="0.3">
      <c r="A430" s="333"/>
      <c r="B430" s="333"/>
      <c r="C430" s="331" t="str">
        <f t="shared" si="568"/>
        <v>-</v>
      </c>
      <c r="D430" s="584">
        <f t="shared" si="492"/>
        <v>407</v>
      </c>
      <c r="E430" s="585"/>
      <c r="F430" s="586"/>
      <c r="G430" s="600"/>
      <c r="H430" s="587"/>
      <c r="I430" s="601"/>
      <c r="J430" s="585"/>
      <c r="K430" s="617"/>
      <c r="L430" s="602"/>
      <c r="M430" s="603"/>
      <c r="N430" s="588"/>
      <c r="O430" s="604"/>
      <c r="P430" s="605"/>
      <c r="Q430" s="588"/>
      <c r="R430" s="604"/>
      <c r="S430" s="605"/>
      <c r="T430" s="606"/>
      <c r="U430" s="606"/>
      <c r="V430" s="429" t="str">
        <f t="shared" ref="V430:V493" si="590">AV430</f>
        <v/>
      </c>
      <c r="W430" s="430" t="str">
        <f t="shared" si="589"/>
        <v/>
      </c>
      <c r="X430" s="66" t="str">
        <f>IF(AND(ISNUMBER(P430),N430=FixedDim),MAX('Adjustment factors'!$S$16,0.2+0.8*P430),IF(ISTEXT(N430),VLOOKUP(N430,Afactors,2,TRUE),""))</f>
        <v/>
      </c>
      <c r="Y430" s="17" t="str">
        <f>IF(AND(ISNUMBER(S430),Q430=FixedDim),MAX('Adjustment factors'!$S$16,0.2+0.8*S430),IF(ISTEXT(Q430),VLOOKUP(Q430,Afactors,2,TRUE),""))</f>
        <v/>
      </c>
      <c r="Z430" s="297" t="str">
        <f>IF(ISBLANK(T430),"",VLOOKUP(T430,'Adjustment factors'!$R$27:$S$30,2,TRUE))</f>
        <v/>
      </c>
      <c r="AA430" s="297" t="str">
        <f>IF(ISBLANK(U430),"",VLOOKUP(U430,'Adjustment factors'!$R$27:$S$30,2,TRUE))</f>
        <v/>
      </c>
      <c r="AB430" s="480">
        <f t="shared" si="561"/>
        <v>1</v>
      </c>
      <c r="AC430" s="18" t="b">
        <f t="shared" si="518"/>
        <v>0</v>
      </c>
      <c r="AD430" s="18" t="b">
        <f t="shared" si="519"/>
        <v>0</v>
      </c>
      <c r="AE430" s="18" t="b">
        <f t="shared" si="586"/>
        <v>0</v>
      </c>
      <c r="AF430" s="17" t="str">
        <f t="shared" si="520"/>
        <v/>
      </c>
      <c r="AG430" s="18" t="str">
        <f t="shared" si="521"/>
        <v/>
      </c>
      <c r="AH430" s="17" t="str">
        <f t="shared" si="587"/>
        <v/>
      </c>
      <c r="AI430" s="297" t="e">
        <f t="shared" si="562"/>
        <v>#VALUE!</v>
      </c>
      <c r="AJ430" s="79" t="e">
        <f t="shared" si="522"/>
        <v>#VALUE!</v>
      </c>
      <c r="AK430" s="17" t="str">
        <f t="shared" si="588"/>
        <v/>
      </c>
      <c r="AL430" s="80" t="e">
        <f t="shared" si="523"/>
        <v>#VALUE!</v>
      </c>
      <c r="AM430" s="139" t="b">
        <f t="shared" si="524"/>
        <v>1</v>
      </c>
      <c r="AN430" s="139" t="b">
        <f>AND(COUNTA(E430)&gt;0,ISNUMBER(F430),OR(COUNT(G430:H430)=0,COUNT(G430:H430)=2,AND(ISNUMBER(G430),ISNUMBER(VALUE(LEFT(H430,SUM(LEN(H430)-LEN(SUBSTITUTE(H430,{"0","1","2","3","4","5","6","7","8","9","."},"")))))))),ISNUMBER(I430),ISTEXT(J430))</f>
        <v>0</v>
      </c>
      <c r="AO430" s="19" t="b">
        <f t="shared" si="525"/>
        <v>0</v>
      </c>
      <c r="AP430" s="19" t="b">
        <f t="shared" si="526"/>
        <v>1</v>
      </c>
      <c r="AQ430" s="19" t="b">
        <f>IF(AND(COUNTBLANK(E430:J430)=6,OR(AN431:AN$523)),NOT(AN430))</f>
        <v>0</v>
      </c>
      <c r="AR430" s="19" t="str">
        <f t="shared" si="527"/>
        <v/>
      </c>
      <c r="AS430" s="19" t="b">
        <f t="shared" si="528"/>
        <v>1</v>
      </c>
      <c r="AT430" s="19" t="str">
        <f t="shared" si="529"/>
        <v/>
      </c>
      <c r="AU430" s="19" t="b">
        <f t="shared" si="530"/>
        <v>1</v>
      </c>
      <c r="AV430" s="140" t="str">
        <f t="shared" si="570"/>
        <v/>
      </c>
      <c r="AW430" s="19" t="str">
        <f t="shared" si="531"/>
        <v/>
      </c>
      <c r="AX430" s="81">
        <f t="shared" si="532"/>
        <v>0</v>
      </c>
      <c r="AY430" s="81" t="str">
        <f t="shared" si="533"/>
        <v/>
      </c>
      <c r="AZ430" s="307" t="str">
        <f t="shared" si="563"/>
        <v/>
      </c>
      <c r="BA430" s="281" t="str">
        <f t="shared" si="571"/>
        <v/>
      </c>
      <c r="BB430" s="281" t="str">
        <f t="shared" si="572"/>
        <v/>
      </c>
      <c r="BC430" s="953"/>
      <c r="BD430" s="955"/>
      <c r="BE430" s="219" t="str">
        <f t="shared" si="534"/>
        <v>n/a</v>
      </c>
      <c r="BF430" s="215" t="b">
        <f t="shared" si="535"/>
        <v>0</v>
      </c>
      <c r="BG430" s="145" t="b">
        <f t="shared" si="536"/>
        <v>0</v>
      </c>
      <c r="BH430" s="145" t="b">
        <f t="shared" si="537"/>
        <v>0</v>
      </c>
      <c r="BI430" s="216" t="b">
        <f t="shared" si="538"/>
        <v>0</v>
      </c>
      <c r="BJ430" s="215" t="b">
        <f t="shared" si="539"/>
        <v>0</v>
      </c>
      <c r="BK430" s="145" t="b">
        <f t="shared" si="540"/>
        <v>0</v>
      </c>
      <c r="BL430" s="216" t="b">
        <f t="shared" si="541"/>
        <v>0</v>
      </c>
      <c r="BM430" s="217" t="str">
        <f t="shared" si="573"/>
        <v/>
      </c>
      <c r="BN430" s="146" t="str">
        <f t="shared" si="574"/>
        <v/>
      </c>
      <c r="BO430" s="147" t="str">
        <f t="shared" si="575"/>
        <v/>
      </c>
      <c r="BP430" s="148" t="str">
        <f t="shared" si="576"/>
        <v/>
      </c>
      <c r="BT430" s="50">
        <f t="shared" si="493"/>
        <v>407</v>
      </c>
      <c r="BU430" s="50" t="str">
        <f t="shared" ref="BU430:BU432" si="591">IF(RowsPreferredOne&gt;=BT430,RowsPreferredOne,"-")</f>
        <v>-</v>
      </c>
      <c r="BW430" s="333"/>
      <c r="BX430" s="333"/>
      <c r="BY430" s="333"/>
      <c r="BZ430" s="333"/>
      <c r="CA430" s="333"/>
      <c r="CB430" s="333"/>
      <c r="CC430" s="333"/>
      <c r="CD430" s="333"/>
      <c r="CE430" s="333"/>
      <c r="CF430" s="333"/>
      <c r="CG430" s="354">
        <f t="shared" si="542"/>
        <v>407</v>
      </c>
      <c r="CH430" s="613">
        <f t="shared" si="543"/>
        <v>0</v>
      </c>
      <c r="CI430" s="613">
        <f t="shared" si="544"/>
        <v>0</v>
      </c>
      <c r="CJ430" s="614" t="str">
        <f t="shared" si="545"/>
        <v/>
      </c>
      <c r="CK430" s="615" t="str">
        <f t="shared" si="546"/>
        <v/>
      </c>
      <c r="CL430" s="610" t="str">
        <f>IF(ISBLANK(H430),"",IF(AND(ISNUMBER(F430),ISNUMBER(G430),ISNUMBER(H430)),ROUND(F430/(H430*G430),2),ROUND(F430/(VALUE(LEFT(H430,SUM(LEN(H430)-LEN(SUBSTITUTE(H430,{"0","1","2","3","4","5","6","7","8","9","."},"")))))*G430),2)))</f>
        <v/>
      </c>
      <c r="CM430" s="616" t="str">
        <f t="shared" si="577"/>
        <v/>
      </c>
      <c r="CN430" s="616" t="str">
        <f>IF(ISNUMBER(P430),MAX('Adjustment factors'!$S$16,(0.2+0.8*P430)),IF(ISTEXT(N430),VLOOKUP(N430,Afactors,2,FALSE),""))</f>
        <v/>
      </c>
      <c r="CO430" s="616" t="str">
        <f>IF(ISNUMBER(S430),MAX('Adjustment factors'!$S$16,0.2+0.8*S430),IF(ISTEXT(Q430),VLOOKUP(Q430,Afactors,2,FALSE),""))</f>
        <v/>
      </c>
      <c r="CP430" s="611" t="str">
        <f t="shared" si="564"/>
        <v/>
      </c>
      <c r="CQ430" s="612" t="str">
        <f t="shared" si="565"/>
        <v/>
      </c>
      <c r="CR430" s="340"/>
      <c r="CS430" s="340"/>
      <c r="CT430" s="340"/>
      <c r="CU430" s="340"/>
      <c r="CV430" s="333"/>
      <c r="CW430" s="333"/>
      <c r="CX430" s="333"/>
      <c r="CY430" s="333"/>
      <c r="DA430" s="313" t="str">
        <f t="shared" si="547"/>
        <v>OK</v>
      </c>
      <c r="DB430" s="313" t="str">
        <f t="shared" si="548"/>
        <v>OK</v>
      </c>
      <c r="DC430" s="313" t="str">
        <f t="shared" si="549"/>
        <v>OK</v>
      </c>
      <c r="DD430" s="313" t="str">
        <f t="shared" si="550"/>
        <v>OK</v>
      </c>
      <c r="DE430" s="153" t="str">
        <f t="shared" si="551"/>
        <v>OK</v>
      </c>
      <c r="DF430" s="314" t="str">
        <f t="shared" si="552"/>
        <v>OK</v>
      </c>
      <c r="DG430" s="482" t="str">
        <f t="shared" si="566"/>
        <v>OK</v>
      </c>
      <c r="DH430" s="482" t="str">
        <f>IF(OR(AND(T430='Adjustment factors'!$R$28,'Class 3, 5-9'!U430='Adjustment factors'!$R$29),AND('Class 3, 5-9'!T430='Adjustment factors'!$R$29,'Class 3, 5-9'!U430='Adjustment factors'!$R$28)),"Invalid combination of adjustment factors",IF(AND(T430=U430,NOT(ISBLANK(T430)),NOT(ISBLANK(U430))),"Same colour factor selected twice","OK"))</f>
        <v>OK</v>
      </c>
      <c r="DI430" s="313" t="str">
        <f t="shared" si="553"/>
        <v>OK</v>
      </c>
      <c r="DJ430" s="153" t="str">
        <f t="shared" si="578"/>
        <v>OK</v>
      </c>
      <c r="DK430" s="153" t="str">
        <f t="shared" si="554"/>
        <v>OK</v>
      </c>
      <c r="DL430" s="313" t="str">
        <f t="shared" si="555"/>
        <v>OK</v>
      </c>
      <c r="DM430" s="153" t="str">
        <f t="shared" si="556"/>
        <v>OK</v>
      </c>
      <c r="DN430" s="153" t="str">
        <f t="shared" si="579"/>
        <v>OK</v>
      </c>
      <c r="DO430" s="154" t="str">
        <f t="shared" si="580"/>
        <v>OK</v>
      </c>
      <c r="DP430" s="153" t="str">
        <f t="shared" si="557"/>
        <v>OK</v>
      </c>
      <c r="DQ430" s="313" t="str">
        <f t="shared" si="558"/>
        <v>OK</v>
      </c>
      <c r="DR430" s="153" t="str">
        <f t="shared" si="581"/>
        <v>OK</v>
      </c>
      <c r="DS430" s="153" t="str">
        <f t="shared" si="559"/>
        <v>OK</v>
      </c>
      <c r="DT430" s="313" t="str">
        <f t="shared" si="567"/>
        <v>OK</v>
      </c>
      <c r="DU430" s="153" t="str">
        <f t="shared" si="560"/>
        <v>OK</v>
      </c>
      <c r="DV430" s="153" t="str">
        <f t="shared" si="582"/>
        <v>OK</v>
      </c>
      <c r="DW430" s="154" t="str">
        <f t="shared" si="583"/>
        <v>OK</v>
      </c>
      <c r="DX430" s="157">
        <f t="shared" si="584"/>
        <v>0</v>
      </c>
      <c r="DY430" s="156" t="str">
        <f t="shared" si="585"/>
        <v>OK</v>
      </c>
    </row>
    <row r="431" spans="1:129" ht="13" hidden="1" x14ac:dyDescent="0.3">
      <c r="A431" s="333"/>
      <c r="B431" s="333"/>
      <c r="C431" s="331" t="str">
        <f t="shared" si="568"/>
        <v>-</v>
      </c>
      <c r="D431" s="584">
        <f t="shared" si="492"/>
        <v>408</v>
      </c>
      <c r="E431" s="585"/>
      <c r="F431" s="586"/>
      <c r="G431" s="600"/>
      <c r="H431" s="587"/>
      <c r="I431" s="601"/>
      <c r="J431" s="585"/>
      <c r="K431" s="617"/>
      <c r="L431" s="602"/>
      <c r="M431" s="603"/>
      <c r="N431" s="588"/>
      <c r="O431" s="604"/>
      <c r="P431" s="605"/>
      <c r="Q431" s="588"/>
      <c r="R431" s="604"/>
      <c r="S431" s="605"/>
      <c r="T431" s="606"/>
      <c r="U431" s="606"/>
      <c r="V431" s="429" t="str">
        <f t="shared" si="590"/>
        <v/>
      </c>
      <c r="W431" s="430" t="str">
        <f t="shared" si="589"/>
        <v/>
      </c>
      <c r="X431" s="66" t="str">
        <f>IF(AND(ISNUMBER(P431),N431=FixedDim),MAX('Adjustment factors'!$S$16,0.2+0.8*P431),IF(ISTEXT(N431),VLOOKUP(N431,Afactors,2,TRUE),""))</f>
        <v/>
      </c>
      <c r="Y431" s="17" t="str">
        <f>IF(AND(ISNUMBER(S431),Q431=FixedDim),MAX('Adjustment factors'!$S$16,0.2+0.8*S431),IF(ISTEXT(Q431),VLOOKUP(Q431,Afactors,2,TRUE),""))</f>
        <v/>
      </c>
      <c r="Z431" s="297" t="str">
        <f>IF(ISBLANK(T431),"",VLOOKUP(T431,'Adjustment factors'!$R$27:$S$30,2,TRUE))</f>
        <v/>
      </c>
      <c r="AA431" s="297" t="str">
        <f>IF(ISBLANK(U431),"",VLOOKUP(U431,'Adjustment factors'!$R$27:$S$30,2,TRUE))</f>
        <v/>
      </c>
      <c r="AB431" s="480">
        <f t="shared" si="561"/>
        <v>1</v>
      </c>
      <c r="AC431" s="18" t="b">
        <f t="shared" si="518"/>
        <v>0</v>
      </c>
      <c r="AD431" s="18" t="b">
        <f t="shared" si="519"/>
        <v>0</v>
      </c>
      <c r="AE431" s="18" t="b">
        <f t="shared" si="586"/>
        <v>0</v>
      </c>
      <c r="AF431" s="17" t="str">
        <f t="shared" si="520"/>
        <v/>
      </c>
      <c r="AG431" s="18" t="str">
        <f t="shared" si="521"/>
        <v/>
      </c>
      <c r="AH431" s="17" t="str">
        <f t="shared" si="587"/>
        <v/>
      </c>
      <c r="AI431" s="297" t="e">
        <f t="shared" si="562"/>
        <v>#VALUE!</v>
      </c>
      <c r="AJ431" s="79" t="e">
        <f t="shared" si="522"/>
        <v>#VALUE!</v>
      </c>
      <c r="AK431" s="17" t="str">
        <f t="shared" si="588"/>
        <v/>
      </c>
      <c r="AL431" s="80" t="e">
        <f t="shared" si="523"/>
        <v>#VALUE!</v>
      </c>
      <c r="AM431" s="139" t="b">
        <f t="shared" si="524"/>
        <v>1</v>
      </c>
      <c r="AN431" s="139" t="b">
        <f>AND(COUNTA(E431)&gt;0,ISNUMBER(F431),OR(COUNT(G431:H431)=0,COUNT(G431:H431)=2,AND(ISNUMBER(G431),ISNUMBER(VALUE(LEFT(H431,SUM(LEN(H431)-LEN(SUBSTITUTE(H431,{"0","1","2","3","4","5","6","7","8","9","."},"")))))))),ISNUMBER(I431),ISTEXT(J431))</f>
        <v>0</v>
      </c>
      <c r="AO431" s="19" t="b">
        <f t="shared" si="525"/>
        <v>0</v>
      </c>
      <c r="AP431" s="19" t="b">
        <f t="shared" si="526"/>
        <v>1</v>
      </c>
      <c r="AQ431" s="19" t="b">
        <f>IF(AND(COUNTBLANK(E431:J431)=6,OR(AN432:AN$523)),NOT(AN431))</f>
        <v>0</v>
      </c>
      <c r="AR431" s="19" t="str">
        <f t="shared" si="527"/>
        <v/>
      </c>
      <c r="AS431" s="19" t="b">
        <f t="shared" si="528"/>
        <v>1</v>
      </c>
      <c r="AT431" s="19" t="str">
        <f t="shared" si="529"/>
        <v/>
      </c>
      <c r="AU431" s="19" t="b">
        <f t="shared" si="530"/>
        <v>1</v>
      </c>
      <c r="AV431" s="140" t="str">
        <f t="shared" si="570"/>
        <v/>
      </c>
      <c r="AW431" s="19" t="str">
        <f t="shared" si="531"/>
        <v/>
      </c>
      <c r="AX431" s="81">
        <f t="shared" si="532"/>
        <v>0</v>
      </c>
      <c r="AY431" s="81" t="str">
        <f t="shared" si="533"/>
        <v/>
      </c>
      <c r="AZ431" s="307" t="str">
        <f t="shared" si="563"/>
        <v/>
      </c>
      <c r="BA431" s="281" t="str">
        <f t="shared" si="571"/>
        <v/>
      </c>
      <c r="BB431" s="281" t="str">
        <f t="shared" si="572"/>
        <v/>
      </c>
      <c r="BC431" s="953"/>
      <c r="BD431" s="955"/>
      <c r="BE431" s="219" t="str">
        <f t="shared" si="534"/>
        <v>n/a</v>
      </c>
      <c r="BF431" s="215" t="b">
        <f t="shared" si="535"/>
        <v>0</v>
      </c>
      <c r="BG431" s="145" t="b">
        <f t="shared" si="536"/>
        <v>0</v>
      </c>
      <c r="BH431" s="145" t="b">
        <f t="shared" si="537"/>
        <v>0</v>
      </c>
      <c r="BI431" s="216" t="b">
        <f t="shared" si="538"/>
        <v>0</v>
      </c>
      <c r="BJ431" s="215" t="b">
        <f t="shared" si="539"/>
        <v>0</v>
      </c>
      <c r="BK431" s="145" t="b">
        <f t="shared" si="540"/>
        <v>0</v>
      </c>
      <c r="BL431" s="216" t="b">
        <f t="shared" si="541"/>
        <v>0</v>
      </c>
      <c r="BM431" s="217" t="str">
        <f t="shared" si="573"/>
        <v/>
      </c>
      <c r="BN431" s="146" t="str">
        <f t="shared" si="574"/>
        <v/>
      </c>
      <c r="BO431" s="147" t="str">
        <f t="shared" si="575"/>
        <v/>
      </c>
      <c r="BP431" s="148" t="str">
        <f t="shared" si="576"/>
        <v/>
      </c>
      <c r="BT431" s="50">
        <f t="shared" si="493"/>
        <v>408</v>
      </c>
      <c r="BU431" s="50" t="str">
        <f t="shared" si="591"/>
        <v>-</v>
      </c>
      <c r="BW431" s="333"/>
      <c r="BX431" s="333"/>
      <c r="BY431" s="333"/>
      <c r="BZ431" s="333"/>
      <c r="CA431" s="333"/>
      <c r="CB431" s="333"/>
      <c r="CC431" s="333"/>
      <c r="CD431" s="333"/>
      <c r="CE431" s="333"/>
      <c r="CF431" s="333"/>
      <c r="CG431" s="354">
        <f t="shared" si="542"/>
        <v>408</v>
      </c>
      <c r="CH431" s="613">
        <f t="shared" si="543"/>
        <v>0</v>
      </c>
      <c r="CI431" s="613">
        <f t="shared" si="544"/>
        <v>0</v>
      </c>
      <c r="CJ431" s="614" t="str">
        <f t="shared" si="545"/>
        <v/>
      </c>
      <c r="CK431" s="615" t="str">
        <f t="shared" si="546"/>
        <v/>
      </c>
      <c r="CL431" s="610" t="str">
        <f>IF(ISBLANK(H431),"",IF(AND(ISNUMBER(F431),ISNUMBER(G431),ISNUMBER(H431)),ROUND(F431/(H431*G431),2),ROUND(F431/(VALUE(LEFT(H431,SUM(LEN(H431)-LEN(SUBSTITUTE(H431,{"0","1","2","3","4","5","6","7","8","9","."},"")))))*G431),2)))</f>
        <v/>
      </c>
      <c r="CM431" s="616" t="str">
        <f t="shared" si="577"/>
        <v/>
      </c>
      <c r="CN431" s="616" t="str">
        <f>IF(ISNUMBER(P431),MAX('Adjustment factors'!$S$16,(0.2+0.8*P431)),IF(ISTEXT(N431),VLOOKUP(N431,Afactors,2,FALSE),""))</f>
        <v/>
      </c>
      <c r="CO431" s="616" t="str">
        <f>IF(ISNUMBER(S431),MAX('Adjustment factors'!$S$16,0.2+0.8*S431),IF(ISTEXT(Q431),VLOOKUP(Q431,Afactors,2,FALSE),""))</f>
        <v/>
      </c>
      <c r="CP431" s="611" t="str">
        <f t="shared" si="564"/>
        <v/>
      </c>
      <c r="CQ431" s="612" t="str">
        <f t="shared" si="565"/>
        <v/>
      </c>
      <c r="CR431" s="340"/>
      <c r="CS431" s="340"/>
      <c r="CT431" s="340"/>
      <c r="CU431" s="340"/>
      <c r="CV431" s="333"/>
      <c r="CW431" s="333"/>
      <c r="CX431" s="333"/>
      <c r="CY431" s="333"/>
      <c r="DA431" s="313" t="str">
        <f t="shared" si="547"/>
        <v>OK</v>
      </c>
      <c r="DB431" s="313" t="str">
        <f t="shared" si="548"/>
        <v>OK</v>
      </c>
      <c r="DC431" s="313" t="str">
        <f t="shared" si="549"/>
        <v>OK</v>
      </c>
      <c r="DD431" s="313" t="str">
        <f t="shared" si="550"/>
        <v>OK</v>
      </c>
      <c r="DE431" s="153" t="str">
        <f t="shared" si="551"/>
        <v>OK</v>
      </c>
      <c r="DF431" s="314" t="str">
        <f t="shared" si="552"/>
        <v>OK</v>
      </c>
      <c r="DG431" s="482" t="str">
        <f t="shared" si="566"/>
        <v>OK</v>
      </c>
      <c r="DH431" s="482" t="str">
        <f>IF(OR(AND(T431='Adjustment factors'!$R$28,'Class 3, 5-9'!U431='Adjustment factors'!$R$29),AND('Class 3, 5-9'!T431='Adjustment factors'!$R$29,'Class 3, 5-9'!U431='Adjustment factors'!$R$28)),"Invalid combination of adjustment factors",IF(AND(T431=U431,NOT(ISBLANK(T431)),NOT(ISBLANK(U431))),"Same colour factor selected twice","OK"))</f>
        <v>OK</v>
      </c>
      <c r="DI431" s="313" t="str">
        <f t="shared" si="553"/>
        <v>OK</v>
      </c>
      <c r="DJ431" s="153" t="str">
        <f t="shared" si="578"/>
        <v>OK</v>
      </c>
      <c r="DK431" s="153" t="str">
        <f t="shared" si="554"/>
        <v>OK</v>
      </c>
      <c r="DL431" s="313" t="str">
        <f t="shared" si="555"/>
        <v>OK</v>
      </c>
      <c r="DM431" s="153" t="str">
        <f t="shared" si="556"/>
        <v>OK</v>
      </c>
      <c r="DN431" s="153" t="str">
        <f t="shared" si="579"/>
        <v>OK</v>
      </c>
      <c r="DO431" s="154" t="str">
        <f t="shared" si="580"/>
        <v>OK</v>
      </c>
      <c r="DP431" s="153" t="str">
        <f t="shared" si="557"/>
        <v>OK</v>
      </c>
      <c r="DQ431" s="313" t="str">
        <f t="shared" si="558"/>
        <v>OK</v>
      </c>
      <c r="DR431" s="153" t="str">
        <f t="shared" si="581"/>
        <v>OK</v>
      </c>
      <c r="DS431" s="153" t="str">
        <f t="shared" si="559"/>
        <v>OK</v>
      </c>
      <c r="DT431" s="313" t="str">
        <f t="shared" si="567"/>
        <v>OK</v>
      </c>
      <c r="DU431" s="153" t="str">
        <f t="shared" si="560"/>
        <v>OK</v>
      </c>
      <c r="DV431" s="153" t="str">
        <f t="shared" si="582"/>
        <v>OK</v>
      </c>
      <c r="DW431" s="154" t="str">
        <f t="shared" si="583"/>
        <v>OK</v>
      </c>
      <c r="DX431" s="157">
        <f t="shared" si="584"/>
        <v>0</v>
      </c>
      <c r="DY431" s="156" t="str">
        <f t="shared" si="585"/>
        <v>OK</v>
      </c>
    </row>
    <row r="432" spans="1:129" ht="13" hidden="1" x14ac:dyDescent="0.3">
      <c r="A432" s="333"/>
      <c r="B432" s="333"/>
      <c r="C432" s="331" t="str">
        <f t="shared" si="568"/>
        <v>-</v>
      </c>
      <c r="D432" s="584">
        <f t="shared" si="492"/>
        <v>409</v>
      </c>
      <c r="E432" s="585"/>
      <c r="F432" s="586"/>
      <c r="G432" s="600"/>
      <c r="H432" s="587"/>
      <c r="I432" s="601"/>
      <c r="J432" s="585"/>
      <c r="K432" s="617"/>
      <c r="L432" s="602"/>
      <c r="M432" s="603"/>
      <c r="N432" s="588"/>
      <c r="O432" s="604"/>
      <c r="P432" s="605"/>
      <c r="Q432" s="588"/>
      <c r="R432" s="604"/>
      <c r="S432" s="605"/>
      <c r="T432" s="606"/>
      <c r="U432" s="606"/>
      <c r="V432" s="429" t="str">
        <f t="shared" si="590"/>
        <v/>
      </c>
      <c r="W432" s="430" t="str">
        <f t="shared" si="589"/>
        <v/>
      </c>
      <c r="X432" s="66" t="str">
        <f>IF(AND(ISNUMBER(P432),N432=FixedDim),MAX('Adjustment factors'!$S$16,0.2+0.8*P432),IF(ISTEXT(N432),VLOOKUP(N432,Afactors,2,TRUE),""))</f>
        <v/>
      </c>
      <c r="Y432" s="17" t="str">
        <f>IF(AND(ISNUMBER(S432),Q432=FixedDim),MAX('Adjustment factors'!$S$16,0.2+0.8*S432),IF(ISTEXT(Q432),VLOOKUP(Q432,Afactors,2,TRUE),""))</f>
        <v/>
      </c>
      <c r="Z432" s="297" t="str">
        <f>IF(ISBLANK(T432),"",VLOOKUP(T432,'Adjustment factors'!$R$27:$S$30,2,TRUE))</f>
        <v/>
      </c>
      <c r="AA432" s="297" t="str">
        <f>IF(ISBLANK(U432),"",VLOOKUP(U432,'Adjustment factors'!$R$27:$S$30,2,TRUE))</f>
        <v/>
      </c>
      <c r="AB432" s="480">
        <f t="shared" si="561"/>
        <v>1</v>
      </c>
      <c r="AC432" s="18" t="b">
        <f t="shared" si="518"/>
        <v>0</v>
      </c>
      <c r="AD432" s="18" t="b">
        <f t="shared" si="519"/>
        <v>0</v>
      </c>
      <c r="AE432" s="18" t="b">
        <f t="shared" si="586"/>
        <v>0</v>
      </c>
      <c r="AF432" s="17" t="str">
        <f t="shared" si="520"/>
        <v/>
      </c>
      <c r="AG432" s="18" t="str">
        <f t="shared" si="521"/>
        <v/>
      </c>
      <c r="AH432" s="17" t="str">
        <f t="shared" si="587"/>
        <v/>
      </c>
      <c r="AI432" s="297" t="e">
        <f t="shared" si="562"/>
        <v>#VALUE!</v>
      </c>
      <c r="AJ432" s="79" t="e">
        <f t="shared" si="522"/>
        <v>#VALUE!</v>
      </c>
      <c r="AK432" s="17" t="str">
        <f t="shared" si="588"/>
        <v/>
      </c>
      <c r="AL432" s="80" t="e">
        <f t="shared" si="523"/>
        <v>#VALUE!</v>
      </c>
      <c r="AM432" s="139" t="b">
        <f t="shared" si="524"/>
        <v>1</v>
      </c>
      <c r="AN432" s="139" t="b">
        <f>AND(COUNTA(E432)&gt;0,ISNUMBER(F432),OR(COUNT(G432:H432)=0,COUNT(G432:H432)=2,AND(ISNUMBER(G432),ISNUMBER(VALUE(LEFT(H432,SUM(LEN(H432)-LEN(SUBSTITUTE(H432,{"0","1","2","3","4","5","6","7","8","9","."},"")))))))),ISNUMBER(I432),ISTEXT(J432))</f>
        <v>0</v>
      </c>
      <c r="AO432" s="19" t="b">
        <f t="shared" si="525"/>
        <v>0</v>
      </c>
      <c r="AP432" s="19" t="b">
        <f t="shared" si="526"/>
        <v>1</v>
      </c>
      <c r="AQ432" s="19" t="b">
        <f>IF(AND(COUNTBLANK(E432:J432)=6,OR(AN433:AN$523)),NOT(AN432))</f>
        <v>0</v>
      </c>
      <c r="AR432" s="19" t="str">
        <f t="shared" si="527"/>
        <v/>
      </c>
      <c r="AS432" s="19" t="b">
        <f t="shared" si="528"/>
        <v>1</v>
      </c>
      <c r="AT432" s="19" t="str">
        <f t="shared" si="529"/>
        <v/>
      </c>
      <c r="AU432" s="19" t="b">
        <f t="shared" si="530"/>
        <v>1</v>
      </c>
      <c r="AV432" s="140" t="str">
        <f t="shared" si="570"/>
        <v/>
      </c>
      <c r="AW432" s="19" t="str">
        <f t="shared" si="531"/>
        <v/>
      </c>
      <c r="AX432" s="81">
        <f t="shared" si="532"/>
        <v>0</v>
      </c>
      <c r="AY432" s="81" t="str">
        <f t="shared" si="533"/>
        <v/>
      </c>
      <c r="AZ432" s="307" t="str">
        <f t="shared" si="563"/>
        <v/>
      </c>
      <c r="BA432" s="281" t="str">
        <f t="shared" si="571"/>
        <v/>
      </c>
      <c r="BB432" s="281" t="str">
        <f t="shared" si="572"/>
        <v/>
      </c>
      <c r="BC432" s="953"/>
      <c r="BD432" s="955"/>
      <c r="BE432" s="219" t="str">
        <f t="shared" si="534"/>
        <v>n/a</v>
      </c>
      <c r="BF432" s="215" t="b">
        <f t="shared" si="535"/>
        <v>0</v>
      </c>
      <c r="BG432" s="145" t="b">
        <f t="shared" si="536"/>
        <v>0</v>
      </c>
      <c r="BH432" s="145" t="b">
        <f t="shared" si="537"/>
        <v>0</v>
      </c>
      <c r="BI432" s="216" t="b">
        <f t="shared" si="538"/>
        <v>0</v>
      </c>
      <c r="BJ432" s="215" t="b">
        <f t="shared" si="539"/>
        <v>0</v>
      </c>
      <c r="BK432" s="145" t="b">
        <f t="shared" si="540"/>
        <v>0</v>
      </c>
      <c r="BL432" s="216" t="b">
        <f t="shared" si="541"/>
        <v>0</v>
      </c>
      <c r="BM432" s="217" t="str">
        <f t="shared" si="573"/>
        <v/>
      </c>
      <c r="BN432" s="146" t="str">
        <f t="shared" si="574"/>
        <v/>
      </c>
      <c r="BO432" s="147" t="str">
        <f t="shared" si="575"/>
        <v/>
      </c>
      <c r="BP432" s="148" t="str">
        <f t="shared" si="576"/>
        <v/>
      </c>
      <c r="BT432" s="50">
        <f t="shared" si="493"/>
        <v>409</v>
      </c>
      <c r="BU432" s="50" t="str">
        <f t="shared" si="591"/>
        <v>-</v>
      </c>
      <c r="BW432" s="333"/>
      <c r="BX432" s="333"/>
      <c r="BY432" s="333"/>
      <c r="BZ432" s="333"/>
      <c r="CA432" s="333"/>
      <c r="CB432" s="333"/>
      <c r="CC432" s="333"/>
      <c r="CD432" s="333"/>
      <c r="CE432" s="333"/>
      <c r="CF432" s="333"/>
      <c r="CG432" s="354">
        <f t="shared" si="542"/>
        <v>409</v>
      </c>
      <c r="CH432" s="613">
        <f t="shared" si="543"/>
        <v>0</v>
      </c>
      <c r="CI432" s="613">
        <f t="shared" si="544"/>
        <v>0</v>
      </c>
      <c r="CJ432" s="614" t="str">
        <f t="shared" si="545"/>
        <v/>
      </c>
      <c r="CK432" s="615" t="str">
        <f t="shared" si="546"/>
        <v/>
      </c>
      <c r="CL432" s="610" t="str">
        <f>IF(ISBLANK(H432),"",IF(AND(ISNUMBER(F432),ISNUMBER(G432),ISNUMBER(H432)),ROUND(F432/(H432*G432),2),ROUND(F432/(VALUE(LEFT(H432,SUM(LEN(H432)-LEN(SUBSTITUTE(H432,{"0","1","2","3","4","5","6","7","8","9","."},"")))))*G432),2)))</f>
        <v/>
      </c>
      <c r="CM432" s="616" t="str">
        <f t="shared" si="577"/>
        <v/>
      </c>
      <c r="CN432" s="616" t="str">
        <f>IF(ISNUMBER(P432),MAX('Adjustment factors'!$S$16,(0.2+0.8*P432)),IF(ISTEXT(N432),VLOOKUP(N432,Afactors,2,FALSE),""))</f>
        <v/>
      </c>
      <c r="CO432" s="616" t="str">
        <f>IF(ISNUMBER(S432),MAX('Adjustment factors'!$S$16,0.2+0.8*S432),IF(ISTEXT(Q432),VLOOKUP(Q432,Afactors,2,FALSE),""))</f>
        <v/>
      </c>
      <c r="CP432" s="611" t="str">
        <f t="shared" si="564"/>
        <v/>
      </c>
      <c r="CQ432" s="612" t="str">
        <f t="shared" si="565"/>
        <v/>
      </c>
      <c r="CR432" s="340"/>
      <c r="CS432" s="340"/>
      <c r="CT432" s="340"/>
      <c r="CU432" s="340"/>
      <c r="CV432" s="333"/>
      <c r="CW432" s="333"/>
      <c r="CX432" s="333"/>
      <c r="CY432" s="333"/>
      <c r="DA432" s="313" t="str">
        <f t="shared" si="547"/>
        <v>OK</v>
      </c>
      <c r="DB432" s="313" t="str">
        <f t="shared" si="548"/>
        <v>OK</v>
      </c>
      <c r="DC432" s="313" t="str">
        <f t="shared" si="549"/>
        <v>OK</v>
      </c>
      <c r="DD432" s="313" t="str">
        <f t="shared" si="550"/>
        <v>OK</v>
      </c>
      <c r="DE432" s="153" t="str">
        <f t="shared" si="551"/>
        <v>OK</v>
      </c>
      <c r="DF432" s="314" t="str">
        <f t="shared" si="552"/>
        <v>OK</v>
      </c>
      <c r="DG432" s="482" t="str">
        <f t="shared" si="566"/>
        <v>OK</v>
      </c>
      <c r="DH432" s="482" t="str">
        <f>IF(OR(AND(T432='Adjustment factors'!$R$28,'Class 3, 5-9'!U432='Adjustment factors'!$R$29),AND('Class 3, 5-9'!T432='Adjustment factors'!$R$29,'Class 3, 5-9'!U432='Adjustment factors'!$R$28)),"Invalid combination of adjustment factors",IF(AND(T432=U432,NOT(ISBLANK(T432)),NOT(ISBLANK(U432))),"Same colour factor selected twice","OK"))</f>
        <v>OK</v>
      </c>
      <c r="DI432" s="313" t="str">
        <f t="shared" si="553"/>
        <v>OK</v>
      </c>
      <c r="DJ432" s="153" t="str">
        <f t="shared" si="578"/>
        <v>OK</v>
      </c>
      <c r="DK432" s="153" t="str">
        <f t="shared" si="554"/>
        <v>OK</v>
      </c>
      <c r="DL432" s="313" t="str">
        <f t="shared" si="555"/>
        <v>OK</v>
      </c>
      <c r="DM432" s="153" t="str">
        <f t="shared" si="556"/>
        <v>OK</v>
      </c>
      <c r="DN432" s="153" t="str">
        <f t="shared" si="579"/>
        <v>OK</v>
      </c>
      <c r="DO432" s="154" t="str">
        <f t="shared" si="580"/>
        <v>OK</v>
      </c>
      <c r="DP432" s="153" t="str">
        <f t="shared" si="557"/>
        <v>OK</v>
      </c>
      <c r="DQ432" s="313" t="str">
        <f t="shared" si="558"/>
        <v>OK</v>
      </c>
      <c r="DR432" s="153" t="str">
        <f t="shared" si="581"/>
        <v>OK</v>
      </c>
      <c r="DS432" s="153" t="str">
        <f t="shared" si="559"/>
        <v>OK</v>
      </c>
      <c r="DT432" s="313" t="str">
        <f t="shared" si="567"/>
        <v>OK</v>
      </c>
      <c r="DU432" s="153" t="str">
        <f t="shared" si="560"/>
        <v>OK</v>
      </c>
      <c r="DV432" s="153" t="str">
        <f t="shared" si="582"/>
        <v>OK</v>
      </c>
      <c r="DW432" s="154" t="str">
        <f t="shared" si="583"/>
        <v>OK</v>
      </c>
      <c r="DX432" s="157">
        <f t="shared" si="584"/>
        <v>0</v>
      </c>
      <c r="DY432" s="156" t="str">
        <f t="shared" si="585"/>
        <v>OK</v>
      </c>
    </row>
    <row r="433" spans="1:129" ht="13" hidden="1" x14ac:dyDescent="0.3">
      <c r="A433" s="333"/>
      <c r="B433" s="333"/>
      <c r="C433" s="331" t="str">
        <f t="shared" si="568"/>
        <v>-</v>
      </c>
      <c r="D433" s="584">
        <f t="shared" si="492"/>
        <v>410</v>
      </c>
      <c r="E433" s="585"/>
      <c r="F433" s="586"/>
      <c r="G433" s="600"/>
      <c r="H433" s="587"/>
      <c r="I433" s="601"/>
      <c r="J433" s="585"/>
      <c r="K433" s="617"/>
      <c r="L433" s="602"/>
      <c r="M433" s="603"/>
      <c r="N433" s="588"/>
      <c r="O433" s="604"/>
      <c r="P433" s="605"/>
      <c r="Q433" s="588"/>
      <c r="R433" s="604"/>
      <c r="S433" s="605"/>
      <c r="T433" s="606"/>
      <c r="U433" s="606"/>
      <c r="V433" s="429" t="str">
        <f t="shared" si="590"/>
        <v/>
      </c>
      <c r="W433" s="430" t="str">
        <f t="shared" si="589"/>
        <v/>
      </c>
      <c r="X433" s="66" t="str">
        <f>IF(AND(ISNUMBER(P433),N433=FixedDim),MAX('Adjustment factors'!$S$16,0.2+0.8*P433),IF(ISTEXT(N433),VLOOKUP(N433,Afactors,2,TRUE),""))</f>
        <v/>
      </c>
      <c r="Y433" s="17" t="str">
        <f>IF(AND(ISNUMBER(S433),Q433=FixedDim),MAX('Adjustment factors'!$S$16,0.2+0.8*S433),IF(ISTEXT(Q433),VLOOKUP(Q433,Afactors,2,TRUE),""))</f>
        <v/>
      </c>
      <c r="Z433" s="297" t="str">
        <f>IF(ISBLANK(T433),"",VLOOKUP(T433,'Adjustment factors'!$R$27:$S$30,2,TRUE))</f>
        <v/>
      </c>
      <c r="AA433" s="297" t="str">
        <f>IF(ISBLANK(U433),"",VLOOKUP(U433,'Adjustment factors'!$R$27:$S$30,2,TRUE))</f>
        <v/>
      </c>
      <c r="AB433" s="480">
        <f t="shared" si="561"/>
        <v>1</v>
      </c>
      <c r="AC433" s="18" t="b">
        <f t="shared" si="518"/>
        <v>0</v>
      </c>
      <c r="AD433" s="18" t="b">
        <f t="shared" si="519"/>
        <v>0</v>
      </c>
      <c r="AE433" s="18" t="b">
        <f t="shared" si="586"/>
        <v>0</v>
      </c>
      <c r="AF433" s="17" t="str">
        <f t="shared" si="520"/>
        <v/>
      </c>
      <c r="AG433" s="18" t="str">
        <f t="shared" si="521"/>
        <v/>
      </c>
      <c r="AH433" s="17" t="str">
        <f t="shared" si="587"/>
        <v/>
      </c>
      <c r="AI433" s="297" t="e">
        <f t="shared" si="562"/>
        <v>#VALUE!</v>
      </c>
      <c r="AJ433" s="79" t="e">
        <f t="shared" si="522"/>
        <v>#VALUE!</v>
      </c>
      <c r="AK433" s="17" t="str">
        <f t="shared" si="588"/>
        <v/>
      </c>
      <c r="AL433" s="80" t="e">
        <f t="shared" si="523"/>
        <v>#VALUE!</v>
      </c>
      <c r="AM433" s="139" t="b">
        <f t="shared" si="524"/>
        <v>1</v>
      </c>
      <c r="AN433" s="139" t="b">
        <f>AND(COUNTA(E433)&gt;0,ISNUMBER(F433),OR(COUNT(G433:H433)=0,COUNT(G433:H433)=2,AND(ISNUMBER(G433),ISNUMBER(VALUE(LEFT(H433,SUM(LEN(H433)-LEN(SUBSTITUTE(H433,{"0","1","2","3","4","5","6","7","8","9","."},"")))))))),ISNUMBER(I433),ISTEXT(J433))</f>
        <v>0</v>
      </c>
      <c r="AO433" s="19" t="b">
        <f t="shared" si="525"/>
        <v>0</v>
      </c>
      <c r="AP433" s="19" t="b">
        <f t="shared" si="526"/>
        <v>1</v>
      </c>
      <c r="AQ433" s="19" t="b">
        <f>IF(AND(COUNTBLANK(E433:J433)=6,OR(AN434:AN$523)),NOT(AN433))</f>
        <v>0</v>
      </c>
      <c r="AR433" s="19" t="str">
        <f t="shared" si="527"/>
        <v/>
      </c>
      <c r="AS433" s="19" t="b">
        <f t="shared" si="528"/>
        <v>1</v>
      </c>
      <c r="AT433" s="19" t="str">
        <f t="shared" si="529"/>
        <v/>
      </c>
      <c r="AU433" s="19" t="b">
        <f t="shared" si="530"/>
        <v>1</v>
      </c>
      <c r="AV433" s="140" t="str">
        <f t="shared" si="570"/>
        <v/>
      </c>
      <c r="AW433" s="19" t="str">
        <f t="shared" si="531"/>
        <v/>
      </c>
      <c r="AX433" s="81">
        <f t="shared" si="532"/>
        <v>0</v>
      </c>
      <c r="AY433" s="81" t="str">
        <f t="shared" si="533"/>
        <v/>
      </c>
      <c r="AZ433" s="307" t="str">
        <f t="shared" si="563"/>
        <v/>
      </c>
      <c r="BA433" s="281" t="str">
        <f t="shared" si="571"/>
        <v/>
      </c>
      <c r="BB433" s="281" t="str">
        <f t="shared" si="572"/>
        <v/>
      </c>
      <c r="BC433" s="953"/>
      <c r="BD433" s="955"/>
      <c r="BE433" s="219" t="str">
        <f t="shared" si="534"/>
        <v>n/a</v>
      </c>
      <c r="BF433" s="215" t="b">
        <f t="shared" si="535"/>
        <v>0</v>
      </c>
      <c r="BG433" s="145" t="b">
        <f t="shared" si="536"/>
        <v>0</v>
      </c>
      <c r="BH433" s="145" t="b">
        <f t="shared" si="537"/>
        <v>0</v>
      </c>
      <c r="BI433" s="216" t="b">
        <f t="shared" si="538"/>
        <v>0</v>
      </c>
      <c r="BJ433" s="215" t="b">
        <f t="shared" si="539"/>
        <v>0</v>
      </c>
      <c r="BK433" s="145" t="b">
        <f t="shared" si="540"/>
        <v>0</v>
      </c>
      <c r="BL433" s="216" t="b">
        <f t="shared" si="541"/>
        <v>0</v>
      </c>
      <c r="BM433" s="217" t="str">
        <f t="shared" si="573"/>
        <v/>
      </c>
      <c r="BN433" s="146" t="str">
        <f t="shared" si="574"/>
        <v/>
      </c>
      <c r="BO433" s="147" t="str">
        <f t="shared" si="575"/>
        <v/>
      </c>
      <c r="BP433" s="148" t="str">
        <f t="shared" si="576"/>
        <v/>
      </c>
      <c r="BT433" s="50">
        <f t="shared" si="493"/>
        <v>410</v>
      </c>
      <c r="BU433" s="50" t="str">
        <f>IF(RowsPreferredOne&gt;=BT433,RowsPreferredOne,"-")</f>
        <v>-</v>
      </c>
      <c r="BW433" s="333"/>
      <c r="BX433" s="333"/>
      <c r="BY433" s="333"/>
      <c r="BZ433" s="333"/>
      <c r="CA433" s="333"/>
      <c r="CB433" s="333"/>
      <c r="CC433" s="333"/>
      <c r="CD433" s="333"/>
      <c r="CE433" s="333"/>
      <c r="CF433" s="333"/>
      <c r="CG433" s="354">
        <f t="shared" si="542"/>
        <v>410</v>
      </c>
      <c r="CH433" s="613">
        <f t="shared" si="543"/>
        <v>0</v>
      </c>
      <c r="CI433" s="613">
        <f t="shared" si="544"/>
        <v>0</v>
      </c>
      <c r="CJ433" s="614" t="str">
        <f t="shared" si="545"/>
        <v/>
      </c>
      <c r="CK433" s="615" t="str">
        <f t="shared" si="546"/>
        <v/>
      </c>
      <c r="CL433" s="610" t="str">
        <f>IF(ISBLANK(H433),"",IF(AND(ISNUMBER(F433),ISNUMBER(G433),ISNUMBER(H433)),ROUND(F433/(H433*G433),2),ROUND(F433/(VALUE(LEFT(H433,SUM(LEN(H433)-LEN(SUBSTITUTE(H433,{"0","1","2","3","4","5","6","7","8","9","."},"")))))*G433),2)))</f>
        <v/>
      </c>
      <c r="CM433" s="616" t="str">
        <f t="shared" si="577"/>
        <v/>
      </c>
      <c r="CN433" s="616" t="str">
        <f>IF(ISNUMBER(P433),MAX('Adjustment factors'!$S$16,(0.2+0.8*P433)),IF(ISTEXT(N433),VLOOKUP(N433,Afactors,2,FALSE),""))</f>
        <v/>
      </c>
      <c r="CO433" s="616" t="str">
        <f>IF(ISNUMBER(S433),MAX('Adjustment factors'!$S$16,0.2+0.8*S433),IF(ISTEXT(Q433),VLOOKUP(Q433,Afactors,2,FALSE),""))</f>
        <v/>
      </c>
      <c r="CP433" s="611" t="str">
        <f t="shared" si="564"/>
        <v/>
      </c>
      <c r="CQ433" s="612" t="str">
        <f t="shared" si="565"/>
        <v/>
      </c>
      <c r="CR433" s="340"/>
      <c r="CS433" s="340"/>
      <c r="CT433" s="340"/>
      <c r="CU433" s="340"/>
      <c r="CV433" s="333"/>
      <c r="CW433" s="333"/>
      <c r="CX433" s="333"/>
      <c r="CY433" s="333"/>
      <c r="DA433" s="313" t="str">
        <f t="shared" si="547"/>
        <v>OK</v>
      </c>
      <c r="DB433" s="313" t="str">
        <f t="shared" si="548"/>
        <v>OK</v>
      </c>
      <c r="DC433" s="313" t="str">
        <f t="shared" si="549"/>
        <v>OK</v>
      </c>
      <c r="DD433" s="313" t="str">
        <f t="shared" si="550"/>
        <v>OK</v>
      </c>
      <c r="DE433" s="153" t="str">
        <f t="shared" si="551"/>
        <v>OK</v>
      </c>
      <c r="DF433" s="314" t="str">
        <f t="shared" si="552"/>
        <v>OK</v>
      </c>
      <c r="DG433" s="482" t="str">
        <f t="shared" si="566"/>
        <v>OK</v>
      </c>
      <c r="DH433" s="482" t="str">
        <f>IF(OR(AND(T433='Adjustment factors'!$R$28,'Class 3, 5-9'!U433='Adjustment factors'!$R$29),AND('Class 3, 5-9'!T433='Adjustment factors'!$R$29,'Class 3, 5-9'!U433='Adjustment factors'!$R$28)),"Invalid combination of adjustment factors",IF(AND(T433=U433,NOT(ISBLANK(T433)),NOT(ISBLANK(U433))),"Same colour factor selected twice","OK"))</f>
        <v>OK</v>
      </c>
      <c r="DI433" s="313" t="str">
        <f t="shared" si="553"/>
        <v>OK</v>
      </c>
      <c r="DJ433" s="153" t="str">
        <f t="shared" si="578"/>
        <v>OK</v>
      </c>
      <c r="DK433" s="153" t="str">
        <f t="shared" si="554"/>
        <v>OK</v>
      </c>
      <c r="DL433" s="313" t="str">
        <f t="shared" si="555"/>
        <v>OK</v>
      </c>
      <c r="DM433" s="153" t="str">
        <f t="shared" si="556"/>
        <v>OK</v>
      </c>
      <c r="DN433" s="153" t="str">
        <f t="shared" si="579"/>
        <v>OK</v>
      </c>
      <c r="DO433" s="154" t="str">
        <f t="shared" si="580"/>
        <v>OK</v>
      </c>
      <c r="DP433" s="153" t="str">
        <f t="shared" si="557"/>
        <v>OK</v>
      </c>
      <c r="DQ433" s="313" t="str">
        <f t="shared" si="558"/>
        <v>OK</v>
      </c>
      <c r="DR433" s="153" t="str">
        <f t="shared" si="581"/>
        <v>OK</v>
      </c>
      <c r="DS433" s="153" t="str">
        <f t="shared" si="559"/>
        <v>OK</v>
      </c>
      <c r="DT433" s="313" t="str">
        <f t="shared" si="567"/>
        <v>OK</v>
      </c>
      <c r="DU433" s="153" t="str">
        <f t="shared" si="560"/>
        <v>OK</v>
      </c>
      <c r="DV433" s="153" t="str">
        <f t="shared" si="582"/>
        <v>OK</v>
      </c>
      <c r="DW433" s="154" t="str">
        <f t="shared" si="583"/>
        <v>OK</v>
      </c>
      <c r="DX433" s="157">
        <f t="shared" si="584"/>
        <v>0</v>
      </c>
      <c r="DY433" s="156" t="str">
        <f t="shared" si="585"/>
        <v>OK</v>
      </c>
    </row>
    <row r="434" spans="1:129" ht="13" hidden="1" x14ac:dyDescent="0.3">
      <c r="A434" s="333"/>
      <c r="B434" s="333"/>
      <c r="C434" s="331" t="str">
        <f t="shared" si="568"/>
        <v>-</v>
      </c>
      <c r="D434" s="584">
        <f t="shared" si="492"/>
        <v>411</v>
      </c>
      <c r="E434" s="585"/>
      <c r="F434" s="586"/>
      <c r="G434" s="600"/>
      <c r="H434" s="587"/>
      <c r="I434" s="601"/>
      <c r="J434" s="585"/>
      <c r="K434" s="617"/>
      <c r="L434" s="602"/>
      <c r="M434" s="603"/>
      <c r="N434" s="588"/>
      <c r="O434" s="604"/>
      <c r="P434" s="605"/>
      <c r="Q434" s="588"/>
      <c r="R434" s="604"/>
      <c r="S434" s="605"/>
      <c r="T434" s="606"/>
      <c r="U434" s="606"/>
      <c r="V434" s="429" t="str">
        <f t="shared" si="590"/>
        <v/>
      </c>
      <c r="W434" s="430" t="str">
        <f t="shared" si="589"/>
        <v/>
      </c>
      <c r="X434" s="66" t="str">
        <f>IF(AND(ISNUMBER(P434),N434=FixedDim),MAX('Adjustment factors'!$S$16,0.2+0.8*P434),IF(ISTEXT(N434),VLOOKUP(N434,Afactors,2,TRUE),""))</f>
        <v/>
      </c>
      <c r="Y434" s="17" t="str">
        <f>IF(AND(ISNUMBER(S434),Q434=FixedDim),MAX('Adjustment factors'!$S$16,0.2+0.8*S434),IF(ISTEXT(Q434),VLOOKUP(Q434,Afactors,2,TRUE),""))</f>
        <v/>
      </c>
      <c r="Z434" s="297" t="str">
        <f>IF(ISBLANK(T434),"",VLOOKUP(T434,'Adjustment factors'!$R$27:$S$30,2,TRUE))</f>
        <v/>
      </c>
      <c r="AA434" s="297" t="str">
        <f>IF(ISBLANK(U434),"",VLOOKUP(U434,'Adjustment factors'!$R$27:$S$30,2,TRUE))</f>
        <v/>
      </c>
      <c r="AB434" s="480">
        <f t="shared" si="561"/>
        <v>1</v>
      </c>
      <c r="AC434" s="18" t="b">
        <f t="shared" si="518"/>
        <v>0</v>
      </c>
      <c r="AD434" s="18" t="b">
        <f t="shared" si="519"/>
        <v>0</v>
      </c>
      <c r="AE434" s="18" t="b">
        <f t="shared" si="586"/>
        <v>0</v>
      </c>
      <c r="AF434" s="17" t="str">
        <f t="shared" si="520"/>
        <v/>
      </c>
      <c r="AG434" s="18" t="str">
        <f t="shared" si="521"/>
        <v/>
      </c>
      <c r="AH434" s="17" t="str">
        <f t="shared" si="587"/>
        <v/>
      </c>
      <c r="AI434" s="297" t="e">
        <f t="shared" si="562"/>
        <v>#VALUE!</v>
      </c>
      <c r="AJ434" s="79" t="e">
        <f t="shared" si="522"/>
        <v>#VALUE!</v>
      </c>
      <c r="AK434" s="17" t="str">
        <f t="shared" si="588"/>
        <v/>
      </c>
      <c r="AL434" s="80" t="e">
        <f t="shared" si="523"/>
        <v>#VALUE!</v>
      </c>
      <c r="AM434" s="139" t="b">
        <f t="shared" si="524"/>
        <v>1</v>
      </c>
      <c r="AN434" s="139" t="b">
        <f>AND(COUNTA(E434)&gt;0,ISNUMBER(F434),OR(COUNT(G434:H434)=0,COUNT(G434:H434)=2,AND(ISNUMBER(G434),ISNUMBER(VALUE(LEFT(H434,SUM(LEN(H434)-LEN(SUBSTITUTE(H434,{"0","1","2","3","4","5","6","7","8","9","."},"")))))))),ISNUMBER(I434),ISTEXT(J434))</f>
        <v>0</v>
      </c>
      <c r="AO434" s="19" t="b">
        <f t="shared" si="525"/>
        <v>0</v>
      </c>
      <c r="AP434" s="19" t="b">
        <f t="shared" si="526"/>
        <v>1</v>
      </c>
      <c r="AQ434" s="19" t="b">
        <f>IF(AND(COUNTBLANK(E434:J434)=6,OR(AN435:AN$523)),NOT(AN434))</f>
        <v>0</v>
      </c>
      <c r="AR434" s="19" t="str">
        <f t="shared" si="527"/>
        <v/>
      </c>
      <c r="AS434" s="19" t="b">
        <f t="shared" si="528"/>
        <v>1</v>
      </c>
      <c r="AT434" s="19" t="str">
        <f t="shared" si="529"/>
        <v/>
      </c>
      <c r="AU434" s="19" t="b">
        <f t="shared" si="530"/>
        <v>1</v>
      </c>
      <c r="AV434" s="140" t="str">
        <f t="shared" si="570"/>
        <v/>
      </c>
      <c r="AW434" s="19" t="str">
        <f t="shared" si="531"/>
        <v/>
      </c>
      <c r="AX434" s="81">
        <f t="shared" si="532"/>
        <v>0</v>
      </c>
      <c r="AY434" s="81" t="str">
        <f t="shared" si="533"/>
        <v/>
      </c>
      <c r="AZ434" s="307" t="str">
        <f t="shared" si="563"/>
        <v/>
      </c>
      <c r="BA434" s="281" t="str">
        <f t="shared" si="571"/>
        <v/>
      </c>
      <c r="BB434" s="281" t="str">
        <f t="shared" si="572"/>
        <v/>
      </c>
      <c r="BC434" s="953"/>
      <c r="BD434" s="955"/>
      <c r="BE434" s="219" t="str">
        <f t="shared" si="534"/>
        <v>n/a</v>
      </c>
      <c r="BF434" s="215" t="b">
        <f t="shared" si="535"/>
        <v>0</v>
      </c>
      <c r="BG434" s="145" t="b">
        <f t="shared" si="536"/>
        <v>0</v>
      </c>
      <c r="BH434" s="145" t="b">
        <f t="shared" si="537"/>
        <v>0</v>
      </c>
      <c r="BI434" s="216" t="b">
        <f t="shared" si="538"/>
        <v>0</v>
      </c>
      <c r="BJ434" s="215" t="b">
        <f t="shared" si="539"/>
        <v>0</v>
      </c>
      <c r="BK434" s="145" t="b">
        <f t="shared" si="540"/>
        <v>0</v>
      </c>
      <c r="BL434" s="216" t="b">
        <f t="shared" si="541"/>
        <v>0</v>
      </c>
      <c r="BM434" s="217" t="str">
        <f t="shared" si="573"/>
        <v/>
      </c>
      <c r="BN434" s="146" t="str">
        <f t="shared" si="574"/>
        <v/>
      </c>
      <c r="BO434" s="147" t="str">
        <f t="shared" si="575"/>
        <v/>
      </c>
      <c r="BP434" s="148" t="str">
        <f t="shared" si="576"/>
        <v/>
      </c>
      <c r="BT434" s="50">
        <f t="shared" si="493"/>
        <v>411</v>
      </c>
      <c r="BU434" s="50" t="str">
        <f t="shared" ref="BU434:BU497" si="592">IF(RowsPreferredOne&gt;=BT434,RowsPreferredOne,"-")</f>
        <v>-</v>
      </c>
      <c r="BW434" s="333"/>
      <c r="BX434" s="333"/>
      <c r="BY434" s="333"/>
      <c r="BZ434" s="333"/>
      <c r="CA434" s="333"/>
      <c r="CB434" s="333"/>
      <c r="CC434" s="333"/>
      <c r="CD434" s="333"/>
      <c r="CE434" s="333"/>
      <c r="CF434" s="333"/>
      <c r="CG434" s="354">
        <f t="shared" si="542"/>
        <v>411</v>
      </c>
      <c r="CH434" s="613">
        <f t="shared" si="543"/>
        <v>0</v>
      </c>
      <c r="CI434" s="613">
        <f t="shared" si="544"/>
        <v>0</v>
      </c>
      <c r="CJ434" s="614" t="str">
        <f t="shared" si="545"/>
        <v/>
      </c>
      <c r="CK434" s="615" t="str">
        <f t="shared" si="546"/>
        <v/>
      </c>
      <c r="CL434" s="610" t="str">
        <f>IF(ISBLANK(H434),"",IF(AND(ISNUMBER(F434),ISNUMBER(G434),ISNUMBER(H434)),ROUND(F434/(H434*G434),2),ROUND(F434/(VALUE(LEFT(H434,SUM(LEN(H434)-LEN(SUBSTITUTE(H434,{"0","1","2","3","4","5","6","7","8","9","."},"")))))*G434),2)))</f>
        <v/>
      </c>
      <c r="CM434" s="616" t="str">
        <f t="shared" si="577"/>
        <v/>
      </c>
      <c r="CN434" s="616" t="str">
        <f>IF(ISNUMBER(P434),MAX('Adjustment factors'!$S$16,(0.2+0.8*P434)),IF(ISTEXT(N434),VLOOKUP(N434,Afactors,2,FALSE),""))</f>
        <v/>
      </c>
      <c r="CO434" s="616" t="str">
        <f>IF(ISNUMBER(S434),MAX('Adjustment factors'!$S$16,0.2+0.8*S434),IF(ISTEXT(Q434),VLOOKUP(Q434,Afactors,2,FALSE),""))</f>
        <v/>
      </c>
      <c r="CP434" s="611" t="str">
        <f t="shared" si="564"/>
        <v/>
      </c>
      <c r="CQ434" s="612" t="str">
        <f t="shared" si="565"/>
        <v/>
      </c>
      <c r="CR434" s="340"/>
      <c r="CS434" s="340"/>
      <c r="CT434" s="340"/>
      <c r="CU434" s="340"/>
      <c r="CV434" s="333"/>
      <c r="CW434" s="333"/>
      <c r="CX434" s="333"/>
      <c r="CY434" s="333"/>
      <c r="DA434" s="313" t="str">
        <f t="shared" si="547"/>
        <v>OK</v>
      </c>
      <c r="DB434" s="313" t="str">
        <f t="shared" si="548"/>
        <v>OK</v>
      </c>
      <c r="DC434" s="313" t="str">
        <f t="shared" si="549"/>
        <v>OK</v>
      </c>
      <c r="DD434" s="313" t="str">
        <f t="shared" si="550"/>
        <v>OK</v>
      </c>
      <c r="DE434" s="153" t="str">
        <f t="shared" si="551"/>
        <v>OK</v>
      </c>
      <c r="DF434" s="314" t="str">
        <f t="shared" si="552"/>
        <v>OK</v>
      </c>
      <c r="DG434" s="482" t="str">
        <f t="shared" si="566"/>
        <v>OK</v>
      </c>
      <c r="DH434" s="482" t="str">
        <f>IF(OR(AND(T434='Adjustment factors'!$R$28,'Class 3, 5-9'!U434='Adjustment factors'!$R$29),AND('Class 3, 5-9'!T434='Adjustment factors'!$R$29,'Class 3, 5-9'!U434='Adjustment factors'!$R$28)),"Invalid combination of adjustment factors",IF(AND(T434=U434,NOT(ISBLANK(T434)),NOT(ISBLANK(U434))),"Same colour factor selected twice","OK"))</f>
        <v>OK</v>
      </c>
      <c r="DI434" s="313" t="str">
        <f t="shared" si="553"/>
        <v>OK</v>
      </c>
      <c r="DJ434" s="153" t="str">
        <f t="shared" si="578"/>
        <v>OK</v>
      </c>
      <c r="DK434" s="153" t="str">
        <f t="shared" si="554"/>
        <v>OK</v>
      </c>
      <c r="DL434" s="313" t="str">
        <f t="shared" si="555"/>
        <v>OK</v>
      </c>
      <c r="DM434" s="153" t="str">
        <f t="shared" si="556"/>
        <v>OK</v>
      </c>
      <c r="DN434" s="153" t="str">
        <f t="shared" si="579"/>
        <v>OK</v>
      </c>
      <c r="DO434" s="154" t="str">
        <f t="shared" si="580"/>
        <v>OK</v>
      </c>
      <c r="DP434" s="153" t="str">
        <f t="shared" si="557"/>
        <v>OK</v>
      </c>
      <c r="DQ434" s="313" t="str">
        <f t="shared" si="558"/>
        <v>OK</v>
      </c>
      <c r="DR434" s="153" t="str">
        <f t="shared" si="581"/>
        <v>OK</v>
      </c>
      <c r="DS434" s="153" t="str">
        <f t="shared" si="559"/>
        <v>OK</v>
      </c>
      <c r="DT434" s="313" t="str">
        <f t="shared" si="567"/>
        <v>OK</v>
      </c>
      <c r="DU434" s="153" t="str">
        <f t="shared" si="560"/>
        <v>OK</v>
      </c>
      <c r="DV434" s="153" t="str">
        <f t="shared" si="582"/>
        <v>OK</v>
      </c>
      <c r="DW434" s="154" t="str">
        <f t="shared" si="583"/>
        <v>OK</v>
      </c>
      <c r="DX434" s="157">
        <f t="shared" si="584"/>
        <v>0</v>
      </c>
      <c r="DY434" s="156" t="str">
        <f t="shared" si="585"/>
        <v>OK</v>
      </c>
    </row>
    <row r="435" spans="1:129" ht="13" hidden="1" x14ac:dyDescent="0.3">
      <c r="A435" s="333"/>
      <c r="B435" s="333"/>
      <c r="C435" s="331" t="str">
        <f>BU435</f>
        <v>-</v>
      </c>
      <c r="D435" s="584">
        <f t="shared" si="492"/>
        <v>412</v>
      </c>
      <c r="E435" s="585"/>
      <c r="F435" s="586"/>
      <c r="G435" s="600"/>
      <c r="H435" s="587"/>
      <c r="I435" s="601"/>
      <c r="J435" s="585"/>
      <c r="K435" s="617"/>
      <c r="L435" s="602"/>
      <c r="M435" s="603"/>
      <c r="N435" s="588"/>
      <c r="O435" s="604"/>
      <c r="P435" s="605"/>
      <c r="Q435" s="588"/>
      <c r="R435" s="604"/>
      <c r="S435" s="605"/>
      <c r="T435" s="606"/>
      <c r="U435" s="606"/>
      <c r="V435" s="429" t="str">
        <f t="shared" si="590"/>
        <v/>
      </c>
      <c r="W435" s="430" t="str">
        <f t="shared" si="589"/>
        <v/>
      </c>
      <c r="X435" s="66" t="str">
        <f>IF(AND(ISNUMBER(P435),N435=FixedDim),MAX('Adjustment factors'!$S$16,0.2+0.8*P435),IF(ISTEXT(N435),VLOOKUP(N435,Afactors,2,TRUE),""))</f>
        <v/>
      </c>
      <c r="Y435" s="17" t="str">
        <f>IF(AND(ISNUMBER(S435),Q435=FixedDim),MAX('Adjustment factors'!$S$16,0.2+0.8*S435),IF(ISTEXT(Q435),VLOOKUP(Q435,Afactors,2,TRUE),""))</f>
        <v/>
      </c>
      <c r="Z435" s="297" t="str">
        <f>IF(ISBLANK(T435),"",VLOOKUP(T435,'Adjustment factors'!$R$27:$S$30,2,TRUE))</f>
        <v/>
      </c>
      <c r="AA435" s="297" t="str">
        <f>IF(ISBLANK(U435),"",VLOOKUP(U435,'Adjustment factors'!$R$27:$S$30,2,TRUE))</f>
        <v/>
      </c>
      <c r="AB435" s="480">
        <f t="shared" si="561"/>
        <v>1</v>
      </c>
      <c r="AC435" s="18" t="b">
        <f t="shared" si="518"/>
        <v>0</v>
      </c>
      <c r="AD435" s="18" t="b">
        <f t="shared" si="519"/>
        <v>0</v>
      </c>
      <c r="AE435" s="18" t="b">
        <f t="shared" si="586"/>
        <v>0</v>
      </c>
      <c r="AF435" s="17" t="str">
        <f t="shared" si="520"/>
        <v/>
      </c>
      <c r="AG435" s="18" t="str">
        <f t="shared" si="521"/>
        <v/>
      </c>
      <c r="AH435" s="17" t="str">
        <f t="shared" si="587"/>
        <v/>
      </c>
      <c r="AI435" s="297" t="e">
        <f t="shared" si="562"/>
        <v>#VALUE!</v>
      </c>
      <c r="AJ435" s="79" t="e">
        <f t="shared" si="522"/>
        <v>#VALUE!</v>
      </c>
      <c r="AK435" s="17" t="str">
        <f t="shared" si="588"/>
        <v/>
      </c>
      <c r="AL435" s="80" t="e">
        <f t="shared" si="523"/>
        <v>#VALUE!</v>
      </c>
      <c r="AM435" s="139" t="b">
        <f t="shared" si="524"/>
        <v>1</v>
      </c>
      <c r="AN435" s="139" t="b">
        <f>AND(COUNTA(E435)&gt;0,ISNUMBER(F435),OR(COUNT(G435:H435)=0,COUNT(G435:H435)=2,AND(ISNUMBER(G435),ISNUMBER(VALUE(LEFT(H435,SUM(LEN(H435)-LEN(SUBSTITUTE(H435,{"0","1","2","3","4","5","6","7","8","9","."},"")))))))),ISNUMBER(I435),ISTEXT(J435))</f>
        <v>0</v>
      </c>
      <c r="AO435" s="19" t="b">
        <f t="shared" si="525"/>
        <v>0</v>
      </c>
      <c r="AP435" s="19" t="b">
        <f t="shared" si="526"/>
        <v>1</v>
      </c>
      <c r="AQ435" s="19" t="b">
        <f>IF(AND(COUNTBLANK(E435:J435)=6,OR(AN436:AN$523)),NOT(AN435))</f>
        <v>0</v>
      </c>
      <c r="AR435" s="19" t="str">
        <f t="shared" si="527"/>
        <v/>
      </c>
      <c r="AS435" s="19" t="b">
        <f t="shared" si="528"/>
        <v>1</v>
      </c>
      <c r="AT435" s="19" t="str">
        <f t="shared" si="529"/>
        <v/>
      </c>
      <c r="AU435" s="19" t="b">
        <f t="shared" si="530"/>
        <v>1</v>
      </c>
      <c r="AV435" s="140" t="str">
        <f t="shared" si="570"/>
        <v/>
      </c>
      <c r="AW435" s="19" t="str">
        <f t="shared" si="531"/>
        <v/>
      </c>
      <c r="AX435" s="81">
        <f t="shared" si="532"/>
        <v>0</v>
      </c>
      <c r="AY435" s="81" t="str">
        <f t="shared" si="533"/>
        <v/>
      </c>
      <c r="AZ435" s="307" t="str">
        <f t="shared" si="563"/>
        <v/>
      </c>
      <c r="BA435" s="281" t="str">
        <f t="shared" si="571"/>
        <v/>
      </c>
      <c r="BB435" s="281" t="str">
        <f t="shared" si="572"/>
        <v/>
      </c>
      <c r="BC435" s="953"/>
      <c r="BD435" s="955"/>
      <c r="BE435" s="219" t="str">
        <f t="shared" si="534"/>
        <v>n/a</v>
      </c>
      <c r="BF435" s="215" t="b">
        <f t="shared" si="535"/>
        <v>0</v>
      </c>
      <c r="BG435" s="145" t="b">
        <f t="shared" si="536"/>
        <v>0</v>
      </c>
      <c r="BH435" s="145" t="b">
        <f t="shared" si="537"/>
        <v>0</v>
      </c>
      <c r="BI435" s="216" t="b">
        <f t="shared" si="538"/>
        <v>0</v>
      </c>
      <c r="BJ435" s="215" t="b">
        <f t="shared" si="539"/>
        <v>0</v>
      </c>
      <c r="BK435" s="145" t="b">
        <f t="shared" si="540"/>
        <v>0</v>
      </c>
      <c r="BL435" s="216" t="b">
        <f t="shared" si="541"/>
        <v>0</v>
      </c>
      <c r="BM435" s="217" t="str">
        <f t="shared" si="573"/>
        <v/>
      </c>
      <c r="BN435" s="146" t="str">
        <f t="shared" si="574"/>
        <v/>
      </c>
      <c r="BO435" s="147" t="str">
        <f t="shared" si="575"/>
        <v/>
      </c>
      <c r="BP435" s="148" t="str">
        <f t="shared" si="576"/>
        <v/>
      </c>
      <c r="BT435" s="50">
        <f t="shared" si="493"/>
        <v>412</v>
      </c>
      <c r="BU435" s="50" t="str">
        <f t="shared" si="592"/>
        <v>-</v>
      </c>
      <c r="BW435" s="333"/>
      <c r="BX435" s="333"/>
      <c r="BY435" s="333"/>
      <c r="BZ435" s="333"/>
      <c r="CA435" s="333"/>
      <c r="CB435" s="333"/>
      <c r="CC435" s="333"/>
      <c r="CD435" s="333"/>
      <c r="CE435" s="333"/>
      <c r="CF435" s="333"/>
      <c r="CG435" s="354">
        <f t="shared" si="542"/>
        <v>412</v>
      </c>
      <c r="CH435" s="613">
        <f t="shared" si="543"/>
        <v>0</v>
      </c>
      <c r="CI435" s="613">
        <f t="shared" si="544"/>
        <v>0</v>
      </c>
      <c r="CJ435" s="614" t="str">
        <f t="shared" si="545"/>
        <v/>
      </c>
      <c r="CK435" s="615" t="str">
        <f t="shared" si="546"/>
        <v/>
      </c>
      <c r="CL435" s="610" t="str">
        <f>IF(ISBLANK(H435),"",IF(AND(ISNUMBER(F435),ISNUMBER(G435),ISNUMBER(H435)),ROUND(F435/(H435*G435),2),ROUND(F435/(VALUE(LEFT(H435,SUM(LEN(H435)-LEN(SUBSTITUTE(H435,{"0","1","2","3","4","5","6","7","8","9","."},"")))))*G435),2)))</f>
        <v/>
      </c>
      <c r="CM435" s="616" t="str">
        <f t="shared" si="577"/>
        <v/>
      </c>
      <c r="CN435" s="616" t="str">
        <f>IF(ISNUMBER(P435),MAX('Adjustment factors'!$S$16,(0.2+0.8*P435)),IF(ISTEXT(N435),VLOOKUP(N435,Afactors,2,FALSE),""))</f>
        <v/>
      </c>
      <c r="CO435" s="616" t="str">
        <f>IF(ISNUMBER(S435),MAX('Adjustment factors'!$S$16,0.2+0.8*S435),IF(ISTEXT(Q435),VLOOKUP(Q435,Afactors,2,FALSE),""))</f>
        <v/>
      </c>
      <c r="CP435" s="611" t="str">
        <f t="shared" si="564"/>
        <v/>
      </c>
      <c r="CQ435" s="612" t="str">
        <f t="shared" si="565"/>
        <v/>
      </c>
      <c r="CR435" s="340"/>
      <c r="CS435" s="340"/>
      <c r="CT435" s="340"/>
      <c r="CU435" s="340"/>
      <c r="CV435" s="333"/>
      <c r="CW435" s="333"/>
      <c r="CX435" s="333"/>
      <c r="CY435" s="333"/>
      <c r="DA435" s="313" t="str">
        <f t="shared" si="547"/>
        <v>OK</v>
      </c>
      <c r="DB435" s="313" t="str">
        <f t="shared" si="548"/>
        <v>OK</v>
      </c>
      <c r="DC435" s="313" t="str">
        <f t="shared" si="549"/>
        <v>OK</v>
      </c>
      <c r="DD435" s="313" t="str">
        <f t="shared" si="550"/>
        <v>OK</v>
      </c>
      <c r="DE435" s="153" t="str">
        <f t="shared" si="551"/>
        <v>OK</v>
      </c>
      <c r="DF435" s="314" t="str">
        <f t="shared" si="552"/>
        <v>OK</v>
      </c>
      <c r="DG435" s="482" t="str">
        <f t="shared" si="566"/>
        <v>OK</v>
      </c>
      <c r="DH435" s="482" t="str">
        <f>IF(OR(AND(T435='Adjustment factors'!$R$28,'Class 3, 5-9'!U435='Adjustment factors'!$R$29),AND('Class 3, 5-9'!T435='Adjustment factors'!$R$29,'Class 3, 5-9'!U435='Adjustment factors'!$R$28)),"Invalid combination of adjustment factors",IF(AND(T435=U435,NOT(ISBLANK(T435)),NOT(ISBLANK(U435))),"Same colour factor selected twice","OK"))</f>
        <v>OK</v>
      </c>
      <c r="DI435" s="313" t="str">
        <f t="shared" si="553"/>
        <v>OK</v>
      </c>
      <c r="DJ435" s="153" t="str">
        <f t="shared" si="578"/>
        <v>OK</v>
      </c>
      <c r="DK435" s="153" t="str">
        <f t="shared" si="554"/>
        <v>OK</v>
      </c>
      <c r="DL435" s="313" t="str">
        <f t="shared" si="555"/>
        <v>OK</v>
      </c>
      <c r="DM435" s="153" t="str">
        <f t="shared" si="556"/>
        <v>OK</v>
      </c>
      <c r="DN435" s="153" t="str">
        <f t="shared" si="579"/>
        <v>OK</v>
      </c>
      <c r="DO435" s="154" t="str">
        <f t="shared" si="580"/>
        <v>OK</v>
      </c>
      <c r="DP435" s="153" t="str">
        <f t="shared" si="557"/>
        <v>OK</v>
      </c>
      <c r="DQ435" s="313" t="str">
        <f t="shared" si="558"/>
        <v>OK</v>
      </c>
      <c r="DR435" s="153" t="str">
        <f t="shared" si="581"/>
        <v>OK</v>
      </c>
      <c r="DS435" s="153" t="str">
        <f t="shared" si="559"/>
        <v>OK</v>
      </c>
      <c r="DT435" s="313" t="str">
        <f t="shared" si="567"/>
        <v>OK</v>
      </c>
      <c r="DU435" s="153" t="str">
        <f t="shared" si="560"/>
        <v>OK</v>
      </c>
      <c r="DV435" s="153" t="str">
        <f t="shared" si="582"/>
        <v>OK</v>
      </c>
      <c r="DW435" s="154" t="str">
        <f t="shared" si="583"/>
        <v>OK</v>
      </c>
      <c r="DX435" s="157">
        <f t="shared" si="584"/>
        <v>0</v>
      </c>
      <c r="DY435" s="156" t="str">
        <f t="shared" si="585"/>
        <v>OK</v>
      </c>
    </row>
    <row r="436" spans="1:129" ht="13" hidden="1" x14ac:dyDescent="0.3">
      <c r="A436" s="333"/>
      <c r="B436" s="333"/>
      <c r="C436" s="331" t="str">
        <f t="shared" ref="C436:C499" si="593">BU436</f>
        <v>-</v>
      </c>
      <c r="D436" s="584">
        <f t="shared" si="492"/>
        <v>413</v>
      </c>
      <c r="E436" s="585"/>
      <c r="F436" s="586"/>
      <c r="G436" s="600"/>
      <c r="H436" s="587"/>
      <c r="I436" s="601"/>
      <c r="J436" s="585"/>
      <c r="K436" s="617"/>
      <c r="L436" s="602"/>
      <c r="M436" s="603"/>
      <c r="N436" s="588"/>
      <c r="O436" s="604"/>
      <c r="P436" s="605"/>
      <c r="Q436" s="588"/>
      <c r="R436" s="604"/>
      <c r="S436" s="605"/>
      <c r="T436" s="606"/>
      <c r="U436" s="606"/>
      <c r="V436" s="429" t="str">
        <f t="shared" si="590"/>
        <v/>
      </c>
      <c r="W436" s="430" t="str">
        <f t="shared" si="589"/>
        <v/>
      </c>
      <c r="X436" s="66" t="str">
        <f>IF(AND(ISNUMBER(P436),N436=FixedDim),MAX('Adjustment factors'!$S$16,0.2+0.8*P436),IF(ISTEXT(N436),VLOOKUP(N436,Afactors,2,TRUE),""))</f>
        <v/>
      </c>
      <c r="Y436" s="17" t="str">
        <f>IF(AND(ISNUMBER(S436),Q436=FixedDim),MAX('Adjustment factors'!$S$16,0.2+0.8*S436),IF(ISTEXT(Q436),VLOOKUP(Q436,Afactors,2,TRUE),""))</f>
        <v/>
      </c>
      <c r="Z436" s="297" t="str">
        <f>IF(ISBLANK(T436),"",VLOOKUP(T436,'Adjustment factors'!$R$27:$S$30,2,TRUE))</f>
        <v/>
      </c>
      <c r="AA436" s="297" t="str">
        <f>IF(ISBLANK(U436),"",VLOOKUP(U436,'Adjustment factors'!$R$27:$S$30,2,TRUE))</f>
        <v/>
      </c>
      <c r="AB436" s="480">
        <f t="shared" si="561"/>
        <v>1</v>
      </c>
      <c r="AC436" s="18" t="b">
        <f t="shared" si="518"/>
        <v>0</v>
      </c>
      <c r="AD436" s="18" t="b">
        <f t="shared" si="519"/>
        <v>0</v>
      </c>
      <c r="AE436" s="18" t="b">
        <f t="shared" si="586"/>
        <v>0</v>
      </c>
      <c r="AF436" s="17" t="str">
        <f t="shared" si="520"/>
        <v/>
      </c>
      <c r="AG436" s="18" t="str">
        <f t="shared" si="521"/>
        <v/>
      </c>
      <c r="AH436" s="17" t="str">
        <f t="shared" si="587"/>
        <v/>
      </c>
      <c r="AI436" s="297" t="e">
        <f t="shared" si="562"/>
        <v>#VALUE!</v>
      </c>
      <c r="AJ436" s="79" t="e">
        <f t="shared" si="522"/>
        <v>#VALUE!</v>
      </c>
      <c r="AK436" s="17" t="str">
        <f t="shared" si="588"/>
        <v/>
      </c>
      <c r="AL436" s="80" t="e">
        <f t="shared" si="523"/>
        <v>#VALUE!</v>
      </c>
      <c r="AM436" s="139" t="b">
        <f t="shared" si="524"/>
        <v>1</v>
      </c>
      <c r="AN436" s="139" t="b">
        <f>AND(COUNTA(E436)&gt;0,ISNUMBER(F436),OR(COUNT(G436:H436)=0,COUNT(G436:H436)=2,AND(ISNUMBER(G436),ISNUMBER(VALUE(LEFT(H436,SUM(LEN(H436)-LEN(SUBSTITUTE(H436,{"0","1","2","3","4","5","6","7","8","9","."},"")))))))),ISNUMBER(I436),ISTEXT(J436))</f>
        <v>0</v>
      </c>
      <c r="AO436" s="19" t="b">
        <f t="shared" si="525"/>
        <v>0</v>
      </c>
      <c r="AP436" s="19" t="b">
        <f t="shared" si="526"/>
        <v>1</v>
      </c>
      <c r="AQ436" s="19" t="b">
        <f>IF(AND(COUNTBLANK(E436:J436)=6,OR(AN437:AN$523)),NOT(AN436))</f>
        <v>0</v>
      </c>
      <c r="AR436" s="19" t="str">
        <f t="shared" si="527"/>
        <v/>
      </c>
      <c r="AS436" s="19" t="b">
        <f t="shared" si="528"/>
        <v>1</v>
      </c>
      <c r="AT436" s="19" t="str">
        <f t="shared" si="529"/>
        <v/>
      </c>
      <c r="AU436" s="19" t="b">
        <f t="shared" si="530"/>
        <v>1</v>
      </c>
      <c r="AV436" s="140" t="str">
        <f t="shared" si="570"/>
        <v/>
      </c>
      <c r="AW436" s="19" t="str">
        <f t="shared" si="531"/>
        <v/>
      </c>
      <c r="AX436" s="81">
        <f t="shared" si="532"/>
        <v>0</v>
      </c>
      <c r="AY436" s="81" t="str">
        <f t="shared" si="533"/>
        <v/>
      </c>
      <c r="AZ436" s="307" t="str">
        <f t="shared" si="563"/>
        <v/>
      </c>
      <c r="BA436" s="281" t="str">
        <f t="shared" si="571"/>
        <v/>
      </c>
      <c r="BB436" s="281" t="str">
        <f t="shared" si="572"/>
        <v/>
      </c>
      <c r="BC436" s="953"/>
      <c r="BD436" s="955"/>
      <c r="BE436" s="219" t="str">
        <f t="shared" si="534"/>
        <v>n/a</v>
      </c>
      <c r="BF436" s="215" t="b">
        <f t="shared" si="535"/>
        <v>0</v>
      </c>
      <c r="BG436" s="145" t="b">
        <f t="shared" si="536"/>
        <v>0</v>
      </c>
      <c r="BH436" s="145" t="b">
        <f t="shared" si="537"/>
        <v>0</v>
      </c>
      <c r="BI436" s="216" t="b">
        <f t="shared" si="538"/>
        <v>0</v>
      </c>
      <c r="BJ436" s="215" t="b">
        <f t="shared" si="539"/>
        <v>0</v>
      </c>
      <c r="BK436" s="145" t="b">
        <f t="shared" si="540"/>
        <v>0</v>
      </c>
      <c r="BL436" s="216" t="b">
        <f t="shared" si="541"/>
        <v>0</v>
      </c>
      <c r="BM436" s="217" t="str">
        <f t="shared" si="573"/>
        <v/>
      </c>
      <c r="BN436" s="146" t="str">
        <f t="shared" si="574"/>
        <v/>
      </c>
      <c r="BO436" s="147" t="str">
        <f t="shared" si="575"/>
        <v/>
      </c>
      <c r="BP436" s="148" t="str">
        <f t="shared" si="576"/>
        <v/>
      </c>
      <c r="BT436" s="50">
        <f t="shared" si="493"/>
        <v>413</v>
      </c>
      <c r="BU436" s="50" t="str">
        <f t="shared" si="592"/>
        <v>-</v>
      </c>
      <c r="BW436" s="333"/>
      <c r="BX436" s="333"/>
      <c r="BY436" s="333"/>
      <c r="BZ436" s="333"/>
      <c r="CA436" s="333"/>
      <c r="CB436" s="333"/>
      <c r="CC436" s="333"/>
      <c r="CD436" s="333"/>
      <c r="CE436" s="333"/>
      <c r="CF436" s="333"/>
      <c r="CG436" s="354">
        <f t="shared" si="542"/>
        <v>413</v>
      </c>
      <c r="CH436" s="613">
        <f t="shared" si="543"/>
        <v>0</v>
      </c>
      <c r="CI436" s="613">
        <f t="shared" si="544"/>
        <v>0</v>
      </c>
      <c r="CJ436" s="614" t="str">
        <f t="shared" si="545"/>
        <v/>
      </c>
      <c r="CK436" s="615" t="str">
        <f t="shared" si="546"/>
        <v/>
      </c>
      <c r="CL436" s="610" t="str">
        <f>IF(ISBLANK(H436),"",IF(AND(ISNUMBER(F436),ISNUMBER(G436),ISNUMBER(H436)),ROUND(F436/(H436*G436),2),ROUND(F436/(VALUE(LEFT(H436,SUM(LEN(H436)-LEN(SUBSTITUTE(H436,{"0","1","2","3","4","5","6","7","8","9","."},"")))))*G436),2)))</f>
        <v/>
      </c>
      <c r="CM436" s="616" t="str">
        <f t="shared" si="577"/>
        <v/>
      </c>
      <c r="CN436" s="616" t="str">
        <f>IF(ISNUMBER(P436),MAX('Adjustment factors'!$S$16,(0.2+0.8*P436)),IF(ISTEXT(N436),VLOOKUP(N436,Afactors,2,FALSE),""))</f>
        <v/>
      </c>
      <c r="CO436" s="616" t="str">
        <f>IF(ISNUMBER(S436),MAX('Adjustment factors'!$S$16,0.2+0.8*S436),IF(ISTEXT(Q436),VLOOKUP(Q436,Afactors,2,FALSE),""))</f>
        <v/>
      </c>
      <c r="CP436" s="611" t="str">
        <f t="shared" si="564"/>
        <v/>
      </c>
      <c r="CQ436" s="612" t="str">
        <f t="shared" si="565"/>
        <v/>
      </c>
      <c r="CR436" s="340"/>
      <c r="CS436" s="340"/>
      <c r="CT436" s="340"/>
      <c r="CU436" s="340"/>
      <c r="CV436" s="333"/>
      <c r="CW436" s="333"/>
      <c r="CX436" s="333"/>
      <c r="CY436" s="333"/>
      <c r="DA436" s="313" t="str">
        <f t="shared" si="547"/>
        <v>OK</v>
      </c>
      <c r="DB436" s="313" t="str">
        <f t="shared" si="548"/>
        <v>OK</v>
      </c>
      <c r="DC436" s="313" t="str">
        <f t="shared" si="549"/>
        <v>OK</v>
      </c>
      <c r="DD436" s="313" t="str">
        <f t="shared" si="550"/>
        <v>OK</v>
      </c>
      <c r="DE436" s="153" t="str">
        <f t="shared" si="551"/>
        <v>OK</v>
      </c>
      <c r="DF436" s="314" t="str">
        <f t="shared" si="552"/>
        <v>OK</v>
      </c>
      <c r="DG436" s="482" t="str">
        <f t="shared" si="566"/>
        <v>OK</v>
      </c>
      <c r="DH436" s="482" t="str">
        <f>IF(OR(AND(T436='Adjustment factors'!$R$28,'Class 3, 5-9'!U436='Adjustment factors'!$R$29),AND('Class 3, 5-9'!T436='Adjustment factors'!$R$29,'Class 3, 5-9'!U436='Adjustment factors'!$R$28)),"Invalid combination of adjustment factors",IF(AND(T436=U436,NOT(ISBLANK(T436)),NOT(ISBLANK(U436))),"Same colour factor selected twice","OK"))</f>
        <v>OK</v>
      </c>
      <c r="DI436" s="313" t="str">
        <f t="shared" si="553"/>
        <v>OK</v>
      </c>
      <c r="DJ436" s="153" t="str">
        <f t="shared" si="578"/>
        <v>OK</v>
      </c>
      <c r="DK436" s="153" t="str">
        <f t="shared" si="554"/>
        <v>OK</v>
      </c>
      <c r="DL436" s="313" t="str">
        <f t="shared" si="555"/>
        <v>OK</v>
      </c>
      <c r="DM436" s="153" t="str">
        <f t="shared" si="556"/>
        <v>OK</v>
      </c>
      <c r="DN436" s="153" t="str">
        <f t="shared" si="579"/>
        <v>OK</v>
      </c>
      <c r="DO436" s="154" t="str">
        <f t="shared" si="580"/>
        <v>OK</v>
      </c>
      <c r="DP436" s="153" t="str">
        <f t="shared" si="557"/>
        <v>OK</v>
      </c>
      <c r="DQ436" s="313" t="str">
        <f t="shared" si="558"/>
        <v>OK</v>
      </c>
      <c r="DR436" s="153" t="str">
        <f t="shared" si="581"/>
        <v>OK</v>
      </c>
      <c r="DS436" s="153" t="str">
        <f t="shared" si="559"/>
        <v>OK</v>
      </c>
      <c r="DT436" s="313" t="str">
        <f t="shared" si="567"/>
        <v>OK</v>
      </c>
      <c r="DU436" s="153" t="str">
        <f t="shared" si="560"/>
        <v>OK</v>
      </c>
      <c r="DV436" s="153" t="str">
        <f t="shared" si="582"/>
        <v>OK</v>
      </c>
      <c r="DW436" s="154" t="str">
        <f t="shared" si="583"/>
        <v>OK</v>
      </c>
      <c r="DX436" s="157">
        <f t="shared" si="584"/>
        <v>0</v>
      </c>
      <c r="DY436" s="156" t="str">
        <f t="shared" si="585"/>
        <v>OK</v>
      </c>
    </row>
    <row r="437" spans="1:129" ht="13" hidden="1" x14ac:dyDescent="0.3">
      <c r="A437" s="333"/>
      <c r="B437" s="333"/>
      <c r="C437" s="331" t="str">
        <f t="shared" si="593"/>
        <v>-</v>
      </c>
      <c r="D437" s="584">
        <f t="shared" si="492"/>
        <v>414</v>
      </c>
      <c r="E437" s="585"/>
      <c r="F437" s="586"/>
      <c r="G437" s="600"/>
      <c r="H437" s="587"/>
      <c r="I437" s="601"/>
      <c r="J437" s="585"/>
      <c r="K437" s="617"/>
      <c r="L437" s="602"/>
      <c r="M437" s="603"/>
      <c r="N437" s="588"/>
      <c r="O437" s="604"/>
      <c r="P437" s="605"/>
      <c r="Q437" s="588"/>
      <c r="R437" s="604"/>
      <c r="S437" s="605"/>
      <c r="T437" s="606"/>
      <c r="U437" s="606"/>
      <c r="V437" s="429" t="str">
        <f t="shared" si="590"/>
        <v/>
      </c>
      <c r="W437" s="430" t="str">
        <f t="shared" si="589"/>
        <v/>
      </c>
      <c r="X437" s="66" t="str">
        <f>IF(AND(ISNUMBER(P437),N437=FixedDim),MAX('Adjustment factors'!$S$16,0.2+0.8*P437),IF(ISTEXT(N437),VLOOKUP(N437,Afactors,2,TRUE),""))</f>
        <v/>
      </c>
      <c r="Y437" s="17" t="str">
        <f>IF(AND(ISNUMBER(S437),Q437=FixedDim),MAX('Adjustment factors'!$S$16,0.2+0.8*S437),IF(ISTEXT(Q437),VLOOKUP(Q437,Afactors,2,TRUE),""))</f>
        <v/>
      </c>
      <c r="Z437" s="297" t="str">
        <f>IF(ISBLANK(T437),"",VLOOKUP(T437,'Adjustment factors'!$R$27:$S$30,2,TRUE))</f>
        <v/>
      </c>
      <c r="AA437" s="297" t="str">
        <f>IF(ISBLANK(U437),"",VLOOKUP(U437,'Adjustment factors'!$R$27:$S$30,2,TRUE))</f>
        <v/>
      </c>
      <c r="AB437" s="480">
        <f t="shared" si="561"/>
        <v>1</v>
      </c>
      <c r="AC437" s="18" t="b">
        <f t="shared" si="518"/>
        <v>0</v>
      </c>
      <c r="AD437" s="18" t="b">
        <f t="shared" si="519"/>
        <v>0</v>
      </c>
      <c r="AE437" s="18" t="b">
        <f t="shared" si="586"/>
        <v>0</v>
      </c>
      <c r="AF437" s="17" t="str">
        <f t="shared" si="520"/>
        <v/>
      </c>
      <c r="AG437" s="18" t="str">
        <f t="shared" si="521"/>
        <v/>
      </c>
      <c r="AH437" s="17" t="str">
        <f t="shared" si="587"/>
        <v/>
      </c>
      <c r="AI437" s="297" t="e">
        <f t="shared" si="562"/>
        <v>#VALUE!</v>
      </c>
      <c r="AJ437" s="79" t="e">
        <f t="shared" si="522"/>
        <v>#VALUE!</v>
      </c>
      <c r="AK437" s="17" t="str">
        <f t="shared" si="588"/>
        <v/>
      </c>
      <c r="AL437" s="80" t="e">
        <f t="shared" si="523"/>
        <v>#VALUE!</v>
      </c>
      <c r="AM437" s="139" t="b">
        <f t="shared" si="524"/>
        <v>1</v>
      </c>
      <c r="AN437" s="139" t="b">
        <f>AND(COUNTA(E437)&gt;0,ISNUMBER(F437),OR(COUNT(G437:H437)=0,COUNT(G437:H437)=2,AND(ISNUMBER(G437),ISNUMBER(VALUE(LEFT(H437,SUM(LEN(H437)-LEN(SUBSTITUTE(H437,{"0","1","2","3","4","5","6","7","8","9","."},"")))))))),ISNUMBER(I437),ISTEXT(J437))</f>
        <v>0</v>
      </c>
      <c r="AO437" s="19" t="b">
        <f t="shared" si="525"/>
        <v>0</v>
      </c>
      <c r="AP437" s="19" t="b">
        <f t="shared" si="526"/>
        <v>1</v>
      </c>
      <c r="AQ437" s="19" t="b">
        <f>IF(AND(COUNTBLANK(E437:J437)=6,OR(AN438:AN$523)),NOT(AN437))</f>
        <v>0</v>
      </c>
      <c r="AR437" s="19" t="str">
        <f t="shared" si="527"/>
        <v/>
      </c>
      <c r="AS437" s="19" t="b">
        <f t="shared" si="528"/>
        <v>1</v>
      </c>
      <c r="AT437" s="19" t="str">
        <f t="shared" si="529"/>
        <v/>
      </c>
      <c r="AU437" s="19" t="b">
        <f t="shared" si="530"/>
        <v>1</v>
      </c>
      <c r="AV437" s="140" t="str">
        <f t="shared" si="570"/>
        <v/>
      </c>
      <c r="AW437" s="19" t="str">
        <f t="shared" si="531"/>
        <v/>
      </c>
      <c r="AX437" s="81">
        <f t="shared" si="532"/>
        <v>0</v>
      </c>
      <c r="AY437" s="81" t="str">
        <f t="shared" si="533"/>
        <v/>
      </c>
      <c r="AZ437" s="307" t="str">
        <f t="shared" si="563"/>
        <v/>
      </c>
      <c r="BA437" s="281" t="str">
        <f t="shared" si="571"/>
        <v/>
      </c>
      <c r="BB437" s="281" t="str">
        <f t="shared" si="572"/>
        <v/>
      </c>
      <c r="BC437" s="953"/>
      <c r="BD437" s="955"/>
      <c r="BE437" s="219" t="str">
        <f t="shared" si="534"/>
        <v>n/a</v>
      </c>
      <c r="BF437" s="215" t="b">
        <f t="shared" si="535"/>
        <v>0</v>
      </c>
      <c r="BG437" s="145" t="b">
        <f t="shared" si="536"/>
        <v>0</v>
      </c>
      <c r="BH437" s="145" t="b">
        <f t="shared" si="537"/>
        <v>0</v>
      </c>
      <c r="BI437" s="216" t="b">
        <f t="shared" si="538"/>
        <v>0</v>
      </c>
      <c r="BJ437" s="215" t="b">
        <f t="shared" si="539"/>
        <v>0</v>
      </c>
      <c r="BK437" s="145" t="b">
        <f t="shared" si="540"/>
        <v>0</v>
      </c>
      <c r="BL437" s="216" t="b">
        <f t="shared" si="541"/>
        <v>0</v>
      </c>
      <c r="BM437" s="217" t="str">
        <f t="shared" si="573"/>
        <v/>
      </c>
      <c r="BN437" s="146" t="str">
        <f t="shared" si="574"/>
        <v/>
      </c>
      <c r="BO437" s="147" t="str">
        <f t="shared" si="575"/>
        <v/>
      </c>
      <c r="BP437" s="148" t="str">
        <f t="shared" si="576"/>
        <v/>
      </c>
      <c r="BT437" s="50">
        <f t="shared" si="493"/>
        <v>414</v>
      </c>
      <c r="BU437" s="50" t="str">
        <f t="shared" si="592"/>
        <v>-</v>
      </c>
      <c r="BW437" s="333"/>
      <c r="BX437" s="333"/>
      <c r="BY437" s="333"/>
      <c r="BZ437" s="333"/>
      <c r="CA437" s="333"/>
      <c r="CB437" s="333"/>
      <c r="CC437" s="333"/>
      <c r="CD437" s="333"/>
      <c r="CE437" s="333"/>
      <c r="CF437" s="333"/>
      <c r="CG437" s="354">
        <f t="shared" si="542"/>
        <v>414</v>
      </c>
      <c r="CH437" s="613">
        <f t="shared" si="543"/>
        <v>0</v>
      </c>
      <c r="CI437" s="613">
        <f t="shared" si="544"/>
        <v>0</v>
      </c>
      <c r="CJ437" s="614" t="str">
        <f t="shared" si="545"/>
        <v/>
      </c>
      <c r="CK437" s="615" t="str">
        <f t="shared" si="546"/>
        <v/>
      </c>
      <c r="CL437" s="610" t="str">
        <f>IF(ISBLANK(H437),"",IF(AND(ISNUMBER(F437),ISNUMBER(G437),ISNUMBER(H437)),ROUND(F437/(H437*G437),2),ROUND(F437/(VALUE(LEFT(H437,SUM(LEN(H437)-LEN(SUBSTITUTE(H437,{"0","1","2","3","4","5","6","7","8","9","."},"")))))*G437),2)))</f>
        <v/>
      </c>
      <c r="CM437" s="616" t="str">
        <f t="shared" si="577"/>
        <v/>
      </c>
      <c r="CN437" s="616" t="str">
        <f>IF(ISNUMBER(P437),MAX('Adjustment factors'!$S$16,(0.2+0.8*P437)),IF(ISTEXT(N437),VLOOKUP(N437,Afactors,2,FALSE),""))</f>
        <v/>
      </c>
      <c r="CO437" s="616" t="str">
        <f>IF(ISNUMBER(S437),MAX('Adjustment factors'!$S$16,0.2+0.8*S437),IF(ISTEXT(Q437),VLOOKUP(Q437,Afactors,2,FALSE),""))</f>
        <v/>
      </c>
      <c r="CP437" s="611" t="str">
        <f t="shared" si="564"/>
        <v/>
      </c>
      <c r="CQ437" s="612" t="str">
        <f t="shared" si="565"/>
        <v/>
      </c>
      <c r="CR437" s="340"/>
      <c r="CS437" s="340"/>
      <c r="CT437" s="340"/>
      <c r="CU437" s="340"/>
      <c r="CV437" s="333"/>
      <c r="CW437" s="333"/>
      <c r="CX437" s="333"/>
      <c r="CY437" s="333"/>
      <c r="DA437" s="313" t="str">
        <f t="shared" si="547"/>
        <v>OK</v>
      </c>
      <c r="DB437" s="313" t="str">
        <f t="shared" si="548"/>
        <v>OK</v>
      </c>
      <c r="DC437" s="313" t="str">
        <f t="shared" si="549"/>
        <v>OK</v>
      </c>
      <c r="DD437" s="313" t="str">
        <f t="shared" si="550"/>
        <v>OK</v>
      </c>
      <c r="DE437" s="153" t="str">
        <f t="shared" si="551"/>
        <v>OK</v>
      </c>
      <c r="DF437" s="314" t="str">
        <f t="shared" si="552"/>
        <v>OK</v>
      </c>
      <c r="DG437" s="482" t="str">
        <f t="shared" si="566"/>
        <v>OK</v>
      </c>
      <c r="DH437" s="482" t="str">
        <f>IF(OR(AND(T437='Adjustment factors'!$R$28,'Class 3, 5-9'!U437='Adjustment factors'!$R$29),AND('Class 3, 5-9'!T437='Adjustment factors'!$R$29,'Class 3, 5-9'!U437='Adjustment factors'!$R$28)),"Invalid combination of adjustment factors",IF(AND(T437=U437,NOT(ISBLANK(T437)),NOT(ISBLANK(U437))),"Same colour factor selected twice","OK"))</f>
        <v>OK</v>
      </c>
      <c r="DI437" s="313" t="str">
        <f t="shared" si="553"/>
        <v>OK</v>
      </c>
      <c r="DJ437" s="153" t="str">
        <f t="shared" si="578"/>
        <v>OK</v>
      </c>
      <c r="DK437" s="153" t="str">
        <f t="shared" si="554"/>
        <v>OK</v>
      </c>
      <c r="DL437" s="313" t="str">
        <f t="shared" si="555"/>
        <v>OK</v>
      </c>
      <c r="DM437" s="153" t="str">
        <f t="shared" si="556"/>
        <v>OK</v>
      </c>
      <c r="DN437" s="153" t="str">
        <f t="shared" si="579"/>
        <v>OK</v>
      </c>
      <c r="DO437" s="154" t="str">
        <f t="shared" si="580"/>
        <v>OK</v>
      </c>
      <c r="DP437" s="153" t="str">
        <f t="shared" si="557"/>
        <v>OK</v>
      </c>
      <c r="DQ437" s="313" t="str">
        <f t="shared" si="558"/>
        <v>OK</v>
      </c>
      <c r="DR437" s="153" t="str">
        <f t="shared" si="581"/>
        <v>OK</v>
      </c>
      <c r="DS437" s="153" t="str">
        <f t="shared" si="559"/>
        <v>OK</v>
      </c>
      <c r="DT437" s="313" t="str">
        <f t="shared" si="567"/>
        <v>OK</v>
      </c>
      <c r="DU437" s="153" t="str">
        <f t="shared" si="560"/>
        <v>OK</v>
      </c>
      <c r="DV437" s="153" t="str">
        <f t="shared" si="582"/>
        <v>OK</v>
      </c>
      <c r="DW437" s="154" t="str">
        <f t="shared" si="583"/>
        <v>OK</v>
      </c>
      <c r="DX437" s="157">
        <f t="shared" si="584"/>
        <v>0</v>
      </c>
      <c r="DY437" s="156" t="str">
        <f t="shared" si="585"/>
        <v>OK</v>
      </c>
    </row>
    <row r="438" spans="1:129" ht="13" hidden="1" x14ac:dyDescent="0.3">
      <c r="A438" s="333"/>
      <c r="B438" s="333"/>
      <c r="C438" s="331" t="str">
        <f t="shared" si="593"/>
        <v>-</v>
      </c>
      <c r="D438" s="584">
        <f t="shared" si="492"/>
        <v>415</v>
      </c>
      <c r="E438" s="585"/>
      <c r="F438" s="586"/>
      <c r="G438" s="600"/>
      <c r="H438" s="587"/>
      <c r="I438" s="601"/>
      <c r="J438" s="585"/>
      <c r="K438" s="617"/>
      <c r="L438" s="602"/>
      <c r="M438" s="603"/>
      <c r="N438" s="588"/>
      <c r="O438" s="604"/>
      <c r="P438" s="605"/>
      <c r="Q438" s="588"/>
      <c r="R438" s="604"/>
      <c r="S438" s="605"/>
      <c r="T438" s="606"/>
      <c r="U438" s="606"/>
      <c r="V438" s="429" t="str">
        <f t="shared" si="590"/>
        <v/>
      </c>
      <c r="W438" s="430" t="str">
        <f t="shared" si="589"/>
        <v/>
      </c>
      <c r="X438" s="66" t="str">
        <f>IF(AND(ISNUMBER(P438),N438=FixedDim),MAX('Adjustment factors'!$S$16,0.2+0.8*P438),IF(ISTEXT(N438),VLOOKUP(N438,Afactors,2,TRUE),""))</f>
        <v/>
      </c>
      <c r="Y438" s="17" t="str">
        <f>IF(AND(ISNUMBER(S438),Q438=FixedDim),MAX('Adjustment factors'!$S$16,0.2+0.8*S438),IF(ISTEXT(Q438),VLOOKUP(Q438,Afactors,2,TRUE),""))</f>
        <v/>
      </c>
      <c r="Z438" s="297" t="str">
        <f>IF(ISBLANK(T438),"",VLOOKUP(T438,'Adjustment factors'!$R$27:$S$30,2,TRUE))</f>
        <v/>
      </c>
      <c r="AA438" s="297" t="str">
        <f>IF(ISBLANK(U438),"",VLOOKUP(U438,'Adjustment factors'!$R$27:$S$30,2,TRUE))</f>
        <v/>
      </c>
      <c r="AB438" s="480">
        <f t="shared" si="561"/>
        <v>1</v>
      </c>
      <c r="AC438" s="18" t="b">
        <f t="shared" si="518"/>
        <v>0</v>
      </c>
      <c r="AD438" s="18" t="b">
        <f t="shared" si="519"/>
        <v>0</v>
      </c>
      <c r="AE438" s="18" t="b">
        <f t="shared" si="586"/>
        <v>0</v>
      </c>
      <c r="AF438" s="17" t="str">
        <f t="shared" si="520"/>
        <v/>
      </c>
      <c r="AG438" s="18" t="str">
        <f t="shared" si="521"/>
        <v/>
      </c>
      <c r="AH438" s="17" t="str">
        <f t="shared" si="587"/>
        <v/>
      </c>
      <c r="AI438" s="297" t="e">
        <f t="shared" si="562"/>
        <v>#VALUE!</v>
      </c>
      <c r="AJ438" s="79" t="e">
        <f t="shared" si="522"/>
        <v>#VALUE!</v>
      </c>
      <c r="AK438" s="17" t="str">
        <f t="shared" si="588"/>
        <v/>
      </c>
      <c r="AL438" s="80" t="e">
        <f t="shared" si="523"/>
        <v>#VALUE!</v>
      </c>
      <c r="AM438" s="139" t="b">
        <f t="shared" si="524"/>
        <v>1</v>
      </c>
      <c r="AN438" s="139" t="b">
        <f>AND(COUNTA(E438)&gt;0,ISNUMBER(F438),OR(COUNT(G438:H438)=0,COUNT(G438:H438)=2,AND(ISNUMBER(G438),ISNUMBER(VALUE(LEFT(H438,SUM(LEN(H438)-LEN(SUBSTITUTE(H438,{"0","1","2","3","4","5","6","7","8","9","."},"")))))))),ISNUMBER(I438),ISTEXT(J438))</f>
        <v>0</v>
      </c>
      <c r="AO438" s="19" t="b">
        <f t="shared" si="525"/>
        <v>0</v>
      </c>
      <c r="AP438" s="19" t="b">
        <f t="shared" si="526"/>
        <v>1</v>
      </c>
      <c r="AQ438" s="19" t="b">
        <f>IF(AND(COUNTBLANK(E438:J438)=6,OR(AN439:AN$523)),NOT(AN438))</f>
        <v>0</v>
      </c>
      <c r="AR438" s="19" t="str">
        <f t="shared" si="527"/>
        <v/>
      </c>
      <c r="AS438" s="19" t="b">
        <f t="shared" si="528"/>
        <v>1</v>
      </c>
      <c r="AT438" s="19" t="str">
        <f t="shared" si="529"/>
        <v/>
      </c>
      <c r="AU438" s="19" t="b">
        <f t="shared" si="530"/>
        <v>1</v>
      </c>
      <c r="AV438" s="140" t="str">
        <f t="shared" si="570"/>
        <v/>
      </c>
      <c r="AW438" s="19" t="str">
        <f t="shared" si="531"/>
        <v/>
      </c>
      <c r="AX438" s="81">
        <f t="shared" si="532"/>
        <v>0</v>
      </c>
      <c r="AY438" s="81" t="str">
        <f t="shared" si="533"/>
        <v/>
      </c>
      <c r="AZ438" s="307" t="str">
        <f t="shared" si="563"/>
        <v/>
      </c>
      <c r="BA438" s="281" t="str">
        <f t="shared" si="571"/>
        <v/>
      </c>
      <c r="BB438" s="281" t="str">
        <f t="shared" si="572"/>
        <v/>
      </c>
      <c r="BC438" s="953"/>
      <c r="BD438" s="955"/>
      <c r="BE438" s="219" t="str">
        <f t="shared" si="534"/>
        <v>n/a</v>
      </c>
      <c r="BF438" s="215" t="b">
        <f t="shared" si="535"/>
        <v>0</v>
      </c>
      <c r="BG438" s="145" t="b">
        <f t="shared" si="536"/>
        <v>0</v>
      </c>
      <c r="BH438" s="145" t="b">
        <f t="shared" si="537"/>
        <v>0</v>
      </c>
      <c r="BI438" s="216" t="b">
        <f t="shared" si="538"/>
        <v>0</v>
      </c>
      <c r="BJ438" s="215" t="b">
        <f t="shared" si="539"/>
        <v>0</v>
      </c>
      <c r="BK438" s="145" t="b">
        <f t="shared" si="540"/>
        <v>0</v>
      </c>
      <c r="BL438" s="216" t="b">
        <f t="shared" si="541"/>
        <v>0</v>
      </c>
      <c r="BM438" s="217" t="str">
        <f t="shared" si="573"/>
        <v/>
      </c>
      <c r="BN438" s="146" t="str">
        <f t="shared" si="574"/>
        <v/>
      </c>
      <c r="BO438" s="147" t="str">
        <f t="shared" si="575"/>
        <v/>
      </c>
      <c r="BP438" s="148" t="str">
        <f t="shared" si="576"/>
        <v/>
      </c>
      <c r="BT438" s="50">
        <f t="shared" si="493"/>
        <v>415</v>
      </c>
      <c r="BU438" s="50" t="str">
        <f t="shared" si="592"/>
        <v>-</v>
      </c>
      <c r="BW438" s="333"/>
      <c r="BX438" s="333"/>
      <c r="BY438" s="333"/>
      <c r="BZ438" s="333"/>
      <c r="CA438" s="333"/>
      <c r="CB438" s="333"/>
      <c r="CC438" s="333"/>
      <c r="CD438" s="333"/>
      <c r="CE438" s="333"/>
      <c r="CF438" s="333"/>
      <c r="CG438" s="354">
        <f t="shared" si="542"/>
        <v>415</v>
      </c>
      <c r="CH438" s="613">
        <f t="shared" si="543"/>
        <v>0</v>
      </c>
      <c r="CI438" s="613">
        <f t="shared" si="544"/>
        <v>0</v>
      </c>
      <c r="CJ438" s="614" t="str">
        <f t="shared" si="545"/>
        <v/>
      </c>
      <c r="CK438" s="615" t="str">
        <f t="shared" si="546"/>
        <v/>
      </c>
      <c r="CL438" s="610" t="str">
        <f>IF(ISBLANK(H438),"",IF(AND(ISNUMBER(F438),ISNUMBER(G438),ISNUMBER(H438)),ROUND(F438/(H438*G438),2),ROUND(F438/(VALUE(LEFT(H438,SUM(LEN(H438)-LEN(SUBSTITUTE(H438,{"0","1","2","3","4","5","6","7","8","9","."},"")))))*G438),2)))</f>
        <v/>
      </c>
      <c r="CM438" s="616" t="str">
        <f t="shared" si="577"/>
        <v/>
      </c>
      <c r="CN438" s="616" t="str">
        <f>IF(ISNUMBER(P438),MAX('Adjustment factors'!$S$16,(0.2+0.8*P438)),IF(ISTEXT(N438),VLOOKUP(N438,Afactors,2,FALSE),""))</f>
        <v/>
      </c>
      <c r="CO438" s="616" t="str">
        <f>IF(ISNUMBER(S438),MAX('Adjustment factors'!$S$16,0.2+0.8*S438),IF(ISTEXT(Q438),VLOOKUP(Q438,Afactors,2,FALSE),""))</f>
        <v/>
      </c>
      <c r="CP438" s="611" t="str">
        <f t="shared" si="564"/>
        <v/>
      </c>
      <c r="CQ438" s="612" t="str">
        <f t="shared" si="565"/>
        <v/>
      </c>
      <c r="CR438" s="340"/>
      <c r="CS438" s="340"/>
      <c r="CT438" s="340"/>
      <c r="CU438" s="340"/>
      <c r="CV438" s="333"/>
      <c r="CW438" s="333"/>
      <c r="CX438" s="333"/>
      <c r="CY438" s="333"/>
      <c r="DA438" s="313" t="str">
        <f t="shared" si="547"/>
        <v>OK</v>
      </c>
      <c r="DB438" s="313" t="str">
        <f t="shared" si="548"/>
        <v>OK</v>
      </c>
      <c r="DC438" s="313" t="str">
        <f t="shared" si="549"/>
        <v>OK</v>
      </c>
      <c r="DD438" s="313" t="str">
        <f t="shared" si="550"/>
        <v>OK</v>
      </c>
      <c r="DE438" s="153" t="str">
        <f t="shared" si="551"/>
        <v>OK</v>
      </c>
      <c r="DF438" s="314" t="str">
        <f t="shared" si="552"/>
        <v>OK</v>
      </c>
      <c r="DG438" s="482" t="str">
        <f t="shared" si="566"/>
        <v>OK</v>
      </c>
      <c r="DH438" s="482" t="str">
        <f>IF(OR(AND(T438='Adjustment factors'!$R$28,'Class 3, 5-9'!U438='Adjustment factors'!$R$29),AND('Class 3, 5-9'!T438='Adjustment factors'!$R$29,'Class 3, 5-9'!U438='Adjustment factors'!$R$28)),"Invalid combination of adjustment factors",IF(AND(T438=U438,NOT(ISBLANK(T438)),NOT(ISBLANK(U438))),"Same colour factor selected twice","OK"))</f>
        <v>OK</v>
      </c>
      <c r="DI438" s="313" t="str">
        <f t="shared" si="553"/>
        <v>OK</v>
      </c>
      <c r="DJ438" s="153" t="str">
        <f t="shared" si="578"/>
        <v>OK</v>
      </c>
      <c r="DK438" s="153" t="str">
        <f t="shared" si="554"/>
        <v>OK</v>
      </c>
      <c r="DL438" s="313" t="str">
        <f t="shared" si="555"/>
        <v>OK</v>
      </c>
      <c r="DM438" s="153" t="str">
        <f t="shared" si="556"/>
        <v>OK</v>
      </c>
      <c r="DN438" s="153" t="str">
        <f t="shared" si="579"/>
        <v>OK</v>
      </c>
      <c r="DO438" s="154" t="str">
        <f t="shared" si="580"/>
        <v>OK</v>
      </c>
      <c r="DP438" s="153" t="str">
        <f t="shared" si="557"/>
        <v>OK</v>
      </c>
      <c r="DQ438" s="313" t="str">
        <f t="shared" si="558"/>
        <v>OK</v>
      </c>
      <c r="DR438" s="153" t="str">
        <f t="shared" si="581"/>
        <v>OK</v>
      </c>
      <c r="DS438" s="153" t="str">
        <f t="shared" si="559"/>
        <v>OK</v>
      </c>
      <c r="DT438" s="313" t="str">
        <f t="shared" si="567"/>
        <v>OK</v>
      </c>
      <c r="DU438" s="153" t="str">
        <f t="shared" si="560"/>
        <v>OK</v>
      </c>
      <c r="DV438" s="153" t="str">
        <f t="shared" si="582"/>
        <v>OK</v>
      </c>
      <c r="DW438" s="154" t="str">
        <f t="shared" si="583"/>
        <v>OK</v>
      </c>
      <c r="DX438" s="157">
        <f t="shared" si="584"/>
        <v>0</v>
      </c>
      <c r="DY438" s="156" t="str">
        <f t="shared" si="585"/>
        <v>OK</v>
      </c>
    </row>
    <row r="439" spans="1:129" ht="13" hidden="1" x14ac:dyDescent="0.3">
      <c r="A439" s="333"/>
      <c r="B439" s="333"/>
      <c r="C439" s="331" t="str">
        <f t="shared" si="593"/>
        <v>-</v>
      </c>
      <c r="D439" s="584">
        <f t="shared" si="492"/>
        <v>416</v>
      </c>
      <c r="E439" s="585"/>
      <c r="F439" s="586"/>
      <c r="G439" s="600"/>
      <c r="H439" s="587"/>
      <c r="I439" s="601"/>
      <c r="J439" s="585"/>
      <c r="K439" s="617"/>
      <c r="L439" s="602"/>
      <c r="M439" s="603"/>
      <c r="N439" s="588"/>
      <c r="O439" s="604"/>
      <c r="P439" s="605"/>
      <c r="Q439" s="588"/>
      <c r="R439" s="604"/>
      <c r="S439" s="605"/>
      <c r="T439" s="606"/>
      <c r="U439" s="606"/>
      <c r="V439" s="429" t="str">
        <f t="shared" si="590"/>
        <v/>
      </c>
      <c r="W439" s="430" t="str">
        <f t="shared" si="589"/>
        <v/>
      </c>
      <c r="X439" s="66" t="str">
        <f>IF(AND(ISNUMBER(P439),N439=FixedDim),MAX('Adjustment factors'!$S$16,0.2+0.8*P439),IF(ISTEXT(N439),VLOOKUP(N439,Afactors,2,TRUE),""))</f>
        <v/>
      </c>
      <c r="Y439" s="17" t="str">
        <f>IF(AND(ISNUMBER(S439),Q439=FixedDim),MAX('Adjustment factors'!$S$16,0.2+0.8*S439),IF(ISTEXT(Q439),VLOOKUP(Q439,Afactors,2,TRUE),""))</f>
        <v/>
      </c>
      <c r="Z439" s="297" t="str">
        <f>IF(ISBLANK(T439),"",VLOOKUP(T439,'Adjustment factors'!$R$27:$S$30,2,TRUE))</f>
        <v/>
      </c>
      <c r="AA439" s="297" t="str">
        <f>IF(ISBLANK(U439),"",VLOOKUP(U439,'Adjustment factors'!$R$27:$S$30,2,TRUE))</f>
        <v/>
      </c>
      <c r="AB439" s="480">
        <f t="shared" si="561"/>
        <v>1</v>
      </c>
      <c r="AC439" s="18" t="b">
        <f t="shared" si="518"/>
        <v>0</v>
      </c>
      <c r="AD439" s="18" t="b">
        <f t="shared" si="519"/>
        <v>0</v>
      </c>
      <c r="AE439" s="18" t="b">
        <f t="shared" si="586"/>
        <v>0</v>
      </c>
      <c r="AF439" s="17" t="str">
        <f t="shared" si="520"/>
        <v/>
      </c>
      <c r="AG439" s="18" t="str">
        <f t="shared" si="521"/>
        <v/>
      </c>
      <c r="AH439" s="17" t="str">
        <f t="shared" si="587"/>
        <v/>
      </c>
      <c r="AI439" s="297" t="e">
        <f t="shared" si="562"/>
        <v>#VALUE!</v>
      </c>
      <c r="AJ439" s="79" t="e">
        <f t="shared" si="522"/>
        <v>#VALUE!</v>
      </c>
      <c r="AK439" s="17" t="str">
        <f t="shared" si="588"/>
        <v/>
      </c>
      <c r="AL439" s="80" t="e">
        <f t="shared" si="523"/>
        <v>#VALUE!</v>
      </c>
      <c r="AM439" s="139" t="b">
        <f t="shared" si="524"/>
        <v>1</v>
      </c>
      <c r="AN439" s="139" t="b">
        <f>AND(COUNTA(E439)&gt;0,ISNUMBER(F439),OR(COUNT(G439:H439)=0,COUNT(G439:H439)=2,AND(ISNUMBER(G439),ISNUMBER(VALUE(LEFT(H439,SUM(LEN(H439)-LEN(SUBSTITUTE(H439,{"0","1","2","3","4","5","6","7","8","9","."},"")))))))),ISNUMBER(I439),ISTEXT(J439))</f>
        <v>0</v>
      </c>
      <c r="AO439" s="19" t="b">
        <f t="shared" si="525"/>
        <v>0</v>
      </c>
      <c r="AP439" s="19" t="b">
        <f t="shared" si="526"/>
        <v>1</v>
      </c>
      <c r="AQ439" s="19" t="b">
        <f>IF(AND(COUNTBLANK(E439:J439)=6,OR(AN440:AN$523)),NOT(AN439))</f>
        <v>0</v>
      </c>
      <c r="AR439" s="19" t="str">
        <f t="shared" si="527"/>
        <v/>
      </c>
      <c r="AS439" s="19" t="b">
        <f t="shared" si="528"/>
        <v>1</v>
      </c>
      <c r="AT439" s="19" t="str">
        <f t="shared" si="529"/>
        <v/>
      </c>
      <c r="AU439" s="19" t="b">
        <f t="shared" si="530"/>
        <v>1</v>
      </c>
      <c r="AV439" s="140" t="str">
        <f t="shared" si="570"/>
        <v/>
      </c>
      <c r="AW439" s="19" t="str">
        <f t="shared" si="531"/>
        <v/>
      </c>
      <c r="AX439" s="81">
        <f t="shared" si="532"/>
        <v>0</v>
      </c>
      <c r="AY439" s="81" t="str">
        <f t="shared" si="533"/>
        <v/>
      </c>
      <c r="AZ439" s="307" t="str">
        <f t="shared" si="563"/>
        <v/>
      </c>
      <c r="BA439" s="281" t="str">
        <f t="shared" si="571"/>
        <v/>
      </c>
      <c r="BB439" s="281" t="str">
        <f t="shared" si="572"/>
        <v/>
      </c>
      <c r="BC439" s="953"/>
      <c r="BD439" s="955"/>
      <c r="BE439" s="219" t="str">
        <f t="shared" si="534"/>
        <v>n/a</v>
      </c>
      <c r="BF439" s="215" t="b">
        <f t="shared" si="535"/>
        <v>0</v>
      </c>
      <c r="BG439" s="145" t="b">
        <f t="shared" si="536"/>
        <v>0</v>
      </c>
      <c r="BH439" s="145" t="b">
        <f t="shared" si="537"/>
        <v>0</v>
      </c>
      <c r="BI439" s="216" t="b">
        <f t="shared" si="538"/>
        <v>0</v>
      </c>
      <c r="BJ439" s="215" t="b">
        <f t="shared" si="539"/>
        <v>0</v>
      </c>
      <c r="BK439" s="145" t="b">
        <f t="shared" si="540"/>
        <v>0</v>
      </c>
      <c r="BL439" s="216" t="b">
        <f t="shared" si="541"/>
        <v>0</v>
      </c>
      <c r="BM439" s="217" t="str">
        <f t="shared" si="573"/>
        <v/>
      </c>
      <c r="BN439" s="146" t="str">
        <f t="shared" si="574"/>
        <v/>
      </c>
      <c r="BO439" s="147" t="str">
        <f t="shared" si="575"/>
        <v/>
      </c>
      <c r="BP439" s="148" t="str">
        <f t="shared" si="576"/>
        <v/>
      </c>
      <c r="BT439" s="50">
        <f t="shared" si="493"/>
        <v>416</v>
      </c>
      <c r="BU439" s="50" t="str">
        <f t="shared" si="592"/>
        <v>-</v>
      </c>
      <c r="BW439" s="333"/>
      <c r="BX439" s="333"/>
      <c r="BY439" s="333"/>
      <c r="BZ439" s="333"/>
      <c r="CA439" s="333"/>
      <c r="CB439" s="333"/>
      <c r="CC439" s="333"/>
      <c r="CD439" s="333"/>
      <c r="CE439" s="333"/>
      <c r="CF439" s="333"/>
      <c r="CG439" s="354">
        <f t="shared" si="542"/>
        <v>416</v>
      </c>
      <c r="CH439" s="613">
        <f t="shared" si="543"/>
        <v>0</v>
      </c>
      <c r="CI439" s="613">
        <f t="shared" si="544"/>
        <v>0</v>
      </c>
      <c r="CJ439" s="614" t="str">
        <f t="shared" si="545"/>
        <v/>
      </c>
      <c r="CK439" s="615" t="str">
        <f t="shared" si="546"/>
        <v/>
      </c>
      <c r="CL439" s="610" t="str">
        <f>IF(ISBLANK(H439),"",IF(AND(ISNUMBER(F439),ISNUMBER(G439),ISNUMBER(H439)),ROUND(F439/(H439*G439),2),ROUND(F439/(VALUE(LEFT(H439,SUM(LEN(H439)-LEN(SUBSTITUTE(H439,{"0","1","2","3","4","5","6","7","8","9","."},"")))))*G439),2)))</f>
        <v/>
      </c>
      <c r="CM439" s="616" t="str">
        <f t="shared" si="577"/>
        <v/>
      </c>
      <c r="CN439" s="616" t="str">
        <f>IF(ISNUMBER(P439),MAX('Adjustment factors'!$S$16,(0.2+0.8*P439)),IF(ISTEXT(N439),VLOOKUP(N439,Afactors,2,FALSE),""))</f>
        <v/>
      </c>
      <c r="CO439" s="616" t="str">
        <f>IF(ISNUMBER(S439),MAX('Adjustment factors'!$S$16,0.2+0.8*S439),IF(ISTEXT(Q439),VLOOKUP(Q439,Afactors,2,FALSE),""))</f>
        <v/>
      </c>
      <c r="CP439" s="611" t="str">
        <f t="shared" si="564"/>
        <v/>
      </c>
      <c r="CQ439" s="612" t="str">
        <f t="shared" si="565"/>
        <v/>
      </c>
      <c r="CR439" s="340"/>
      <c r="CS439" s="340"/>
      <c r="CT439" s="340"/>
      <c r="CU439" s="340"/>
      <c r="CV439" s="333"/>
      <c r="CW439" s="333"/>
      <c r="CX439" s="333"/>
      <c r="CY439" s="333"/>
      <c r="DA439" s="313" t="str">
        <f t="shared" si="547"/>
        <v>OK</v>
      </c>
      <c r="DB439" s="313" t="str">
        <f t="shared" si="548"/>
        <v>OK</v>
      </c>
      <c r="DC439" s="313" t="str">
        <f t="shared" si="549"/>
        <v>OK</v>
      </c>
      <c r="DD439" s="313" t="str">
        <f t="shared" si="550"/>
        <v>OK</v>
      </c>
      <c r="DE439" s="153" t="str">
        <f t="shared" si="551"/>
        <v>OK</v>
      </c>
      <c r="DF439" s="314" t="str">
        <f t="shared" si="552"/>
        <v>OK</v>
      </c>
      <c r="DG439" s="482" t="str">
        <f t="shared" si="566"/>
        <v>OK</v>
      </c>
      <c r="DH439" s="482" t="str">
        <f>IF(OR(AND(T439='Adjustment factors'!$R$28,'Class 3, 5-9'!U439='Adjustment factors'!$R$29),AND('Class 3, 5-9'!T439='Adjustment factors'!$R$29,'Class 3, 5-9'!U439='Adjustment factors'!$R$28)),"Invalid combination of adjustment factors",IF(AND(T439=U439,NOT(ISBLANK(T439)),NOT(ISBLANK(U439))),"Same colour factor selected twice","OK"))</f>
        <v>OK</v>
      </c>
      <c r="DI439" s="313" t="str">
        <f t="shared" si="553"/>
        <v>OK</v>
      </c>
      <c r="DJ439" s="153" t="str">
        <f t="shared" si="578"/>
        <v>OK</v>
      </c>
      <c r="DK439" s="153" t="str">
        <f t="shared" si="554"/>
        <v>OK</v>
      </c>
      <c r="DL439" s="313" t="str">
        <f t="shared" si="555"/>
        <v>OK</v>
      </c>
      <c r="DM439" s="153" t="str">
        <f t="shared" si="556"/>
        <v>OK</v>
      </c>
      <c r="DN439" s="153" t="str">
        <f t="shared" si="579"/>
        <v>OK</v>
      </c>
      <c r="DO439" s="154" t="str">
        <f t="shared" si="580"/>
        <v>OK</v>
      </c>
      <c r="DP439" s="153" t="str">
        <f t="shared" si="557"/>
        <v>OK</v>
      </c>
      <c r="DQ439" s="313" t="str">
        <f t="shared" si="558"/>
        <v>OK</v>
      </c>
      <c r="DR439" s="153" t="str">
        <f t="shared" si="581"/>
        <v>OK</v>
      </c>
      <c r="DS439" s="153" t="str">
        <f t="shared" si="559"/>
        <v>OK</v>
      </c>
      <c r="DT439" s="313" t="str">
        <f t="shared" ref="DT439:DT470" si="594">IF(AND(ISNUMBER(S439),Q439&lt;&gt;FixedDim),"Select fixed dimming with an illuminance factor","OK")</f>
        <v>OK</v>
      </c>
      <c r="DU439" s="153" t="str">
        <f t="shared" si="560"/>
        <v>OK</v>
      </c>
      <c r="DV439" s="153" t="str">
        <f t="shared" si="582"/>
        <v>OK</v>
      </c>
      <c r="DW439" s="154" t="str">
        <f t="shared" si="583"/>
        <v>OK</v>
      </c>
      <c r="DX439" s="157">
        <f t="shared" si="584"/>
        <v>0</v>
      </c>
      <c r="DY439" s="156" t="str">
        <f t="shared" si="585"/>
        <v>OK</v>
      </c>
    </row>
    <row r="440" spans="1:129" ht="13" hidden="1" x14ac:dyDescent="0.3">
      <c r="A440" s="333"/>
      <c r="B440" s="333"/>
      <c r="C440" s="331" t="str">
        <f t="shared" si="593"/>
        <v>-</v>
      </c>
      <c r="D440" s="584">
        <f t="shared" si="492"/>
        <v>417</v>
      </c>
      <c r="E440" s="585"/>
      <c r="F440" s="586"/>
      <c r="G440" s="600"/>
      <c r="H440" s="587"/>
      <c r="I440" s="601"/>
      <c r="J440" s="585"/>
      <c r="K440" s="617"/>
      <c r="L440" s="602"/>
      <c r="M440" s="603"/>
      <c r="N440" s="588"/>
      <c r="O440" s="604"/>
      <c r="P440" s="605"/>
      <c r="Q440" s="588"/>
      <c r="R440" s="604"/>
      <c r="S440" s="605"/>
      <c r="T440" s="606"/>
      <c r="U440" s="606"/>
      <c r="V440" s="429" t="str">
        <f t="shared" si="590"/>
        <v/>
      </c>
      <c r="W440" s="430" t="str">
        <f t="shared" si="589"/>
        <v/>
      </c>
      <c r="X440" s="66" t="str">
        <f>IF(AND(ISNUMBER(P440),N440=FixedDim),MAX('Adjustment factors'!$S$16,0.2+0.8*P440),IF(ISTEXT(N440),VLOOKUP(N440,Afactors,2,TRUE),""))</f>
        <v/>
      </c>
      <c r="Y440" s="17" t="str">
        <f>IF(AND(ISNUMBER(S440),Q440=FixedDim),MAX('Adjustment factors'!$S$16,0.2+0.8*S440),IF(ISTEXT(Q440),VLOOKUP(Q440,Afactors,2,TRUE),""))</f>
        <v/>
      </c>
      <c r="Z440" s="297" t="str">
        <f>IF(ISBLANK(T440),"",VLOOKUP(T440,'Adjustment factors'!$R$27:$S$30,2,TRUE))</f>
        <v/>
      </c>
      <c r="AA440" s="297" t="str">
        <f>IF(ISBLANK(U440),"",VLOOKUP(U440,'Adjustment factors'!$R$27:$S$30,2,TRUE))</f>
        <v/>
      </c>
      <c r="AB440" s="480">
        <f t="shared" si="561"/>
        <v>1</v>
      </c>
      <c r="AC440" s="18" t="b">
        <f t="shared" si="518"/>
        <v>0</v>
      </c>
      <c r="AD440" s="18" t="b">
        <f t="shared" si="519"/>
        <v>0</v>
      </c>
      <c r="AE440" s="18" t="b">
        <f t="shared" si="586"/>
        <v>0</v>
      </c>
      <c r="AF440" s="17" t="str">
        <f t="shared" si="520"/>
        <v/>
      </c>
      <c r="AG440" s="18" t="str">
        <f t="shared" si="521"/>
        <v/>
      </c>
      <c r="AH440" s="17" t="str">
        <f t="shared" si="587"/>
        <v/>
      </c>
      <c r="AI440" s="297" t="e">
        <f t="shared" si="562"/>
        <v>#VALUE!</v>
      </c>
      <c r="AJ440" s="79" t="e">
        <f t="shared" si="522"/>
        <v>#VALUE!</v>
      </c>
      <c r="AK440" s="17" t="str">
        <f t="shared" si="588"/>
        <v/>
      </c>
      <c r="AL440" s="80" t="e">
        <f t="shared" si="523"/>
        <v>#VALUE!</v>
      </c>
      <c r="AM440" s="139" t="b">
        <f t="shared" si="524"/>
        <v>1</v>
      </c>
      <c r="AN440" s="139" t="b">
        <f>AND(COUNTA(E440)&gt;0,ISNUMBER(F440),OR(COUNT(G440:H440)=0,COUNT(G440:H440)=2,AND(ISNUMBER(G440),ISNUMBER(VALUE(LEFT(H440,SUM(LEN(H440)-LEN(SUBSTITUTE(H440,{"0","1","2","3","4","5","6","7","8","9","."},"")))))))),ISNUMBER(I440),ISTEXT(J440))</f>
        <v>0</v>
      </c>
      <c r="AO440" s="19" t="b">
        <f t="shared" si="525"/>
        <v>0</v>
      </c>
      <c r="AP440" s="19" t="b">
        <f t="shared" si="526"/>
        <v>1</v>
      </c>
      <c r="AQ440" s="19" t="b">
        <f>IF(AND(COUNTBLANK(E440:J440)=6,OR(AN441:AN$523)),NOT(AN440))</f>
        <v>0</v>
      </c>
      <c r="AR440" s="19" t="str">
        <f t="shared" si="527"/>
        <v/>
      </c>
      <c r="AS440" s="19" t="b">
        <f t="shared" si="528"/>
        <v>1</v>
      </c>
      <c r="AT440" s="19" t="str">
        <f t="shared" si="529"/>
        <v/>
      </c>
      <c r="AU440" s="19" t="b">
        <f t="shared" si="530"/>
        <v>1</v>
      </c>
      <c r="AV440" s="140" t="str">
        <f t="shared" si="570"/>
        <v/>
      </c>
      <c r="AW440" s="19" t="str">
        <f t="shared" si="531"/>
        <v/>
      </c>
      <c r="AX440" s="81">
        <f t="shared" si="532"/>
        <v>0</v>
      </c>
      <c r="AY440" s="81" t="str">
        <f t="shared" si="533"/>
        <v/>
      </c>
      <c r="AZ440" s="307" t="str">
        <f t="shared" si="563"/>
        <v/>
      </c>
      <c r="BA440" s="281" t="str">
        <f t="shared" si="571"/>
        <v/>
      </c>
      <c r="BB440" s="281" t="str">
        <f t="shared" si="572"/>
        <v/>
      </c>
      <c r="BC440" s="953"/>
      <c r="BD440" s="955"/>
      <c r="BE440" s="219" t="str">
        <f t="shared" si="534"/>
        <v>n/a</v>
      </c>
      <c r="BF440" s="215" t="b">
        <f t="shared" si="535"/>
        <v>0</v>
      </c>
      <c r="BG440" s="145" t="b">
        <f t="shared" si="536"/>
        <v>0</v>
      </c>
      <c r="BH440" s="145" t="b">
        <f t="shared" si="537"/>
        <v>0</v>
      </c>
      <c r="BI440" s="216" t="b">
        <f t="shared" si="538"/>
        <v>0</v>
      </c>
      <c r="BJ440" s="215" t="b">
        <f t="shared" si="539"/>
        <v>0</v>
      </c>
      <c r="BK440" s="145" t="b">
        <f t="shared" si="540"/>
        <v>0</v>
      </c>
      <c r="BL440" s="216" t="b">
        <f t="shared" si="541"/>
        <v>0</v>
      </c>
      <c r="BM440" s="217" t="str">
        <f t="shared" si="573"/>
        <v/>
      </c>
      <c r="BN440" s="146" t="str">
        <f t="shared" si="574"/>
        <v/>
      </c>
      <c r="BO440" s="147" t="str">
        <f t="shared" si="575"/>
        <v/>
      </c>
      <c r="BP440" s="148" t="str">
        <f t="shared" si="576"/>
        <v/>
      </c>
      <c r="BT440" s="50">
        <f t="shared" si="493"/>
        <v>417</v>
      </c>
      <c r="BU440" s="50" t="str">
        <f t="shared" si="592"/>
        <v>-</v>
      </c>
      <c r="BW440" s="333"/>
      <c r="BX440" s="333"/>
      <c r="BY440" s="333"/>
      <c r="BZ440" s="333"/>
      <c r="CA440" s="333"/>
      <c r="CB440" s="333"/>
      <c r="CC440" s="333"/>
      <c r="CD440" s="333"/>
      <c r="CE440" s="333"/>
      <c r="CF440" s="333"/>
      <c r="CG440" s="354">
        <f t="shared" si="542"/>
        <v>417</v>
      </c>
      <c r="CH440" s="613">
        <f t="shared" si="543"/>
        <v>0</v>
      </c>
      <c r="CI440" s="613">
        <f t="shared" si="544"/>
        <v>0</v>
      </c>
      <c r="CJ440" s="614" t="str">
        <f t="shared" si="545"/>
        <v/>
      </c>
      <c r="CK440" s="615" t="str">
        <f t="shared" si="546"/>
        <v/>
      </c>
      <c r="CL440" s="610" t="str">
        <f>IF(ISBLANK(H440),"",IF(AND(ISNUMBER(F440),ISNUMBER(G440),ISNUMBER(H440)),ROUND(F440/(H440*G440),2),ROUND(F440/(VALUE(LEFT(H440,SUM(LEN(H440)-LEN(SUBSTITUTE(H440,{"0","1","2","3","4","5","6","7","8","9","."},"")))))*G440),2)))</f>
        <v/>
      </c>
      <c r="CM440" s="616" t="str">
        <f t="shared" si="577"/>
        <v/>
      </c>
      <c r="CN440" s="616" t="str">
        <f>IF(ISNUMBER(P440),MAX('Adjustment factors'!$S$16,(0.2+0.8*P440)),IF(ISTEXT(N440),VLOOKUP(N440,Afactors,2,FALSE),""))</f>
        <v/>
      </c>
      <c r="CO440" s="616" t="str">
        <f>IF(ISNUMBER(S440),MAX('Adjustment factors'!$S$16,0.2+0.8*S440),IF(ISTEXT(Q440),VLOOKUP(Q440,Afactors,2,FALSE),""))</f>
        <v/>
      </c>
      <c r="CP440" s="611" t="str">
        <f t="shared" si="564"/>
        <v/>
      </c>
      <c r="CQ440" s="612" t="str">
        <f t="shared" si="565"/>
        <v/>
      </c>
      <c r="CR440" s="340"/>
      <c r="CS440" s="340"/>
      <c r="CT440" s="340"/>
      <c r="CU440" s="340"/>
      <c r="CV440" s="333"/>
      <c r="CW440" s="333"/>
      <c r="CX440" s="333"/>
      <c r="CY440" s="333"/>
      <c r="DA440" s="313" t="str">
        <f t="shared" si="547"/>
        <v>OK</v>
      </c>
      <c r="DB440" s="313" t="str">
        <f t="shared" si="548"/>
        <v>OK</v>
      </c>
      <c r="DC440" s="313" t="str">
        <f t="shared" si="549"/>
        <v>OK</v>
      </c>
      <c r="DD440" s="313" t="str">
        <f t="shared" si="550"/>
        <v>OK</v>
      </c>
      <c r="DE440" s="153" t="str">
        <f t="shared" si="551"/>
        <v>OK</v>
      </c>
      <c r="DF440" s="314" t="str">
        <f t="shared" si="552"/>
        <v>OK</v>
      </c>
      <c r="DG440" s="482" t="str">
        <f t="shared" si="566"/>
        <v>OK</v>
      </c>
      <c r="DH440" s="482" t="str">
        <f>IF(OR(AND(T440='Adjustment factors'!$R$28,'Class 3, 5-9'!U440='Adjustment factors'!$R$29),AND('Class 3, 5-9'!T440='Adjustment factors'!$R$29,'Class 3, 5-9'!U440='Adjustment factors'!$R$28)),"Invalid combination of adjustment factors",IF(AND(T440=U440,NOT(ISBLANK(T440)),NOT(ISBLANK(U440))),"Same colour factor selected twice","OK"))</f>
        <v>OK</v>
      </c>
      <c r="DI440" s="313" t="str">
        <f t="shared" si="553"/>
        <v>OK</v>
      </c>
      <c r="DJ440" s="153" t="str">
        <f t="shared" si="578"/>
        <v>OK</v>
      </c>
      <c r="DK440" s="153" t="str">
        <f t="shared" si="554"/>
        <v>OK</v>
      </c>
      <c r="DL440" s="313" t="str">
        <f t="shared" si="555"/>
        <v>OK</v>
      </c>
      <c r="DM440" s="153" t="str">
        <f t="shared" si="556"/>
        <v>OK</v>
      </c>
      <c r="DN440" s="153" t="str">
        <f t="shared" si="579"/>
        <v>OK</v>
      </c>
      <c r="DO440" s="154" t="str">
        <f t="shared" si="580"/>
        <v>OK</v>
      </c>
      <c r="DP440" s="153" t="str">
        <f t="shared" si="557"/>
        <v>OK</v>
      </c>
      <c r="DQ440" s="313" t="str">
        <f t="shared" si="558"/>
        <v>OK</v>
      </c>
      <c r="DR440" s="153" t="str">
        <f t="shared" si="581"/>
        <v>OK</v>
      </c>
      <c r="DS440" s="153" t="str">
        <f t="shared" si="559"/>
        <v>OK</v>
      </c>
      <c r="DT440" s="313" t="str">
        <f t="shared" si="594"/>
        <v>OK</v>
      </c>
      <c r="DU440" s="153" t="str">
        <f t="shared" si="560"/>
        <v>OK</v>
      </c>
      <c r="DV440" s="153" t="str">
        <f t="shared" si="582"/>
        <v>OK</v>
      </c>
      <c r="DW440" s="154" t="str">
        <f t="shared" si="583"/>
        <v>OK</v>
      </c>
      <c r="DX440" s="157">
        <f t="shared" si="584"/>
        <v>0</v>
      </c>
      <c r="DY440" s="156" t="str">
        <f t="shared" si="585"/>
        <v>OK</v>
      </c>
    </row>
    <row r="441" spans="1:129" ht="13" hidden="1" x14ac:dyDescent="0.3">
      <c r="A441" s="333"/>
      <c r="B441" s="333"/>
      <c r="C441" s="331" t="str">
        <f t="shared" si="593"/>
        <v>-</v>
      </c>
      <c r="D441" s="584">
        <f t="shared" si="492"/>
        <v>418</v>
      </c>
      <c r="E441" s="585"/>
      <c r="F441" s="586"/>
      <c r="G441" s="600"/>
      <c r="H441" s="587"/>
      <c r="I441" s="601"/>
      <c r="J441" s="585"/>
      <c r="K441" s="617"/>
      <c r="L441" s="602"/>
      <c r="M441" s="603"/>
      <c r="N441" s="588"/>
      <c r="O441" s="604"/>
      <c r="P441" s="605"/>
      <c r="Q441" s="588"/>
      <c r="R441" s="604"/>
      <c r="S441" s="605"/>
      <c r="T441" s="606"/>
      <c r="U441" s="606"/>
      <c r="V441" s="429" t="str">
        <f t="shared" si="590"/>
        <v/>
      </c>
      <c r="W441" s="430" t="str">
        <f t="shared" si="589"/>
        <v/>
      </c>
      <c r="X441" s="66" t="str">
        <f>IF(AND(ISNUMBER(P441),N441=FixedDim),MAX('Adjustment factors'!$S$16,0.2+0.8*P441),IF(ISTEXT(N441),VLOOKUP(N441,Afactors,2,TRUE),""))</f>
        <v/>
      </c>
      <c r="Y441" s="17" t="str">
        <f>IF(AND(ISNUMBER(S441),Q441=FixedDim),MAX('Adjustment factors'!$S$16,0.2+0.8*S441),IF(ISTEXT(Q441),VLOOKUP(Q441,Afactors,2,TRUE),""))</f>
        <v/>
      </c>
      <c r="Z441" s="297" t="str">
        <f>IF(ISBLANK(T441),"",VLOOKUP(T441,'Adjustment factors'!$R$27:$S$30,2,TRUE))</f>
        <v/>
      </c>
      <c r="AA441" s="297" t="str">
        <f>IF(ISBLANK(U441),"",VLOOKUP(U441,'Adjustment factors'!$R$27:$S$30,2,TRUE))</f>
        <v/>
      </c>
      <c r="AB441" s="480">
        <f t="shared" si="561"/>
        <v>1</v>
      </c>
      <c r="AC441" s="18" t="b">
        <f t="shared" si="518"/>
        <v>0</v>
      </c>
      <c r="AD441" s="18" t="b">
        <f t="shared" si="519"/>
        <v>0</v>
      </c>
      <c r="AE441" s="18" t="b">
        <f t="shared" si="586"/>
        <v>0</v>
      </c>
      <c r="AF441" s="17" t="str">
        <f t="shared" si="520"/>
        <v/>
      </c>
      <c r="AG441" s="18" t="str">
        <f t="shared" si="521"/>
        <v/>
      </c>
      <c r="AH441" s="17" t="str">
        <f t="shared" si="587"/>
        <v/>
      </c>
      <c r="AI441" s="297" t="e">
        <f t="shared" si="562"/>
        <v>#VALUE!</v>
      </c>
      <c r="AJ441" s="79" t="e">
        <f t="shared" si="522"/>
        <v>#VALUE!</v>
      </c>
      <c r="AK441" s="17" t="str">
        <f t="shared" si="588"/>
        <v/>
      </c>
      <c r="AL441" s="80" t="e">
        <f t="shared" si="523"/>
        <v>#VALUE!</v>
      </c>
      <c r="AM441" s="139" t="b">
        <f t="shared" si="524"/>
        <v>1</v>
      </c>
      <c r="AN441" s="139" t="b">
        <f>AND(COUNTA(E441)&gt;0,ISNUMBER(F441),OR(COUNT(G441:H441)=0,COUNT(G441:H441)=2,AND(ISNUMBER(G441),ISNUMBER(VALUE(LEFT(H441,SUM(LEN(H441)-LEN(SUBSTITUTE(H441,{"0","1","2","3","4","5","6","7","8","9","."},"")))))))),ISNUMBER(I441),ISTEXT(J441))</f>
        <v>0</v>
      </c>
      <c r="AO441" s="19" t="b">
        <f t="shared" si="525"/>
        <v>0</v>
      </c>
      <c r="AP441" s="19" t="b">
        <f t="shared" si="526"/>
        <v>1</v>
      </c>
      <c r="AQ441" s="19" t="b">
        <f>IF(AND(COUNTBLANK(E441:J441)=6,OR(AN442:AN$523)),NOT(AN441))</f>
        <v>0</v>
      </c>
      <c r="AR441" s="19" t="str">
        <f t="shared" si="527"/>
        <v/>
      </c>
      <c r="AS441" s="19" t="b">
        <f t="shared" si="528"/>
        <v>1</v>
      </c>
      <c r="AT441" s="19" t="str">
        <f t="shared" si="529"/>
        <v/>
      </c>
      <c r="AU441" s="19" t="b">
        <f t="shared" si="530"/>
        <v>1</v>
      </c>
      <c r="AV441" s="140" t="str">
        <f t="shared" si="570"/>
        <v/>
      </c>
      <c r="AW441" s="19" t="str">
        <f t="shared" si="531"/>
        <v/>
      </c>
      <c r="AX441" s="81">
        <f t="shared" si="532"/>
        <v>0</v>
      </c>
      <c r="AY441" s="81" t="str">
        <f t="shared" si="533"/>
        <v/>
      </c>
      <c r="AZ441" s="307" t="str">
        <f t="shared" si="563"/>
        <v/>
      </c>
      <c r="BA441" s="281" t="str">
        <f t="shared" si="571"/>
        <v/>
      </c>
      <c r="BB441" s="281" t="str">
        <f t="shared" si="572"/>
        <v/>
      </c>
      <c r="BC441" s="953"/>
      <c r="BD441" s="955"/>
      <c r="BE441" s="219" t="str">
        <f t="shared" si="534"/>
        <v>n/a</v>
      </c>
      <c r="BF441" s="215" t="b">
        <f t="shared" si="535"/>
        <v>0</v>
      </c>
      <c r="BG441" s="145" t="b">
        <f t="shared" si="536"/>
        <v>0</v>
      </c>
      <c r="BH441" s="145" t="b">
        <f t="shared" si="537"/>
        <v>0</v>
      </c>
      <c r="BI441" s="216" t="b">
        <f t="shared" si="538"/>
        <v>0</v>
      </c>
      <c r="BJ441" s="215" t="b">
        <f t="shared" si="539"/>
        <v>0</v>
      </c>
      <c r="BK441" s="145" t="b">
        <f t="shared" si="540"/>
        <v>0</v>
      </c>
      <c r="BL441" s="216" t="b">
        <f t="shared" si="541"/>
        <v>0</v>
      </c>
      <c r="BM441" s="217" t="str">
        <f t="shared" si="573"/>
        <v/>
      </c>
      <c r="BN441" s="146" t="str">
        <f t="shared" si="574"/>
        <v/>
      </c>
      <c r="BO441" s="147" t="str">
        <f t="shared" si="575"/>
        <v/>
      </c>
      <c r="BP441" s="148" t="str">
        <f t="shared" si="576"/>
        <v/>
      </c>
      <c r="BT441" s="50">
        <f t="shared" si="493"/>
        <v>418</v>
      </c>
      <c r="BU441" s="50" t="str">
        <f t="shared" si="592"/>
        <v>-</v>
      </c>
      <c r="BW441" s="333"/>
      <c r="BX441" s="333"/>
      <c r="BY441" s="333"/>
      <c r="BZ441" s="333"/>
      <c r="CA441" s="333"/>
      <c r="CB441" s="333"/>
      <c r="CC441" s="333"/>
      <c r="CD441" s="333"/>
      <c r="CE441" s="333"/>
      <c r="CF441" s="333"/>
      <c r="CG441" s="354">
        <f t="shared" si="542"/>
        <v>418</v>
      </c>
      <c r="CH441" s="613">
        <f t="shared" si="543"/>
        <v>0</v>
      </c>
      <c r="CI441" s="613">
        <f t="shared" si="544"/>
        <v>0</v>
      </c>
      <c r="CJ441" s="614" t="str">
        <f t="shared" si="545"/>
        <v/>
      </c>
      <c r="CK441" s="615" t="str">
        <f t="shared" si="546"/>
        <v/>
      </c>
      <c r="CL441" s="610" t="str">
        <f>IF(ISBLANK(H441),"",IF(AND(ISNUMBER(F441),ISNUMBER(G441),ISNUMBER(H441)),ROUND(F441/(H441*G441),2),ROUND(F441/(VALUE(LEFT(H441,SUM(LEN(H441)-LEN(SUBSTITUTE(H441,{"0","1","2","3","4","5","6","7","8","9","."},"")))))*G441),2)))</f>
        <v/>
      </c>
      <c r="CM441" s="616" t="str">
        <f t="shared" si="577"/>
        <v/>
      </c>
      <c r="CN441" s="616" t="str">
        <f>IF(ISNUMBER(P441),MAX('Adjustment factors'!$S$16,(0.2+0.8*P441)),IF(ISTEXT(N441),VLOOKUP(N441,Afactors,2,FALSE),""))</f>
        <v/>
      </c>
      <c r="CO441" s="616" t="str">
        <f>IF(ISNUMBER(S441),MAX('Adjustment factors'!$S$16,0.2+0.8*S441),IF(ISTEXT(Q441),VLOOKUP(Q441,Afactors,2,FALSE),""))</f>
        <v/>
      </c>
      <c r="CP441" s="611" t="str">
        <f t="shared" si="564"/>
        <v/>
      </c>
      <c r="CQ441" s="612" t="str">
        <f t="shared" si="565"/>
        <v/>
      </c>
      <c r="CR441" s="340"/>
      <c r="CS441" s="340"/>
      <c r="CT441" s="340"/>
      <c r="CU441" s="340"/>
      <c r="CV441" s="333"/>
      <c r="CW441" s="333"/>
      <c r="CX441" s="333"/>
      <c r="CY441" s="333"/>
      <c r="DA441" s="313" t="str">
        <f t="shared" si="547"/>
        <v>OK</v>
      </c>
      <c r="DB441" s="313" t="str">
        <f t="shared" si="548"/>
        <v>OK</v>
      </c>
      <c r="DC441" s="313" t="str">
        <f t="shared" si="549"/>
        <v>OK</v>
      </c>
      <c r="DD441" s="313" t="str">
        <f t="shared" si="550"/>
        <v>OK</v>
      </c>
      <c r="DE441" s="153" t="str">
        <f t="shared" si="551"/>
        <v>OK</v>
      </c>
      <c r="DF441" s="314" t="str">
        <f t="shared" si="552"/>
        <v>OK</v>
      </c>
      <c r="DG441" s="482" t="str">
        <f t="shared" si="566"/>
        <v>OK</v>
      </c>
      <c r="DH441" s="482" t="str">
        <f>IF(OR(AND(T441='Adjustment factors'!$R$28,'Class 3, 5-9'!U441='Adjustment factors'!$R$29),AND('Class 3, 5-9'!T441='Adjustment factors'!$R$29,'Class 3, 5-9'!U441='Adjustment factors'!$R$28)),"Invalid combination of adjustment factors",IF(AND(T441=U441,NOT(ISBLANK(T441)),NOT(ISBLANK(U441))),"Same colour factor selected twice","OK"))</f>
        <v>OK</v>
      </c>
      <c r="DI441" s="313" t="str">
        <f t="shared" si="553"/>
        <v>OK</v>
      </c>
      <c r="DJ441" s="153" t="str">
        <f t="shared" si="578"/>
        <v>OK</v>
      </c>
      <c r="DK441" s="153" t="str">
        <f t="shared" si="554"/>
        <v>OK</v>
      </c>
      <c r="DL441" s="313" t="str">
        <f t="shared" si="555"/>
        <v>OK</v>
      </c>
      <c r="DM441" s="153" t="str">
        <f t="shared" si="556"/>
        <v>OK</v>
      </c>
      <c r="DN441" s="153" t="str">
        <f t="shared" si="579"/>
        <v>OK</v>
      </c>
      <c r="DO441" s="154" t="str">
        <f t="shared" si="580"/>
        <v>OK</v>
      </c>
      <c r="DP441" s="153" t="str">
        <f t="shared" si="557"/>
        <v>OK</v>
      </c>
      <c r="DQ441" s="313" t="str">
        <f t="shared" si="558"/>
        <v>OK</v>
      </c>
      <c r="DR441" s="153" t="str">
        <f t="shared" si="581"/>
        <v>OK</v>
      </c>
      <c r="DS441" s="153" t="str">
        <f t="shared" si="559"/>
        <v>OK</v>
      </c>
      <c r="DT441" s="313" t="str">
        <f t="shared" si="594"/>
        <v>OK</v>
      </c>
      <c r="DU441" s="153" t="str">
        <f t="shared" si="560"/>
        <v>OK</v>
      </c>
      <c r="DV441" s="153" t="str">
        <f t="shared" si="582"/>
        <v>OK</v>
      </c>
      <c r="DW441" s="154" t="str">
        <f t="shared" si="583"/>
        <v>OK</v>
      </c>
      <c r="DX441" s="157">
        <f t="shared" si="584"/>
        <v>0</v>
      </c>
      <c r="DY441" s="156" t="str">
        <f t="shared" si="585"/>
        <v>OK</v>
      </c>
    </row>
    <row r="442" spans="1:129" ht="13" hidden="1" x14ac:dyDescent="0.3">
      <c r="A442" s="333"/>
      <c r="B442" s="333"/>
      <c r="C442" s="331" t="str">
        <f t="shared" si="593"/>
        <v>-</v>
      </c>
      <c r="D442" s="584">
        <f t="shared" si="492"/>
        <v>419</v>
      </c>
      <c r="E442" s="585"/>
      <c r="F442" s="586"/>
      <c r="G442" s="600"/>
      <c r="H442" s="587"/>
      <c r="I442" s="601"/>
      <c r="J442" s="585"/>
      <c r="K442" s="617"/>
      <c r="L442" s="602"/>
      <c r="M442" s="603"/>
      <c r="N442" s="588"/>
      <c r="O442" s="604"/>
      <c r="P442" s="605"/>
      <c r="Q442" s="588"/>
      <c r="R442" s="604"/>
      <c r="S442" s="605"/>
      <c r="T442" s="606"/>
      <c r="U442" s="606"/>
      <c r="V442" s="429" t="str">
        <f t="shared" si="590"/>
        <v/>
      </c>
      <c r="W442" s="430" t="str">
        <f t="shared" si="589"/>
        <v/>
      </c>
      <c r="X442" s="66" t="str">
        <f>IF(AND(ISNUMBER(P442),N442=FixedDim),MAX('Adjustment factors'!$S$16,0.2+0.8*P442),IF(ISTEXT(N442),VLOOKUP(N442,Afactors,2,TRUE),""))</f>
        <v/>
      </c>
      <c r="Y442" s="17" t="str">
        <f>IF(AND(ISNUMBER(S442),Q442=FixedDim),MAX('Adjustment factors'!$S$16,0.2+0.8*S442),IF(ISTEXT(Q442),VLOOKUP(Q442,Afactors,2,TRUE),""))</f>
        <v/>
      </c>
      <c r="Z442" s="297" t="str">
        <f>IF(ISBLANK(T442),"",VLOOKUP(T442,'Adjustment factors'!$R$27:$S$30,2,TRUE))</f>
        <v/>
      </c>
      <c r="AA442" s="297" t="str">
        <f>IF(ISBLANK(U442),"",VLOOKUP(U442,'Adjustment factors'!$R$27:$S$30,2,TRUE))</f>
        <v/>
      </c>
      <c r="AB442" s="480">
        <f t="shared" si="561"/>
        <v>1</v>
      </c>
      <c r="AC442" s="18" t="b">
        <f t="shared" si="518"/>
        <v>0</v>
      </c>
      <c r="AD442" s="18" t="b">
        <f t="shared" si="519"/>
        <v>0</v>
      </c>
      <c r="AE442" s="18" t="b">
        <f t="shared" si="586"/>
        <v>0</v>
      </c>
      <c r="AF442" s="17" t="str">
        <f t="shared" si="520"/>
        <v/>
      </c>
      <c r="AG442" s="18" t="str">
        <f t="shared" si="521"/>
        <v/>
      </c>
      <c r="AH442" s="17" t="str">
        <f t="shared" si="587"/>
        <v/>
      </c>
      <c r="AI442" s="297" t="e">
        <f t="shared" si="562"/>
        <v>#VALUE!</v>
      </c>
      <c r="AJ442" s="79" t="e">
        <f t="shared" si="522"/>
        <v>#VALUE!</v>
      </c>
      <c r="AK442" s="17" t="str">
        <f t="shared" si="588"/>
        <v/>
      </c>
      <c r="AL442" s="80" t="e">
        <f t="shared" si="523"/>
        <v>#VALUE!</v>
      </c>
      <c r="AM442" s="139" t="b">
        <f t="shared" si="524"/>
        <v>1</v>
      </c>
      <c r="AN442" s="139" t="b">
        <f>AND(COUNTA(E442)&gt;0,ISNUMBER(F442),OR(COUNT(G442:H442)=0,COUNT(G442:H442)=2,AND(ISNUMBER(G442),ISNUMBER(VALUE(LEFT(H442,SUM(LEN(H442)-LEN(SUBSTITUTE(H442,{"0","1","2","3","4","5","6","7","8","9","."},"")))))))),ISNUMBER(I442),ISTEXT(J442))</f>
        <v>0</v>
      </c>
      <c r="AO442" s="19" t="b">
        <f t="shared" si="525"/>
        <v>0</v>
      </c>
      <c r="AP442" s="19" t="b">
        <f t="shared" si="526"/>
        <v>1</v>
      </c>
      <c r="AQ442" s="19" t="b">
        <f>IF(AND(COUNTBLANK(E442:J442)=6,OR(AN443:AN$523)),NOT(AN442))</f>
        <v>0</v>
      </c>
      <c r="AR442" s="19" t="str">
        <f t="shared" si="527"/>
        <v/>
      </c>
      <c r="AS442" s="19" t="b">
        <f t="shared" si="528"/>
        <v>1</v>
      </c>
      <c r="AT442" s="19" t="str">
        <f t="shared" si="529"/>
        <v/>
      </c>
      <c r="AU442" s="19" t="b">
        <f t="shared" si="530"/>
        <v>1</v>
      </c>
      <c r="AV442" s="140" t="str">
        <f t="shared" si="570"/>
        <v/>
      </c>
      <c r="AW442" s="19" t="str">
        <f t="shared" si="531"/>
        <v/>
      </c>
      <c r="AX442" s="81">
        <f t="shared" si="532"/>
        <v>0</v>
      </c>
      <c r="AY442" s="81" t="str">
        <f t="shared" si="533"/>
        <v/>
      </c>
      <c r="AZ442" s="307" t="str">
        <f t="shared" si="563"/>
        <v/>
      </c>
      <c r="BA442" s="281" t="str">
        <f t="shared" si="571"/>
        <v/>
      </c>
      <c r="BB442" s="281" t="str">
        <f t="shared" si="572"/>
        <v/>
      </c>
      <c r="BC442" s="953"/>
      <c r="BD442" s="955"/>
      <c r="BE442" s="219" t="str">
        <f t="shared" si="534"/>
        <v>n/a</v>
      </c>
      <c r="BF442" s="215" t="b">
        <f t="shared" si="535"/>
        <v>0</v>
      </c>
      <c r="BG442" s="145" t="b">
        <f t="shared" si="536"/>
        <v>0</v>
      </c>
      <c r="BH442" s="145" t="b">
        <f t="shared" si="537"/>
        <v>0</v>
      </c>
      <c r="BI442" s="216" t="b">
        <f t="shared" si="538"/>
        <v>0</v>
      </c>
      <c r="BJ442" s="215" t="b">
        <f t="shared" si="539"/>
        <v>0</v>
      </c>
      <c r="BK442" s="145" t="b">
        <f t="shared" si="540"/>
        <v>0</v>
      </c>
      <c r="BL442" s="216" t="b">
        <f t="shared" si="541"/>
        <v>0</v>
      </c>
      <c r="BM442" s="217" t="str">
        <f t="shared" si="573"/>
        <v/>
      </c>
      <c r="BN442" s="146" t="str">
        <f t="shared" si="574"/>
        <v/>
      </c>
      <c r="BO442" s="147" t="str">
        <f t="shared" si="575"/>
        <v/>
      </c>
      <c r="BP442" s="148" t="str">
        <f t="shared" si="576"/>
        <v/>
      </c>
      <c r="BT442" s="50">
        <f t="shared" si="493"/>
        <v>419</v>
      </c>
      <c r="BU442" s="50" t="str">
        <f t="shared" si="592"/>
        <v>-</v>
      </c>
      <c r="BW442" s="333"/>
      <c r="BX442" s="333"/>
      <c r="BY442" s="333"/>
      <c r="BZ442" s="333"/>
      <c r="CA442" s="333"/>
      <c r="CB442" s="333"/>
      <c r="CC442" s="333"/>
      <c r="CD442" s="333"/>
      <c r="CE442" s="333"/>
      <c r="CF442" s="333"/>
      <c r="CG442" s="354">
        <f t="shared" si="542"/>
        <v>419</v>
      </c>
      <c r="CH442" s="613">
        <f t="shared" si="543"/>
        <v>0</v>
      </c>
      <c r="CI442" s="613">
        <f t="shared" si="544"/>
        <v>0</v>
      </c>
      <c r="CJ442" s="614" t="str">
        <f t="shared" si="545"/>
        <v/>
      </c>
      <c r="CK442" s="615" t="str">
        <f t="shared" si="546"/>
        <v/>
      </c>
      <c r="CL442" s="610" t="str">
        <f>IF(ISBLANK(H442),"",IF(AND(ISNUMBER(F442),ISNUMBER(G442),ISNUMBER(H442)),ROUND(F442/(H442*G442),2),ROUND(F442/(VALUE(LEFT(H442,SUM(LEN(H442)-LEN(SUBSTITUTE(H442,{"0","1","2","3","4","5","6","7","8","9","."},"")))))*G442),2)))</f>
        <v/>
      </c>
      <c r="CM442" s="616" t="str">
        <f t="shared" si="577"/>
        <v/>
      </c>
      <c r="CN442" s="616" t="str">
        <f>IF(ISNUMBER(P442),MAX('Adjustment factors'!$S$16,(0.2+0.8*P442)),IF(ISTEXT(N442),VLOOKUP(N442,Afactors,2,FALSE),""))</f>
        <v/>
      </c>
      <c r="CO442" s="616" t="str">
        <f>IF(ISNUMBER(S442),MAX('Adjustment factors'!$S$16,0.2+0.8*S442),IF(ISTEXT(Q442),VLOOKUP(Q442,Afactors,2,FALSE),""))</f>
        <v/>
      </c>
      <c r="CP442" s="611" t="str">
        <f t="shared" si="564"/>
        <v/>
      </c>
      <c r="CQ442" s="612" t="str">
        <f t="shared" si="565"/>
        <v/>
      </c>
      <c r="CR442" s="340"/>
      <c r="CS442" s="340"/>
      <c r="CT442" s="340"/>
      <c r="CU442" s="340"/>
      <c r="CV442" s="333"/>
      <c r="CW442" s="333"/>
      <c r="CX442" s="333"/>
      <c r="CY442" s="333"/>
      <c r="DA442" s="313" t="str">
        <f t="shared" si="547"/>
        <v>OK</v>
      </c>
      <c r="DB442" s="313" t="str">
        <f t="shared" si="548"/>
        <v>OK</v>
      </c>
      <c r="DC442" s="313" t="str">
        <f t="shared" si="549"/>
        <v>OK</v>
      </c>
      <c r="DD442" s="313" t="str">
        <f t="shared" si="550"/>
        <v>OK</v>
      </c>
      <c r="DE442" s="153" t="str">
        <f t="shared" si="551"/>
        <v>OK</v>
      </c>
      <c r="DF442" s="314" t="str">
        <f t="shared" si="552"/>
        <v>OK</v>
      </c>
      <c r="DG442" s="482" t="str">
        <f t="shared" si="566"/>
        <v>OK</v>
      </c>
      <c r="DH442" s="482" t="str">
        <f>IF(OR(AND(T442='Adjustment factors'!$R$28,'Class 3, 5-9'!U442='Adjustment factors'!$R$29),AND('Class 3, 5-9'!T442='Adjustment factors'!$R$29,'Class 3, 5-9'!U442='Adjustment factors'!$R$28)),"Invalid combination of adjustment factors",IF(AND(T442=U442,NOT(ISBLANK(T442)),NOT(ISBLANK(U442))),"Same colour factor selected twice","OK"))</f>
        <v>OK</v>
      </c>
      <c r="DI442" s="313" t="str">
        <f t="shared" si="553"/>
        <v>OK</v>
      </c>
      <c r="DJ442" s="153" t="str">
        <f t="shared" si="578"/>
        <v>OK</v>
      </c>
      <c r="DK442" s="153" t="str">
        <f t="shared" si="554"/>
        <v>OK</v>
      </c>
      <c r="DL442" s="313" t="str">
        <f t="shared" si="555"/>
        <v>OK</v>
      </c>
      <c r="DM442" s="153" t="str">
        <f t="shared" si="556"/>
        <v>OK</v>
      </c>
      <c r="DN442" s="153" t="str">
        <f t="shared" si="579"/>
        <v>OK</v>
      </c>
      <c r="DO442" s="154" t="str">
        <f t="shared" si="580"/>
        <v>OK</v>
      </c>
      <c r="DP442" s="153" t="str">
        <f t="shared" si="557"/>
        <v>OK</v>
      </c>
      <c r="DQ442" s="313" t="str">
        <f t="shared" si="558"/>
        <v>OK</v>
      </c>
      <c r="DR442" s="153" t="str">
        <f t="shared" si="581"/>
        <v>OK</v>
      </c>
      <c r="DS442" s="153" t="str">
        <f t="shared" si="559"/>
        <v>OK</v>
      </c>
      <c r="DT442" s="313" t="str">
        <f t="shared" si="594"/>
        <v>OK</v>
      </c>
      <c r="DU442" s="153" t="str">
        <f t="shared" si="560"/>
        <v>OK</v>
      </c>
      <c r="DV442" s="153" t="str">
        <f t="shared" si="582"/>
        <v>OK</v>
      </c>
      <c r="DW442" s="154" t="str">
        <f t="shared" si="583"/>
        <v>OK</v>
      </c>
      <c r="DX442" s="157">
        <f t="shared" si="584"/>
        <v>0</v>
      </c>
      <c r="DY442" s="156" t="str">
        <f t="shared" si="585"/>
        <v>OK</v>
      </c>
    </row>
    <row r="443" spans="1:129" ht="13" hidden="1" x14ac:dyDescent="0.3">
      <c r="A443" s="333"/>
      <c r="B443" s="333"/>
      <c r="C443" s="331" t="str">
        <f t="shared" si="593"/>
        <v>-</v>
      </c>
      <c r="D443" s="584">
        <f t="shared" si="492"/>
        <v>420</v>
      </c>
      <c r="E443" s="585"/>
      <c r="F443" s="586"/>
      <c r="G443" s="600"/>
      <c r="H443" s="587"/>
      <c r="I443" s="601"/>
      <c r="J443" s="585"/>
      <c r="K443" s="617"/>
      <c r="L443" s="602"/>
      <c r="M443" s="603"/>
      <c r="N443" s="588"/>
      <c r="O443" s="604"/>
      <c r="P443" s="605"/>
      <c r="Q443" s="588"/>
      <c r="R443" s="604"/>
      <c r="S443" s="605"/>
      <c r="T443" s="606"/>
      <c r="U443" s="606"/>
      <c r="V443" s="429" t="str">
        <f t="shared" si="590"/>
        <v/>
      </c>
      <c r="W443" s="430" t="str">
        <f t="shared" si="589"/>
        <v/>
      </c>
      <c r="X443" s="66" t="str">
        <f>IF(AND(ISNUMBER(P443),N443=FixedDim),MAX('Adjustment factors'!$S$16,0.2+0.8*P443),IF(ISTEXT(N443),VLOOKUP(N443,Afactors,2,TRUE),""))</f>
        <v/>
      </c>
      <c r="Y443" s="17" t="str">
        <f>IF(AND(ISNUMBER(S443),Q443=FixedDim),MAX('Adjustment factors'!$S$16,0.2+0.8*S443),IF(ISTEXT(Q443),VLOOKUP(Q443,Afactors,2,TRUE),""))</f>
        <v/>
      </c>
      <c r="Z443" s="297" t="str">
        <f>IF(ISBLANK(T443),"",VLOOKUP(T443,'Adjustment factors'!$R$27:$S$30,2,TRUE))</f>
        <v/>
      </c>
      <c r="AA443" s="297" t="str">
        <f>IF(ISBLANK(U443),"",VLOOKUP(U443,'Adjustment factors'!$R$27:$S$30,2,TRUE))</f>
        <v/>
      </c>
      <c r="AB443" s="480">
        <f t="shared" si="561"/>
        <v>1</v>
      </c>
      <c r="AC443" s="18" t="b">
        <f t="shared" si="518"/>
        <v>0</v>
      </c>
      <c r="AD443" s="18" t="b">
        <f t="shared" si="519"/>
        <v>0</v>
      </c>
      <c r="AE443" s="18" t="b">
        <f t="shared" si="586"/>
        <v>0</v>
      </c>
      <c r="AF443" s="17" t="str">
        <f t="shared" si="520"/>
        <v/>
      </c>
      <c r="AG443" s="18" t="str">
        <f t="shared" si="521"/>
        <v/>
      </c>
      <c r="AH443" s="17" t="str">
        <f t="shared" si="587"/>
        <v/>
      </c>
      <c r="AI443" s="297" t="e">
        <f t="shared" si="562"/>
        <v>#VALUE!</v>
      </c>
      <c r="AJ443" s="79" t="e">
        <f t="shared" si="522"/>
        <v>#VALUE!</v>
      </c>
      <c r="AK443" s="17" t="str">
        <f t="shared" si="588"/>
        <v/>
      </c>
      <c r="AL443" s="80" t="e">
        <f t="shared" si="523"/>
        <v>#VALUE!</v>
      </c>
      <c r="AM443" s="139" t="b">
        <f t="shared" si="524"/>
        <v>1</v>
      </c>
      <c r="AN443" s="139" t="b">
        <f>AND(COUNTA(E443)&gt;0,ISNUMBER(F443),OR(COUNT(G443:H443)=0,COUNT(G443:H443)=2,AND(ISNUMBER(G443),ISNUMBER(VALUE(LEFT(H443,SUM(LEN(H443)-LEN(SUBSTITUTE(H443,{"0","1","2","3","4","5","6","7","8","9","."},"")))))))),ISNUMBER(I443),ISTEXT(J443))</f>
        <v>0</v>
      </c>
      <c r="AO443" s="19" t="b">
        <f t="shared" si="525"/>
        <v>0</v>
      </c>
      <c r="AP443" s="19" t="b">
        <f t="shared" si="526"/>
        <v>1</v>
      </c>
      <c r="AQ443" s="19" t="b">
        <f>IF(AND(COUNTBLANK(E443:J443)=6,OR(AN444:AN$523)),NOT(AN443))</f>
        <v>0</v>
      </c>
      <c r="AR443" s="19" t="str">
        <f t="shared" si="527"/>
        <v/>
      </c>
      <c r="AS443" s="19" t="b">
        <f t="shared" si="528"/>
        <v>1</v>
      </c>
      <c r="AT443" s="19" t="str">
        <f t="shared" si="529"/>
        <v/>
      </c>
      <c r="AU443" s="19" t="b">
        <f t="shared" si="530"/>
        <v>1</v>
      </c>
      <c r="AV443" s="140" t="str">
        <f t="shared" si="570"/>
        <v/>
      </c>
      <c r="AW443" s="19" t="str">
        <f t="shared" si="531"/>
        <v/>
      </c>
      <c r="AX443" s="81">
        <f t="shared" si="532"/>
        <v>0</v>
      </c>
      <c r="AY443" s="81" t="str">
        <f t="shared" si="533"/>
        <v/>
      </c>
      <c r="AZ443" s="307" t="str">
        <f t="shared" si="563"/>
        <v/>
      </c>
      <c r="BA443" s="281" t="str">
        <f t="shared" si="571"/>
        <v/>
      </c>
      <c r="BB443" s="281" t="str">
        <f t="shared" si="572"/>
        <v/>
      </c>
      <c r="BC443" s="953"/>
      <c r="BD443" s="955"/>
      <c r="BE443" s="219" t="str">
        <f t="shared" si="534"/>
        <v>n/a</v>
      </c>
      <c r="BF443" s="215" t="b">
        <f t="shared" si="535"/>
        <v>0</v>
      </c>
      <c r="BG443" s="145" t="b">
        <f t="shared" si="536"/>
        <v>0</v>
      </c>
      <c r="BH443" s="145" t="b">
        <f t="shared" si="537"/>
        <v>0</v>
      </c>
      <c r="BI443" s="216" t="b">
        <f t="shared" si="538"/>
        <v>0</v>
      </c>
      <c r="BJ443" s="215" t="b">
        <f t="shared" si="539"/>
        <v>0</v>
      </c>
      <c r="BK443" s="145" t="b">
        <f t="shared" si="540"/>
        <v>0</v>
      </c>
      <c r="BL443" s="216" t="b">
        <f t="shared" si="541"/>
        <v>0</v>
      </c>
      <c r="BM443" s="217" t="str">
        <f t="shared" si="573"/>
        <v/>
      </c>
      <c r="BN443" s="146" t="str">
        <f t="shared" si="574"/>
        <v/>
      </c>
      <c r="BO443" s="147" t="str">
        <f t="shared" si="575"/>
        <v/>
      </c>
      <c r="BP443" s="148" t="str">
        <f t="shared" si="576"/>
        <v/>
      </c>
      <c r="BT443" s="50">
        <f t="shared" si="493"/>
        <v>420</v>
      </c>
      <c r="BU443" s="50" t="str">
        <f t="shared" si="592"/>
        <v>-</v>
      </c>
      <c r="BW443" s="333"/>
      <c r="BX443" s="333"/>
      <c r="BY443" s="333"/>
      <c r="BZ443" s="333"/>
      <c r="CA443" s="333"/>
      <c r="CB443" s="333"/>
      <c r="CC443" s="333"/>
      <c r="CD443" s="333"/>
      <c r="CE443" s="333"/>
      <c r="CF443" s="333"/>
      <c r="CG443" s="354">
        <f t="shared" si="542"/>
        <v>420</v>
      </c>
      <c r="CH443" s="613">
        <f t="shared" si="543"/>
        <v>0</v>
      </c>
      <c r="CI443" s="613">
        <f t="shared" si="544"/>
        <v>0</v>
      </c>
      <c r="CJ443" s="614" t="str">
        <f t="shared" si="545"/>
        <v/>
      </c>
      <c r="CK443" s="615" t="str">
        <f t="shared" si="546"/>
        <v/>
      </c>
      <c r="CL443" s="610" t="str">
        <f>IF(ISBLANK(H443),"",IF(AND(ISNUMBER(F443),ISNUMBER(G443),ISNUMBER(H443)),ROUND(F443/(H443*G443),2),ROUND(F443/(VALUE(LEFT(H443,SUM(LEN(H443)-LEN(SUBSTITUTE(H443,{"0","1","2","3","4","5","6","7","8","9","."},"")))))*G443),2)))</f>
        <v/>
      </c>
      <c r="CM443" s="616" t="str">
        <f t="shared" si="577"/>
        <v/>
      </c>
      <c r="CN443" s="616" t="str">
        <f>IF(ISNUMBER(P443),MAX('Adjustment factors'!$S$16,(0.2+0.8*P443)),IF(ISTEXT(N443),VLOOKUP(N443,Afactors,2,FALSE),""))</f>
        <v/>
      </c>
      <c r="CO443" s="616" t="str">
        <f>IF(ISNUMBER(S443),MAX('Adjustment factors'!$S$16,0.2+0.8*S443),IF(ISTEXT(Q443),VLOOKUP(Q443,Afactors,2,FALSE),""))</f>
        <v/>
      </c>
      <c r="CP443" s="611" t="str">
        <f t="shared" si="564"/>
        <v/>
      </c>
      <c r="CQ443" s="612" t="str">
        <f t="shared" si="565"/>
        <v/>
      </c>
      <c r="CR443" s="340"/>
      <c r="CS443" s="340"/>
      <c r="CT443" s="340"/>
      <c r="CU443" s="340"/>
      <c r="CV443" s="333"/>
      <c r="CW443" s="333"/>
      <c r="CX443" s="333"/>
      <c r="CY443" s="333"/>
      <c r="DA443" s="313" t="str">
        <f t="shared" si="547"/>
        <v>OK</v>
      </c>
      <c r="DB443" s="313" t="str">
        <f t="shared" si="548"/>
        <v>OK</v>
      </c>
      <c r="DC443" s="313" t="str">
        <f t="shared" si="549"/>
        <v>OK</v>
      </c>
      <c r="DD443" s="313" t="str">
        <f t="shared" si="550"/>
        <v>OK</v>
      </c>
      <c r="DE443" s="153" t="str">
        <f t="shared" si="551"/>
        <v>OK</v>
      </c>
      <c r="DF443" s="314" t="str">
        <f t="shared" si="552"/>
        <v>OK</v>
      </c>
      <c r="DG443" s="482" t="str">
        <f t="shared" si="566"/>
        <v>OK</v>
      </c>
      <c r="DH443" s="482" t="str">
        <f>IF(OR(AND(T443='Adjustment factors'!$R$28,'Class 3, 5-9'!U443='Adjustment factors'!$R$29),AND('Class 3, 5-9'!T443='Adjustment factors'!$R$29,'Class 3, 5-9'!U443='Adjustment factors'!$R$28)),"Invalid combination of adjustment factors",IF(AND(T443=U443,NOT(ISBLANK(T443)),NOT(ISBLANK(U443))),"Same colour factor selected twice","OK"))</f>
        <v>OK</v>
      </c>
      <c r="DI443" s="313" t="str">
        <f t="shared" si="553"/>
        <v>OK</v>
      </c>
      <c r="DJ443" s="153" t="str">
        <f t="shared" si="578"/>
        <v>OK</v>
      </c>
      <c r="DK443" s="153" t="str">
        <f t="shared" si="554"/>
        <v>OK</v>
      </c>
      <c r="DL443" s="313" t="str">
        <f t="shared" si="555"/>
        <v>OK</v>
      </c>
      <c r="DM443" s="153" t="str">
        <f t="shared" si="556"/>
        <v>OK</v>
      </c>
      <c r="DN443" s="153" t="str">
        <f t="shared" si="579"/>
        <v>OK</v>
      </c>
      <c r="DO443" s="154" t="str">
        <f t="shared" si="580"/>
        <v>OK</v>
      </c>
      <c r="DP443" s="153" t="str">
        <f t="shared" si="557"/>
        <v>OK</v>
      </c>
      <c r="DQ443" s="313" t="str">
        <f t="shared" si="558"/>
        <v>OK</v>
      </c>
      <c r="DR443" s="153" t="str">
        <f t="shared" si="581"/>
        <v>OK</v>
      </c>
      <c r="DS443" s="153" t="str">
        <f t="shared" si="559"/>
        <v>OK</v>
      </c>
      <c r="DT443" s="313" t="str">
        <f t="shared" si="594"/>
        <v>OK</v>
      </c>
      <c r="DU443" s="153" t="str">
        <f t="shared" si="560"/>
        <v>OK</v>
      </c>
      <c r="DV443" s="153" t="str">
        <f t="shared" si="582"/>
        <v>OK</v>
      </c>
      <c r="DW443" s="154" t="str">
        <f t="shared" si="583"/>
        <v>OK</v>
      </c>
      <c r="DX443" s="157">
        <f t="shared" si="584"/>
        <v>0</v>
      </c>
      <c r="DY443" s="156" t="str">
        <f t="shared" si="585"/>
        <v>OK</v>
      </c>
    </row>
    <row r="444" spans="1:129" ht="13" hidden="1" x14ac:dyDescent="0.3">
      <c r="A444" s="333"/>
      <c r="B444" s="333"/>
      <c r="C444" s="331" t="str">
        <f t="shared" si="593"/>
        <v>-</v>
      </c>
      <c r="D444" s="584">
        <f t="shared" si="492"/>
        <v>421</v>
      </c>
      <c r="E444" s="585"/>
      <c r="F444" s="586"/>
      <c r="G444" s="600"/>
      <c r="H444" s="587"/>
      <c r="I444" s="601"/>
      <c r="J444" s="585"/>
      <c r="K444" s="617"/>
      <c r="L444" s="602"/>
      <c r="M444" s="603"/>
      <c r="N444" s="588"/>
      <c r="O444" s="604"/>
      <c r="P444" s="605"/>
      <c r="Q444" s="588"/>
      <c r="R444" s="604"/>
      <c r="S444" s="605"/>
      <c r="T444" s="606"/>
      <c r="U444" s="606"/>
      <c r="V444" s="429" t="str">
        <f t="shared" si="590"/>
        <v/>
      </c>
      <c r="W444" s="430" t="str">
        <f t="shared" si="589"/>
        <v/>
      </c>
      <c r="X444" s="66" t="str">
        <f>IF(AND(ISNUMBER(P444),N444=FixedDim),MAX('Adjustment factors'!$S$16,0.2+0.8*P444),IF(ISTEXT(N444),VLOOKUP(N444,Afactors,2,TRUE),""))</f>
        <v/>
      </c>
      <c r="Y444" s="17" t="str">
        <f>IF(AND(ISNUMBER(S444),Q444=FixedDim),MAX('Adjustment factors'!$S$16,0.2+0.8*S444),IF(ISTEXT(Q444),VLOOKUP(Q444,Afactors,2,TRUE),""))</f>
        <v/>
      </c>
      <c r="Z444" s="297" t="str">
        <f>IF(ISBLANK(T444),"",VLOOKUP(T444,'Adjustment factors'!$R$27:$S$30,2,TRUE))</f>
        <v/>
      </c>
      <c r="AA444" s="297" t="str">
        <f>IF(ISBLANK(U444),"",VLOOKUP(U444,'Adjustment factors'!$R$27:$S$30,2,TRUE))</f>
        <v/>
      </c>
      <c r="AB444" s="480">
        <f t="shared" si="561"/>
        <v>1</v>
      </c>
      <c r="AC444" s="18" t="b">
        <f t="shared" si="518"/>
        <v>0</v>
      </c>
      <c r="AD444" s="18" t="b">
        <f t="shared" si="519"/>
        <v>0</v>
      </c>
      <c r="AE444" s="18" t="b">
        <f t="shared" si="586"/>
        <v>0</v>
      </c>
      <c r="AF444" s="17" t="str">
        <f t="shared" si="520"/>
        <v/>
      </c>
      <c r="AG444" s="18" t="str">
        <f t="shared" si="521"/>
        <v/>
      </c>
      <c r="AH444" s="17" t="str">
        <f t="shared" si="587"/>
        <v/>
      </c>
      <c r="AI444" s="297" t="e">
        <f t="shared" si="562"/>
        <v>#VALUE!</v>
      </c>
      <c r="AJ444" s="79" t="e">
        <f t="shared" si="522"/>
        <v>#VALUE!</v>
      </c>
      <c r="AK444" s="17" t="str">
        <f t="shared" si="588"/>
        <v/>
      </c>
      <c r="AL444" s="80" t="e">
        <f t="shared" si="523"/>
        <v>#VALUE!</v>
      </c>
      <c r="AM444" s="139" t="b">
        <f t="shared" si="524"/>
        <v>1</v>
      </c>
      <c r="AN444" s="139" t="b">
        <f>AND(COUNTA(E444)&gt;0,ISNUMBER(F444),OR(COUNT(G444:H444)=0,COUNT(G444:H444)=2,AND(ISNUMBER(G444),ISNUMBER(VALUE(LEFT(H444,SUM(LEN(H444)-LEN(SUBSTITUTE(H444,{"0","1","2","3","4","5","6","7","8","9","."},"")))))))),ISNUMBER(I444),ISTEXT(J444))</f>
        <v>0</v>
      </c>
      <c r="AO444" s="19" t="b">
        <f t="shared" si="525"/>
        <v>0</v>
      </c>
      <c r="AP444" s="19" t="b">
        <f t="shared" si="526"/>
        <v>1</v>
      </c>
      <c r="AQ444" s="19" t="b">
        <f>IF(AND(COUNTBLANK(E444:J444)=6,OR(AN445:AN$523)),NOT(AN444))</f>
        <v>0</v>
      </c>
      <c r="AR444" s="19" t="str">
        <f t="shared" si="527"/>
        <v/>
      </c>
      <c r="AS444" s="19" t="b">
        <f t="shared" si="528"/>
        <v>1</v>
      </c>
      <c r="AT444" s="19" t="str">
        <f t="shared" si="529"/>
        <v/>
      </c>
      <c r="AU444" s="19" t="b">
        <f t="shared" si="530"/>
        <v>1</v>
      </c>
      <c r="AV444" s="140" t="str">
        <f t="shared" si="570"/>
        <v/>
      </c>
      <c r="AW444" s="19" t="str">
        <f t="shared" si="531"/>
        <v/>
      </c>
      <c r="AX444" s="81">
        <f t="shared" si="532"/>
        <v>0</v>
      </c>
      <c r="AY444" s="81" t="str">
        <f t="shared" si="533"/>
        <v/>
      </c>
      <c r="AZ444" s="307" t="str">
        <f t="shared" si="563"/>
        <v/>
      </c>
      <c r="BA444" s="281" t="str">
        <f t="shared" si="571"/>
        <v/>
      </c>
      <c r="BB444" s="281" t="str">
        <f t="shared" si="572"/>
        <v/>
      </c>
      <c r="BC444" s="953"/>
      <c r="BD444" s="955"/>
      <c r="BE444" s="219" t="str">
        <f t="shared" si="534"/>
        <v>n/a</v>
      </c>
      <c r="BF444" s="215" t="b">
        <f t="shared" si="535"/>
        <v>0</v>
      </c>
      <c r="BG444" s="145" t="b">
        <f t="shared" si="536"/>
        <v>0</v>
      </c>
      <c r="BH444" s="145" t="b">
        <f t="shared" si="537"/>
        <v>0</v>
      </c>
      <c r="BI444" s="216" t="b">
        <f t="shared" si="538"/>
        <v>0</v>
      </c>
      <c r="BJ444" s="215" t="b">
        <f t="shared" si="539"/>
        <v>0</v>
      </c>
      <c r="BK444" s="145" t="b">
        <f t="shared" si="540"/>
        <v>0</v>
      </c>
      <c r="BL444" s="216" t="b">
        <f t="shared" si="541"/>
        <v>0</v>
      </c>
      <c r="BM444" s="217" t="str">
        <f t="shared" si="573"/>
        <v/>
      </c>
      <c r="BN444" s="146" t="str">
        <f t="shared" si="574"/>
        <v/>
      </c>
      <c r="BO444" s="147" t="str">
        <f t="shared" si="575"/>
        <v/>
      </c>
      <c r="BP444" s="148" t="str">
        <f t="shared" si="576"/>
        <v/>
      </c>
      <c r="BT444" s="50">
        <f t="shared" si="493"/>
        <v>421</v>
      </c>
      <c r="BU444" s="50" t="str">
        <f t="shared" si="592"/>
        <v>-</v>
      </c>
      <c r="BW444" s="333"/>
      <c r="BX444" s="333"/>
      <c r="BY444" s="333"/>
      <c r="BZ444" s="333"/>
      <c r="CA444" s="333"/>
      <c r="CB444" s="333"/>
      <c r="CC444" s="333"/>
      <c r="CD444" s="333"/>
      <c r="CE444" s="333"/>
      <c r="CF444" s="333"/>
      <c r="CG444" s="354">
        <f t="shared" si="542"/>
        <v>421</v>
      </c>
      <c r="CH444" s="613">
        <f t="shared" si="543"/>
        <v>0</v>
      </c>
      <c r="CI444" s="613">
        <f t="shared" si="544"/>
        <v>0</v>
      </c>
      <c r="CJ444" s="614" t="str">
        <f t="shared" si="545"/>
        <v/>
      </c>
      <c r="CK444" s="615" t="str">
        <f t="shared" si="546"/>
        <v/>
      </c>
      <c r="CL444" s="610" t="str">
        <f>IF(ISBLANK(H444),"",IF(AND(ISNUMBER(F444),ISNUMBER(G444),ISNUMBER(H444)),ROUND(F444/(H444*G444),2),ROUND(F444/(VALUE(LEFT(H444,SUM(LEN(H444)-LEN(SUBSTITUTE(H444,{"0","1","2","3","4","5","6","7","8","9","."},"")))))*G444),2)))</f>
        <v/>
      </c>
      <c r="CM444" s="616" t="str">
        <f t="shared" si="577"/>
        <v/>
      </c>
      <c r="CN444" s="616" t="str">
        <f>IF(ISNUMBER(P444),MAX('Adjustment factors'!$S$16,(0.2+0.8*P444)),IF(ISTEXT(N444),VLOOKUP(N444,Afactors,2,FALSE),""))</f>
        <v/>
      </c>
      <c r="CO444" s="616" t="str">
        <f>IF(ISNUMBER(S444),MAX('Adjustment factors'!$S$16,0.2+0.8*S444),IF(ISTEXT(Q444),VLOOKUP(Q444,Afactors,2,FALSE),""))</f>
        <v/>
      </c>
      <c r="CP444" s="611" t="str">
        <f t="shared" si="564"/>
        <v/>
      </c>
      <c r="CQ444" s="612" t="str">
        <f t="shared" si="565"/>
        <v/>
      </c>
      <c r="CR444" s="340"/>
      <c r="CS444" s="340"/>
      <c r="CT444" s="340"/>
      <c r="CU444" s="340"/>
      <c r="CV444" s="340"/>
      <c r="CW444" s="333"/>
      <c r="CX444" s="333"/>
      <c r="CY444" s="333"/>
      <c r="DA444" s="313" t="str">
        <f t="shared" si="547"/>
        <v>OK</v>
      </c>
      <c r="DB444" s="313" t="str">
        <f t="shared" si="548"/>
        <v>OK</v>
      </c>
      <c r="DC444" s="313" t="str">
        <f t="shared" si="549"/>
        <v>OK</v>
      </c>
      <c r="DD444" s="313" t="str">
        <f t="shared" si="550"/>
        <v>OK</v>
      </c>
      <c r="DE444" s="153" t="str">
        <f t="shared" si="551"/>
        <v>OK</v>
      </c>
      <c r="DF444" s="314" t="str">
        <f t="shared" si="552"/>
        <v>OK</v>
      </c>
      <c r="DG444" s="482" t="str">
        <f t="shared" si="566"/>
        <v>OK</v>
      </c>
      <c r="DH444" s="482" t="str">
        <f>IF(OR(AND(T444='Adjustment factors'!$R$28,'Class 3, 5-9'!U444='Adjustment factors'!$R$29),AND('Class 3, 5-9'!T444='Adjustment factors'!$R$29,'Class 3, 5-9'!U444='Adjustment factors'!$R$28)),"Invalid combination of adjustment factors",IF(AND(T444=U444,NOT(ISBLANK(T444)),NOT(ISBLANK(U444))),"Same colour factor selected twice","OK"))</f>
        <v>OK</v>
      </c>
      <c r="DI444" s="313" t="str">
        <f t="shared" si="553"/>
        <v>OK</v>
      </c>
      <c r="DJ444" s="153" t="str">
        <f t="shared" si="578"/>
        <v>OK</v>
      </c>
      <c r="DK444" s="153" t="str">
        <f t="shared" si="554"/>
        <v>OK</v>
      </c>
      <c r="DL444" s="313" t="str">
        <f t="shared" si="555"/>
        <v>OK</v>
      </c>
      <c r="DM444" s="153" t="str">
        <f t="shared" si="556"/>
        <v>OK</v>
      </c>
      <c r="DN444" s="153" t="str">
        <f t="shared" si="579"/>
        <v>OK</v>
      </c>
      <c r="DO444" s="154" t="str">
        <f t="shared" si="580"/>
        <v>OK</v>
      </c>
      <c r="DP444" s="153" t="str">
        <f t="shared" si="557"/>
        <v>OK</v>
      </c>
      <c r="DQ444" s="313" t="str">
        <f t="shared" si="558"/>
        <v>OK</v>
      </c>
      <c r="DR444" s="153" t="str">
        <f t="shared" si="581"/>
        <v>OK</v>
      </c>
      <c r="DS444" s="153" t="str">
        <f t="shared" si="559"/>
        <v>OK</v>
      </c>
      <c r="DT444" s="313" t="str">
        <f t="shared" si="594"/>
        <v>OK</v>
      </c>
      <c r="DU444" s="153" t="str">
        <f t="shared" si="560"/>
        <v>OK</v>
      </c>
      <c r="DV444" s="153" t="str">
        <f t="shared" si="582"/>
        <v>OK</v>
      </c>
      <c r="DW444" s="154" t="str">
        <f t="shared" si="583"/>
        <v>OK</v>
      </c>
      <c r="DX444" s="157">
        <f t="shared" si="584"/>
        <v>0</v>
      </c>
      <c r="DY444" s="156" t="str">
        <f t="shared" si="585"/>
        <v>OK</v>
      </c>
    </row>
    <row r="445" spans="1:129" ht="13" hidden="1" x14ac:dyDescent="0.3">
      <c r="A445" s="333"/>
      <c r="B445" s="333"/>
      <c r="C445" s="331" t="str">
        <f t="shared" si="593"/>
        <v>-</v>
      </c>
      <c r="D445" s="584">
        <f t="shared" si="492"/>
        <v>422</v>
      </c>
      <c r="E445" s="585"/>
      <c r="F445" s="586"/>
      <c r="G445" s="600"/>
      <c r="H445" s="587"/>
      <c r="I445" s="601"/>
      <c r="J445" s="585"/>
      <c r="K445" s="617"/>
      <c r="L445" s="602"/>
      <c r="M445" s="603"/>
      <c r="N445" s="588"/>
      <c r="O445" s="604"/>
      <c r="P445" s="605"/>
      <c r="Q445" s="588"/>
      <c r="R445" s="604"/>
      <c r="S445" s="605"/>
      <c r="T445" s="606"/>
      <c r="U445" s="606"/>
      <c r="V445" s="429" t="str">
        <f t="shared" si="590"/>
        <v/>
      </c>
      <c r="W445" s="430" t="str">
        <f t="shared" si="589"/>
        <v/>
      </c>
      <c r="X445" s="66" t="str">
        <f>IF(AND(ISNUMBER(P445),N445=FixedDim),MAX('Adjustment factors'!$S$16,0.2+0.8*P445),IF(ISTEXT(N445),VLOOKUP(N445,Afactors,2,TRUE),""))</f>
        <v/>
      </c>
      <c r="Y445" s="17" t="str">
        <f>IF(AND(ISNUMBER(S445),Q445=FixedDim),MAX('Adjustment factors'!$S$16,0.2+0.8*S445),IF(ISTEXT(Q445),VLOOKUP(Q445,Afactors,2,TRUE),""))</f>
        <v/>
      </c>
      <c r="Z445" s="297" t="str">
        <f>IF(ISBLANK(T445),"",VLOOKUP(T445,'Adjustment factors'!$R$27:$S$30,2,TRUE))</f>
        <v/>
      </c>
      <c r="AA445" s="297" t="str">
        <f>IF(ISBLANK(U445),"",VLOOKUP(U445,'Adjustment factors'!$R$27:$S$30,2,TRUE))</f>
        <v/>
      </c>
      <c r="AB445" s="480">
        <f t="shared" si="561"/>
        <v>1</v>
      </c>
      <c r="AC445" s="18" t="b">
        <f t="shared" si="518"/>
        <v>0</v>
      </c>
      <c r="AD445" s="18" t="b">
        <f t="shared" si="519"/>
        <v>0</v>
      </c>
      <c r="AE445" s="18" t="b">
        <f t="shared" si="586"/>
        <v>0</v>
      </c>
      <c r="AF445" s="17" t="str">
        <f t="shared" si="520"/>
        <v/>
      </c>
      <c r="AG445" s="18" t="str">
        <f t="shared" si="521"/>
        <v/>
      </c>
      <c r="AH445" s="17" t="str">
        <f t="shared" si="587"/>
        <v/>
      </c>
      <c r="AI445" s="297" t="e">
        <f t="shared" si="562"/>
        <v>#VALUE!</v>
      </c>
      <c r="AJ445" s="79" t="e">
        <f t="shared" si="522"/>
        <v>#VALUE!</v>
      </c>
      <c r="AK445" s="17" t="str">
        <f t="shared" si="588"/>
        <v/>
      </c>
      <c r="AL445" s="80" t="e">
        <f t="shared" si="523"/>
        <v>#VALUE!</v>
      </c>
      <c r="AM445" s="139" t="b">
        <f t="shared" si="524"/>
        <v>1</v>
      </c>
      <c r="AN445" s="139" t="b">
        <f>AND(COUNTA(E445)&gt;0,ISNUMBER(F445),OR(COUNT(G445:H445)=0,COUNT(G445:H445)=2,AND(ISNUMBER(G445),ISNUMBER(VALUE(LEFT(H445,SUM(LEN(H445)-LEN(SUBSTITUTE(H445,{"0","1","2","3","4","5","6","7","8","9","."},"")))))))),ISNUMBER(I445),ISTEXT(J445))</f>
        <v>0</v>
      </c>
      <c r="AO445" s="19" t="b">
        <f t="shared" si="525"/>
        <v>0</v>
      </c>
      <c r="AP445" s="19" t="b">
        <f t="shared" si="526"/>
        <v>1</v>
      </c>
      <c r="AQ445" s="19" t="b">
        <f>IF(AND(COUNTBLANK(E445:J445)=6,OR(AN446:AN$523)),NOT(AN445))</f>
        <v>0</v>
      </c>
      <c r="AR445" s="19" t="str">
        <f t="shared" si="527"/>
        <v/>
      </c>
      <c r="AS445" s="19" t="b">
        <f t="shared" si="528"/>
        <v>1</v>
      </c>
      <c r="AT445" s="19" t="str">
        <f t="shared" si="529"/>
        <v/>
      </c>
      <c r="AU445" s="19" t="b">
        <f t="shared" si="530"/>
        <v>1</v>
      </c>
      <c r="AV445" s="140" t="str">
        <f t="shared" si="570"/>
        <v/>
      </c>
      <c r="AW445" s="19" t="str">
        <f t="shared" si="531"/>
        <v/>
      </c>
      <c r="AX445" s="81">
        <f t="shared" si="532"/>
        <v>0</v>
      </c>
      <c r="AY445" s="81" t="str">
        <f t="shared" si="533"/>
        <v/>
      </c>
      <c r="AZ445" s="307" t="str">
        <f t="shared" si="563"/>
        <v/>
      </c>
      <c r="BA445" s="281" t="str">
        <f t="shared" si="571"/>
        <v/>
      </c>
      <c r="BB445" s="281" t="str">
        <f t="shared" si="572"/>
        <v/>
      </c>
      <c r="BC445" s="953"/>
      <c r="BD445" s="955"/>
      <c r="BE445" s="219" t="str">
        <f t="shared" si="534"/>
        <v>n/a</v>
      </c>
      <c r="BF445" s="215" t="b">
        <f t="shared" si="535"/>
        <v>0</v>
      </c>
      <c r="BG445" s="145" t="b">
        <f t="shared" si="536"/>
        <v>0</v>
      </c>
      <c r="BH445" s="145" t="b">
        <f t="shared" si="537"/>
        <v>0</v>
      </c>
      <c r="BI445" s="216" t="b">
        <f t="shared" si="538"/>
        <v>0</v>
      </c>
      <c r="BJ445" s="215" t="b">
        <f t="shared" si="539"/>
        <v>0</v>
      </c>
      <c r="BK445" s="145" t="b">
        <f t="shared" si="540"/>
        <v>0</v>
      </c>
      <c r="BL445" s="216" t="b">
        <f t="shared" si="541"/>
        <v>0</v>
      </c>
      <c r="BM445" s="217" t="str">
        <f t="shared" si="573"/>
        <v/>
      </c>
      <c r="BN445" s="146" t="str">
        <f t="shared" si="574"/>
        <v/>
      </c>
      <c r="BO445" s="147" t="str">
        <f t="shared" si="575"/>
        <v/>
      </c>
      <c r="BP445" s="148" t="str">
        <f t="shared" si="576"/>
        <v/>
      </c>
      <c r="BT445" s="50">
        <f t="shared" si="493"/>
        <v>422</v>
      </c>
      <c r="BU445" s="50" t="str">
        <f t="shared" si="592"/>
        <v>-</v>
      </c>
      <c r="BW445" s="333"/>
      <c r="BX445" s="333"/>
      <c r="BY445" s="333"/>
      <c r="BZ445" s="333"/>
      <c r="CA445" s="333"/>
      <c r="CB445" s="333"/>
      <c r="CC445" s="333"/>
      <c r="CD445" s="333"/>
      <c r="CE445" s="333"/>
      <c r="CF445" s="333"/>
      <c r="CG445" s="354">
        <f t="shared" si="542"/>
        <v>422</v>
      </c>
      <c r="CH445" s="613">
        <f t="shared" si="543"/>
        <v>0</v>
      </c>
      <c r="CI445" s="613">
        <f t="shared" si="544"/>
        <v>0</v>
      </c>
      <c r="CJ445" s="614" t="str">
        <f t="shared" si="545"/>
        <v/>
      </c>
      <c r="CK445" s="615" t="str">
        <f t="shared" si="546"/>
        <v/>
      </c>
      <c r="CL445" s="610" t="str">
        <f>IF(ISBLANK(H445),"",IF(AND(ISNUMBER(F445),ISNUMBER(G445),ISNUMBER(H445)),ROUND(F445/(H445*G445),2),ROUND(F445/(VALUE(LEFT(H445,SUM(LEN(H445)-LEN(SUBSTITUTE(H445,{"0","1","2","3","4","5","6","7","8","9","."},"")))))*G445),2)))</f>
        <v/>
      </c>
      <c r="CM445" s="616" t="str">
        <f t="shared" si="577"/>
        <v/>
      </c>
      <c r="CN445" s="616" t="str">
        <f>IF(ISNUMBER(P445),MAX('Adjustment factors'!$S$16,(0.2+0.8*P445)),IF(ISTEXT(N445),VLOOKUP(N445,Afactors,2,FALSE),""))</f>
        <v/>
      </c>
      <c r="CO445" s="616" t="str">
        <f>IF(ISNUMBER(S445),MAX('Adjustment factors'!$S$16,0.2+0.8*S445),IF(ISTEXT(Q445),VLOOKUP(Q445,Afactors,2,FALSE),""))</f>
        <v/>
      </c>
      <c r="CP445" s="611" t="str">
        <f t="shared" si="564"/>
        <v/>
      </c>
      <c r="CQ445" s="612" t="str">
        <f t="shared" si="565"/>
        <v/>
      </c>
      <c r="CR445" s="340"/>
      <c r="CS445" s="340"/>
      <c r="CT445" s="340"/>
      <c r="CU445" s="340"/>
      <c r="CV445" s="333"/>
      <c r="CW445" s="333"/>
      <c r="CX445" s="333"/>
      <c r="CY445" s="333"/>
      <c r="DA445" s="313" t="str">
        <f t="shared" si="547"/>
        <v>OK</v>
      </c>
      <c r="DB445" s="313" t="str">
        <f t="shared" si="548"/>
        <v>OK</v>
      </c>
      <c r="DC445" s="313" t="str">
        <f t="shared" si="549"/>
        <v>OK</v>
      </c>
      <c r="DD445" s="313" t="str">
        <f t="shared" si="550"/>
        <v>OK</v>
      </c>
      <c r="DE445" s="153" t="str">
        <f t="shared" si="551"/>
        <v>OK</v>
      </c>
      <c r="DF445" s="314" t="str">
        <f t="shared" si="552"/>
        <v>OK</v>
      </c>
      <c r="DG445" s="482" t="str">
        <f t="shared" si="566"/>
        <v>OK</v>
      </c>
      <c r="DH445" s="482" t="str">
        <f>IF(OR(AND(T445='Adjustment factors'!$R$28,'Class 3, 5-9'!U445='Adjustment factors'!$R$29),AND('Class 3, 5-9'!T445='Adjustment factors'!$R$29,'Class 3, 5-9'!U445='Adjustment factors'!$R$28)),"Invalid combination of adjustment factors",IF(AND(T445=U445,NOT(ISBLANK(T445)),NOT(ISBLANK(U445))),"Same colour factor selected twice","OK"))</f>
        <v>OK</v>
      </c>
      <c r="DI445" s="313" t="str">
        <f t="shared" si="553"/>
        <v>OK</v>
      </c>
      <c r="DJ445" s="153" t="str">
        <f t="shared" si="578"/>
        <v>OK</v>
      </c>
      <c r="DK445" s="153" t="str">
        <f t="shared" si="554"/>
        <v>OK</v>
      </c>
      <c r="DL445" s="313" t="str">
        <f t="shared" si="555"/>
        <v>OK</v>
      </c>
      <c r="DM445" s="153" t="str">
        <f t="shared" si="556"/>
        <v>OK</v>
      </c>
      <c r="DN445" s="153" t="str">
        <f t="shared" si="579"/>
        <v>OK</v>
      </c>
      <c r="DO445" s="154" t="str">
        <f t="shared" si="580"/>
        <v>OK</v>
      </c>
      <c r="DP445" s="153" t="str">
        <f t="shared" si="557"/>
        <v>OK</v>
      </c>
      <c r="DQ445" s="313" t="str">
        <f t="shared" si="558"/>
        <v>OK</v>
      </c>
      <c r="DR445" s="153" t="str">
        <f t="shared" si="581"/>
        <v>OK</v>
      </c>
      <c r="DS445" s="153" t="str">
        <f t="shared" si="559"/>
        <v>OK</v>
      </c>
      <c r="DT445" s="313" t="str">
        <f t="shared" si="594"/>
        <v>OK</v>
      </c>
      <c r="DU445" s="153" t="str">
        <f t="shared" si="560"/>
        <v>OK</v>
      </c>
      <c r="DV445" s="153" t="str">
        <f t="shared" si="582"/>
        <v>OK</v>
      </c>
      <c r="DW445" s="154" t="str">
        <f t="shared" si="583"/>
        <v>OK</v>
      </c>
      <c r="DX445" s="157">
        <f t="shared" si="584"/>
        <v>0</v>
      </c>
      <c r="DY445" s="156" t="str">
        <f t="shared" si="585"/>
        <v>OK</v>
      </c>
    </row>
    <row r="446" spans="1:129" ht="13" hidden="1" x14ac:dyDescent="0.3">
      <c r="A446" s="333"/>
      <c r="B446" s="333"/>
      <c r="C446" s="331" t="str">
        <f t="shared" si="593"/>
        <v>-</v>
      </c>
      <c r="D446" s="584">
        <f t="shared" si="492"/>
        <v>423</v>
      </c>
      <c r="E446" s="585"/>
      <c r="F446" s="586"/>
      <c r="G446" s="600"/>
      <c r="H446" s="587"/>
      <c r="I446" s="601"/>
      <c r="J446" s="585"/>
      <c r="K446" s="617"/>
      <c r="L446" s="602"/>
      <c r="M446" s="603"/>
      <c r="N446" s="588"/>
      <c r="O446" s="604"/>
      <c r="P446" s="605"/>
      <c r="Q446" s="588"/>
      <c r="R446" s="604"/>
      <c r="S446" s="605"/>
      <c r="T446" s="606"/>
      <c r="U446" s="606"/>
      <c r="V446" s="429" t="str">
        <f t="shared" si="590"/>
        <v/>
      </c>
      <c r="W446" s="430" t="str">
        <f t="shared" si="589"/>
        <v/>
      </c>
      <c r="X446" s="66" t="str">
        <f>IF(AND(ISNUMBER(P446),N446=FixedDim),MAX('Adjustment factors'!$S$16,0.2+0.8*P446),IF(ISTEXT(N446),VLOOKUP(N446,Afactors,2,TRUE),""))</f>
        <v/>
      </c>
      <c r="Y446" s="17" t="str">
        <f>IF(AND(ISNUMBER(S446),Q446=FixedDim),MAX('Adjustment factors'!$S$16,0.2+0.8*S446),IF(ISTEXT(Q446),VLOOKUP(Q446,Afactors,2,TRUE),""))</f>
        <v/>
      </c>
      <c r="Z446" s="297" t="str">
        <f>IF(ISBLANK(T446),"",VLOOKUP(T446,'Adjustment factors'!$R$27:$S$30,2,TRUE))</f>
        <v/>
      </c>
      <c r="AA446" s="297" t="str">
        <f>IF(ISBLANK(U446),"",VLOOKUP(U446,'Adjustment factors'!$R$27:$S$30,2,TRUE))</f>
        <v/>
      </c>
      <c r="AB446" s="480">
        <f t="shared" si="561"/>
        <v>1</v>
      </c>
      <c r="AC446" s="18" t="b">
        <f t="shared" si="518"/>
        <v>0</v>
      </c>
      <c r="AD446" s="18" t="b">
        <f t="shared" si="519"/>
        <v>0</v>
      </c>
      <c r="AE446" s="18" t="b">
        <f t="shared" si="586"/>
        <v>0</v>
      </c>
      <c r="AF446" s="17" t="str">
        <f t="shared" si="520"/>
        <v/>
      </c>
      <c r="AG446" s="18" t="str">
        <f t="shared" si="521"/>
        <v/>
      </c>
      <c r="AH446" s="17" t="str">
        <f t="shared" si="587"/>
        <v/>
      </c>
      <c r="AI446" s="297" t="e">
        <f t="shared" si="562"/>
        <v>#VALUE!</v>
      </c>
      <c r="AJ446" s="79" t="e">
        <f t="shared" si="522"/>
        <v>#VALUE!</v>
      </c>
      <c r="AK446" s="17" t="str">
        <f t="shared" si="588"/>
        <v/>
      </c>
      <c r="AL446" s="80" t="e">
        <f t="shared" si="523"/>
        <v>#VALUE!</v>
      </c>
      <c r="AM446" s="139" t="b">
        <f t="shared" si="524"/>
        <v>1</v>
      </c>
      <c r="AN446" s="139" t="b">
        <f>AND(COUNTA(E446)&gt;0,ISNUMBER(F446),OR(COUNT(G446:H446)=0,COUNT(G446:H446)=2,AND(ISNUMBER(G446),ISNUMBER(VALUE(LEFT(H446,SUM(LEN(H446)-LEN(SUBSTITUTE(H446,{"0","1","2","3","4","5","6","7","8","9","."},"")))))))),ISNUMBER(I446),ISTEXT(J446))</f>
        <v>0</v>
      </c>
      <c r="AO446" s="19" t="b">
        <f t="shared" si="525"/>
        <v>0</v>
      </c>
      <c r="AP446" s="19" t="b">
        <f t="shared" si="526"/>
        <v>1</v>
      </c>
      <c r="AQ446" s="19" t="b">
        <f>IF(AND(COUNTBLANK(E446:J446)=6,OR(AN447:AN$523)),NOT(AN446))</f>
        <v>0</v>
      </c>
      <c r="AR446" s="19" t="str">
        <f t="shared" si="527"/>
        <v/>
      </c>
      <c r="AS446" s="19" t="b">
        <f t="shared" si="528"/>
        <v>1</v>
      </c>
      <c r="AT446" s="19" t="str">
        <f t="shared" si="529"/>
        <v/>
      </c>
      <c r="AU446" s="19" t="b">
        <f t="shared" si="530"/>
        <v>1</v>
      </c>
      <c r="AV446" s="140" t="str">
        <f t="shared" si="570"/>
        <v/>
      </c>
      <c r="AW446" s="19" t="str">
        <f t="shared" si="531"/>
        <v/>
      </c>
      <c r="AX446" s="81">
        <f t="shared" si="532"/>
        <v>0</v>
      </c>
      <c r="AY446" s="81" t="str">
        <f t="shared" si="533"/>
        <v/>
      </c>
      <c r="AZ446" s="307" t="str">
        <f t="shared" si="563"/>
        <v/>
      </c>
      <c r="BA446" s="281" t="str">
        <f t="shared" si="571"/>
        <v/>
      </c>
      <c r="BB446" s="281" t="str">
        <f t="shared" si="572"/>
        <v/>
      </c>
      <c r="BC446" s="953"/>
      <c r="BD446" s="955"/>
      <c r="BE446" s="219" t="str">
        <f t="shared" si="534"/>
        <v>n/a</v>
      </c>
      <c r="BF446" s="215" t="b">
        <f t="shared" si="535"/>
        <v>0</v>
      </c>
      <c r="BG446" s="145" t="b">
        <f t="shared" si="536"/>
        <v>0</v>
      </c>
      <c r="BH446" s="145" t="b">
        <f t="shared" si="537"/>
        <v>0</v>
      </c>
      <c r="BI446" s="216" t="b">
        <f t="shared" si="538"/>
        <v>0</v>
      </c>
      <c r="BJ446" s="215" t="b">
        <f t="shared" si="539"/>
        <v>0</v>
      </c>
      <c r="BK446" s="145" t="b">
        <f t="shared" si="540"/>
        <v>0</v>
      </c>
      <c r="BL446" s="216" t="b">
        <f t="shared" si="541"/>
        <v>0</v>
      </c>
      <c r="BM446" s="217" t="str">
        <f t="shared" si="573"/>
        <v/>
      </c>
      <c r="BN446" s="146" t="str">
        <f t="shared" si="574"/>
        <v/>
      </c>
      <c r="BO446" s="147" t="str">
        <f t="shared" si="575"/>
        <v/>
      </c>
      <c r="BP446" s="148" t="str">
        <f t="shared" si="576"/>
        <v/>
      </c>
      <c r="BT446" s="50">
        <f t="shared" si="493"/>
        <v>423</v>
      </c>
      <c r="BU446" s="50" t="str">
        <f t="shared" si="592"/>
        <v>-</v>
      </c>
      <c r="BW446" s="333"/>
      <c r="BX446" s="333"/>
      <c r="BY446" s="333"/>
      <c r="BZ446" s="333"/>
      <c r="CA446" s="333"/>
      <c r="CB446" s="333"/>
      <c r="CC446" s="333"/>
      <c r="CD446" s="333"/>
      <c r="CE446" s="333"/>
      <c r="CF446" s="333"/>
      <c r="CG446" s="354">
        <f t="shared" si="542"/>
        <v>423</v>
      </c>
      <c r="CH446" s="613">
        <f t="shared" si="543"/>
        <v>0</v>
      </c>
      <c r="CI446" s="613">
        <f t="shared" si="544"/>
        <v>0</v>
      </c>
      <c r="CJ446" s="614" t="str">
        <f t="shared" si="545"/>
        <v/>
      </c>
      <c r="CK446" s="615" t="str">
        <f t="shared" si="546"/>
        <v/>
      </c>
      <c r="CL446" s="610" t="str">
        <f>IF(ISBLANK(H446),"",IF(AND(ISNUMBER(F446),ISNUMBER(G446),ISNUMBER(H446)),ROUND(F446/(H446*G446),2),ROUND(F446/(VALUE(LEFT(H446,SUM(LEN(H446)-LEN(SUBSTITUTE(H446,{"0","1","2","3","4","5","6","7","8","9","."},"")))))*G446),2)))</f>
        <v/>
      </c>
      <c r="CM446" s="616" t="str">
        <f t="shared" si="577"/>
        <v/>
      </c>
      <c r="CN446" s="616" t="str">
        <f>IF(ISNUMBER(P446),MAX('Adjustment factors'!$S$16,(0.2+0.8*P446)),IF(ISTEXT(N446),VLOOKUP(N446,Afactors,2,FALSE),""))</f>
        <v/>
      </c>
      <c r="CO446" s="616" t="str">
        <f>IF(ISNUMBER(S446),MAX('Adjustment factors'!$S$16,0.2+0.8*S446),IF(ISTEXT(Q446),VLOOKUP(Q446,Afactors,2,FALSE),""))</f>
        <v/>
      </c>
      <c r="CP446" s="611" t="str">
        <f t="shared" si="564"/>
        <v/>
      </c>
      <c r="CQ446" s="612" t="str">
        <f t="shared" si="565"/>
        <v/>
      </c>
      <c r="CR446" s="340"/>
      <c r="CS446" s="340"/>
      <c r="CT446" s="340"/>
      <c r="CU446" s="340"/>
      <c r="CV446" s="333"/>
      <c r="CW446" s="333"/>
      <c r="CX446" s="333"/>
      <c r="CY446" s="333"/>
      <c r="DA446" s="313" t="str">
        <f t="shared" si="547"/>
        <v>OK</v>
      </c>
      <c r="DB446" s="313" t="str">
        <f t="shared" si="548"/>
        <v>OK</v>
      </c>
      <c r="DC446" s="313" t="str">
        <f t="shared" si="549"/>
        <v>OK</v>
      </c>
      <c r="DD446" s="313" t="str">
        <f t="shared" si="550"/>
        <v>OK</v>
      </c>
      <c r="DE446" s="153" t="str">
        <f t="shared" si="551"/>
        <v>OK</v>
      </c>
      <c r="DF446" s="314" t="str">
        <f t="shared" si="552"/>
        <v>OK</v>
      </c>
      <c r="DG446" s="482" t="str">
        <f t="shared" si="566"/>
        <v>OK</v>
      </c>
      <c r="DH446" s="482" t="str">
        <f>IF(OR(AND(T446='Adjustment factors'!$R$28,'Class 3, 5-9'!U446='Adjustment factors'!$R$29),AND('Class 3, 5-9'!T446='Adjustment factors'!$R$29,'Class 3, 5-9'!U446='Adjustment factors'!$R$28)),"Invalid combination of adjustment factors",IF(AND(T446=U446,NOT(ISBLANK(T446)),NOT(ISBLANK(U446))),"Same colour factor selected twice","OK"))</f>
        <v>OK</v>
      </c>
      <c r="DI446" s="313" t="str">
        <f t="shared" si="553"/>
        <v>OK</v>
      </c>
      <c r="DJ446" s="153" t="str">
        <f t="shared" si="578"/>
        <v>OK</v>
      </c>
      <c r="DK446" s="153" t="str">
        <f t="shared" si="554"/>
        <v>OK</v>
      </c>
      <c r="DL446" s="313" t="str">
        <f t="shared" si="555"/>
        <v>OK</v>
      </c>
      <c r="DM446" s="153" t="str">
        <f t="shared" si="556"/>
        <v>OK</v>
      </c>
      <c r="DN446" s="153" t="str">
        <f t="shared" si="579"/>
        <v>OK</v>
      </c>
      <c r="DO446" s="154" t="str">
        <f t="shared" si="580"/>
        <v>OK</v>
      </c>
      <c r="DP446" s="153" t="str">
        <f t="shared" si="557"/>
        <v>OK</v>
      </c>
      <c r="DQ446" s="313" t="str">
        <f t="shared" si="558"/>
        <v>OK</v>
      </c>
      <c r="DR446" s="153" t="str">
        <f t="shared" si="581"/>
        <v>OK</v>
      </c>
      <c r="DS446" s="153" t="str">
        <f t="shared" si="559"/>
        <v>OK</v>
      </c>
      <c r="DT446" s="313" t="str">
        <f t="shared" si="594"/>
        <v>OK</v>
      </c>
      <c r="DU446" s="153" t="str">
        <f t="shared" si="560"/>
        <v>OK</v>
      </c>
      <c r="DV446" s="153" t="str">
        <f t="shared" si="582"/>
        <v>OK</v>
      </c>
      <c r="DW446" s="154" t="str">
        <f t="shared" si="583"/>
        <v>OK</v>
      </c>
      <c r="DX446" s="157">
        <f t="shared" si="584"/>
        <v>0</v>
      </c>
      <c r="DY446" s="156" t="str">
        <f t="shared" si="585"/>
        <v>OK</v>
      </c>
    </row>
    <row r="447" spans="1:129" ht="13" hidden="1" x14ac:dyDescent="0.3">
      <c r="A447" s="333"/>
      <c r="B447" s="333"/>
      <c r="C447" s="331" t="str">
        <f t="shared" si="593"/>
        <v>-</v>
      </c>
      <c r="D447" s="584">
        <f t="shared" si="492"/>
        <v>424</v>
      </c>
      <c r="E447" s="585"/>
      <c r="F447" s="586"/>
      <c r="G447" s="600"/>
      <c r="H447" s="587"/>
      <c r="I447" s="601"/>
      <c r="J447" s="585"/>
      <c r="K447" s="617"/>
      <c r="L447" s="602"/>
      <c r="M447" s="603"/>
      <c r="N447" s="588"/>
      <c r="O447" s="604"/>
      <c r="P447" s="605"/>
      <c r="Q447" s="588"/>
      <c r="R447" s="604"/>
      <c r="S447" s="605"/>
      <c r="T447" s="606"/>
      <c r="U447" s="606"/>
      <c r="V447" s="429" t="str">
        <f t="shared" si="590"/>
        <v/>
      </c>
      <c r="W447" s="430" t="str">
        <f t="shared" si="589"/>
        <v/>
      </c>
      <c r="X447" s="66" t="str">
        <f>IF(AND(ISNUMBER(P447),N447=FixedDim),MAX('Adjustment factors'!$S$16,0.2+0.8*P447),IF(ISTEXT(N447),VLOOKUP(N447,Afactors,2,TRUE),""))</f>
        <v/>
      </c>
      <c r="Y447" s="17" t="str">
        <f>IF(AND(ISNUMBER(S447),Q447=FixedDim),MAX('Adjustment factors'!$S$16,0.2+0.8*S447),IF(ISTEXT(Q447),VLOOKUP(Q447,Afactors,2,TRUE),""))</f>
        <v/>
      </c>
      <c r="Z447" s="297" t="str">
        <f>IF(ISBLANK(T447),"",VLOOKUP(T447,'Adjustment factors'!$R$27:$S$30,2,TRUE))</f>
        <v/>
      </c>
      <c r="AA447" s="297" t="str">
        <f>IF(ISBLANK(U447),"",VLOOKUP(U447,'Adjustment factors'!$R$27:$S$30,2,TRUE))</f>
        <v/>
      </c>
      <c r="AB447" s="480">
        <f t="shared" si="561"/>
        <v>1</v>
      </c>
      <c r="AC447" s="18" t="b">
        <f t="shared" si="518"/>
        <v>0</v>
      </c>
      <c r="AD447" s="18" t="b">
        <f t="shared" si="519"/>
        <v>0</v>
      </c>
      <c r="AE447" s="18" t="b">
        <f t="shared" si="586"/>
        <v>0</v>
      </c>
      <c r="AF447" s="17" t="str">
        <f t="shared" si="520"/>
        <v/>
      </c>
      <c r="AG447" s="18" t="str">
        <f t="shared" si="521"/>
        <v/>
      </c>
      <c r="AH447" s="17" t="str">
        <f t="shared" si="587"/>
        <v/>
      </c>
      <c r="AI447" s="297" t="e">
        <f t="shared" si="562"/>
        <v>#VALUE!</v>
      </c>
      <c r="AJ447" s="79" t="e">
        <f t="shared" si="522"/>
        <v>#VALUE!</v>
      </c>
      <c r="AK447" s="17" t="str">
        <f t="shared" si="588"/>
        <v/>
      </c>
      <c r="AL447" s="80" t="e">
        <f t="shared" si="523"/>
        <v>#VALUE!</v>
      </c>
      <c r="AM447" s="139" t="b">
        <f t="shared" si="524"/>
        <v>1</v>
      </c>
      <c r="AN447" s="139" t="b">
        <f>AND(COUNTA(E447)&gt;0,ISNUMBER(F447),OR(COUNT(G447:H447)=0,COUNT(G447:H447)=2,AND(ISNUMBER(G447),ISNUMBER(VALUE(LEFT(H447,SUM(LEN(H447)-LEN(SUBSTITUTE(H447,{"0","1","2","3","4","5","6","7","8","9","."},"")))))))),ISNUMBER(I447),ISTEXT(J447))</f>
        <v>0</v>
      </c>
      <c r="AO447" s="19" t="b">
        <f t="shared" si="525"/>
        <v>0</v>
      </c>
      <c r="AP447" s="19" t="b">
        <f t="shared" si="526"/>
        <v>1</v>
      </c>
      <c r="AQ447" s="19" t="b">
        <f>IF(AND(COUNTBLANK(E447:J447)=6,OR(AN448:AN$523)),NOT(AN447))</f>
        <v>0</v>
      </c>
      <c r="AR447" s="19" t="str">
        <f t="shared" si="527"/>
        <v/>
      </c>
      <c r="AS447" s="19" t="b">
        <f t="shared" si="528"/>
        <v>1</v>
      </c>
      <c r="AT447" s="19" t="str">
        <f t="shared" si="529"/>
        <v/>
      </c>
      <c r="AU447" s="19" t="b">
        <f t="shared" si="530"/>
        <v>1</v>
      </c>
      <c r="AV447" s="140" t="str">
        <f t="shared" si="570"/>
        <v/>
      </c>
      <c r="AW447" s="19" t="str">
        <f t="shared" si="531"/>
        <v/>
      </c>
      <c r="AX447" s="81">
        <f t="shared" si="532"/>
        <v>0</v>
      </c>
      <c r="AY447" s="81" t="str">
        <f t="shared" si="533"/>
        <v/>
      </c>
      <c r="AZ447" s="307" t="str">
        <f t="shared" si="563"/>
        <v/>
      </c>
      <c r="BA447" s="281" t="str">
        <f t="shared" si="571"/>
        <v/>
      </c>
      <c r="BB447" s="281" t="str">
        <f t="shared" si="572"/>
        <v/>
      </c>
      <c r="BC447" s="953"/>
      <c r="BD447" s="955"/>
      <c r="BE447" s="219" t="str">
        <f t="shared" si="534"/>
        <v>n/a</v>
      </c>
      <c r="BF447" s="215" t="b">
        <f t="shared" si="535"/>
        <v>0</v>
      </c>
      <c r="BG447" s="145" t="b">
        <f t="shared" si="536"/>
        <v>0</v>
      </c>
      <c r="BH447" s="145" t="b">
        <f t="shared" si="537"/>
        <v>0</v>
      </c>
      <c r="BI447" s="216" t="b">
        <f t="shared" si="538"/>
        <v>0</v>
      </c>
      <c r="BJ447" s="215" t="b">
        <f t="shared" si="539"/>
        <v>0</v>
      </c>
      <c r="BK447" s="145" t="b">
        <f t="shared" si="540"/>
        <v>0</v>
      </c>
      <c r="BL447" s="216" t="b">
        <f t="shared" si="541"/>
        <v>0</v>
      </c>
      <c r="BM447" s="217" t="str">
        <f t="shared" si="573"/>
        <v/>
      </c>
      <c r="BN447" s="146" t="str">
        <f t="shared" si="574"/>
        <v/>
      </c>
      <c r="BO447" s="147" t="str">
        <f t="shared" si="575"/>
        <v/>
      </c>
      <c r="BP447" s="148" t="str">
        <f t="shared" si="576"/>
        <v/>
      </c>
      <c r="BT447" s="50">
        <f t="shared" si="493"/>
        <v>424</v>
      </c>
      <c r="BU447" s="50" t="str">
        <f t="shared" si="592"/>
        <v>-</v>
      </c>
      <c r="BW447" s="333"/>
      <c r="BX447" s="333"/>
      <c r="BY447" s="333"/>
      <c r="BZ447" s="333"/>
      <c r="CA447" s="333"/>
      <c r="CB447" s="333"/>
      <c r="CC447" s="333"/>
      <c r="CD447" s="333"/>
      <c r="CE447" s="333"/>
      <c r="CF447" s="333"/>
      <c r="CG447" s="354">
        <f t="shared" si="542"/>
        <v>424</v>
      </c>
      <c r="CH447" s="613">
        <f t="shared" si="543"/>
        <v>0</v>
      </c>
      <c r="CI447" s="613">
        <f t="shared" si="544"/>
        <v>0</v>
      </c>
      <c r="CJ447" s="614" t="str">
        <f t="shared" si="545"/>
        <v/>
      </c>
      <c r="CK447" s="615" t="str">
        <f t="shared" si="546"/>
        <v/>
      </c>
      <c r="CL447" s="610" t="str">
        <f>IF(ISBLANK(H447),"",IF(AND(ISNUMBER(F447),ISNUMBER(G447),ISNUMBER(H447)),ROUND(F447/(H447*G447),2),ROUND(F447/(VALUE(LEFT(H447,SUM(LEN(H447)-LEN(SUBSTITUTE(H447,{"0","1","2","3","4","5","6","7","8","9","."},"")))))*G447),2)))</f>
        <v/>
      </c>
      <c r="CM447" s="616" t="str">
        <f t="shared" si="577"/>
        <v/>
      </c>
      <c r="CN447" s="616" t="str">
        <f>IF(ISNUMBER(P447),MAX('Adjustment factors'!$S$16,(0.2+0.8*P447)),IF(ISTEXT(N447),VLOOKUP(N447,Afactors,2,FALSE),""))</f>
        <v/>
      </c>
      <c r="CO447" s="616" t="str">
        <f>IF(ISNUMBER(S447),MAX('Adjustment factors'!$S$16,0.2+0.8*S447),IF(ISTEXT(Q447),VLOOKUP(Q447,Afactors,2,FALSE),""))</f>
        <v/>
      </c>
      <c r="CP447" s="611" t="str">
        <f t="shared" si="564"/>
        <v/>
      </c>
      <c r="CQ447" s="612" t="str">
        <f t="shared" si="565"/>
        <v/>
      </c>
      <c r="CR447" s="340"/>
      <c r="CS447" s="340"/>
      <c r="CT447" s="340"/>
      <c r="CU447" s="340"/>
      <c r="CV447" s="333"/>
      <c r="CW447" s="333"/>
      <c r="CX447" s="333"/>
      <c r="CY447" s="333"/>
      <c r="DA447" s="313" t="str">
        <f t="shared" si="547"/>
        <v>OK</v>
      </c>
      <c r="DB447" s="313" t="str">
        <f t="shared" si="548"/>
        <v>OK</v>
      </c>
      <c r="DC447" s="313" t="str">
        <f t="shared" si="549"/>
        <v>OK</v>
      </c>
      <c r="DD447" s="313" t="str">
        <f t="shared" si="550"/>
        <v>OK</v>
      </c>
      <c r="DE447" s="153" t="str">
        <f t="shared" si="551"/>
        <v>OK</v>
      </c>
      <c r="DF447" s="314" t="str">
        <f t="shared" si="552"/>
        <v>OK</v>
      </c>
      <c r="DG447" s="482" t="str">
        <f t="shared" si="566"/>
        <v>OK</v>
      </c>
      <c r="DH447" s="482" t="str">
        <f>IF(OR(AND(T447='Adjustment factors'!$R$28,'Class 3, 5-9'!U447='Adjustment factors'!$R$29),AND('Class 3, 5-9'!T447='Adjustment factors'!$R$29,'Class 3, 5-9'!U447='Adjustment factors'!$R$28)),"Invalid combination of adjustment factors",IF(AND(T447=U447,NOT(ISBLANK(T447)),NOT(ISBLANK(U447))),"Same colour factor selected twice","OK"))</f>
        <v>OK</v>
      </c>
      <c r="DI447" s="313" t="str">
        <f t="shared" si="553"/>
        <v>OK</v>
      </c>
      <c r="DJ447" s="153" t="str">
        <f t="shared" si="578"/>
        <v>OK</v>
      </c>
      <c r="DK447" s="153" t="str">
        <f t="shared" si="554"/>
        <v>OK</v>
      </c>
      <c r="DL447" s="313" t="str">
        <f t="shared" si="555"/>
        <v>OK</v>
      </c>
      <c r="DM447" s="153" t="str">
        <f t="shared" si="556"/>
        <v>OK</v>
      </c>
      <c r="DN447" s="153" t="str">
        <f t="shared" si="579"/>
        <v>OK</v>
      </c>
      <c r="DO447" s="154" t="str">
        <f t="shared" si="580"/>
        <v>OK</v>
      </c>
      <c r="DP447" s="153" t="str">
        <f t="shared" si="557"/>
        <v>OK</v>
      </c>
      <c r="DQ447" s="313" t="str">
        <f t="shared" si="558"/>
        <v>OK</v>
      </c>
      <c r="DR447" s="153" t="str">
        <f t="shared" si="581"/>
        <v>OK</v>
      </c>
      <c r="DS447" s="153" t="str">
        <f t="shared" si="559"/>
        <v>OK</v>
      </c>
      <c r="DT447" s="313" t="str">
        <f t="shared" si="594"/>
        <v>OK</v>
      </c>
      <c r="DU447" s="153" t="str">
        <f t="shared" si="560"/>
        <v>OK</v>
      </c>
      <c r="DV447" s="153" t="str">
        <f t="shared" si="582"/>
        <v>OK</v>
      </c>
      <c r="DW447" s="154" t="str">
        <f t="shared" si="583"/>
        <v>OK</v>
      </c>
      <c r="DX447" s="157">
        <f t="shared" si="584"/>
        <v>0</v>
      </c>
      <c r="DY447" s="156" t="str">
        <f t="shared" si="585"/>
        <v>OK</v>
      </c>
    </row>
    <row r="448" spans="1:129" ht="13" hidden="1" x14ac:dyDescent="0.3">
      <c r="A448" s="333"/>
      <c r="B448" s="333"/>
      <c r="C448" s="331" t="str">
        <f t="shared" si="593"/>
        <v>-</v>
      </c>
      <c r="D448" s="584">
        <f t="shared" si="492"/>
        <v>425</v>
      </c>
      <c r="E448" s="585"/>
      <c r="F448" s="586"/>
      <c r="G448" s="600"/>
      <c r="H448" s="587"/>
      <c r="I448" s="601"/>
      <c r="J448" s="585"/>
      <c r="K448" s="617"/>
      <c r="L448" s="602"/>
      <c r="M448" s="603"/>
      <c r="N448" s="588"/>
      <c r="O448" s="604"/>
      <c r="P448" s="605"/>
      <c r="Q448" s="588"/>
      <c r="R448" s="604"/>
      <c r="S448" s="605"/>
      <c r="T448" s="606"/>
      <c r="U448" s="606"/>
      <c r="V448" s="429" t="str">
        <f t="shared" si="590"/>
        <v/>
      </c>
      <c r="W448" s="430" t="str">
        <f t="shared" si="589"/>
        <v/>
      </c>
      <c r="X448" s="66" t="str">
        <f>IF(AND(ISNUMBER(P448),N448=FixedDim),MAX('Adjustment factors'!$S$16,0.2+0.8*P448),IF(ISTEXT(N448),VLOOKUP(N448,Afactors,2,TRUE),""))</f>
        <v/>
      </c>
      <c r="Y448" s="17" t="str">
        <f>IF(AND(ISNUMBER(S448),Q448=FixedDim),MAX('Adjustment factors'!$S$16,0.2+0.8*S448),IF(ISTEXT(Q448),VLOOKUP(Q448,Afactors,2,TRUE),""))</f>
        <v/>
      </c>
      <c r="Z448" s="297" t="str">
        <f>IF(ISBLANK(T448),"",VLOOKUP(T448,'Adjustment factors'!$R$27:$S$30,2,TRUE))</f>
        <v/>
      </c>
      <c r="AA448" s="297" t="str">
        <f>IF(ISBLANK(U448),"",VLOOKUP(U448,'Adjustment factors'!$R$27:$S$30,2,TRUE))</f>
        <v/>
      </c>
      <c r="AB448" s="480">
        <f t="shared" si="561"/>
        <v>1</v>
      </c>
      <c r="AC448" s="18" t="b">
        <f t="shared" si="518"/>
        <v>0</v>
      </c>
      <c r="AD448" s="18" t="b">
        <f t="shared" si="519"/>
        <v>0</v>
      </c>
      <c r="AE448" s="18" t="b">
        <f t="shared" si="586"/>
        <v>0</v>
      </c>
      <c r="AF448" s="17" t="str">
        <f t="shared" si="520"/>
        <v/>
      </c>
      <c r="AG448" s="18" t="str">
        <f t="shared" si="521"/>
        <v/>
      </c>
      <c r="AH448" s="17" t="str">
        <f t="shared" si="587"/>
        <v/>
      </c>
      <c r="AI448" s="297" t="e">
        <f t="shared" si="562"/>
        <v>#VALUE!</v>
      </c>
      <c r="AJ448" s="79" t="e">
        <f t="shared" si="522"/>
        <v>#VALUE!</v>
      </c>
      <c r="AK448" s="17" t="str">
        <f t="shared" si="588"/>
        <v/>
      </c>
      <c r="AL448" s="80" t="e">
        <f t="shared" si="523"/>
        <v>#VALUE!</v>
      </c>
      <c r="AM448" s="139" t="b">
        <f t="shared" si="524"/>
        <v>1</v>
      </c>
      <c r="AN448" s="139" t="b">
        <f>AND(COUNTA(E448)&gt;0,ISNUMBER(F448),OR(COUNT(G448:H448)=0,COUNT(G448:H448)=2,AND(ISNUMBER(G448),ISNUMBER(VALUE(LEFT(H448,SUM(LEN(H448)-LEN(SUBSTITUTE(H448,{"0","1","2","3","4","5","6","7","8","9","."},"")))))))),ISNUMBER(I448),ISTEXT(J448))</f>
        <v>0</v>
      </c>
      <c r="AO448" s="19" t="b">
        <f t="shared" si="525"/>
        <v>0</v>
      </c>
      <c r="AP448" s="19" t="b">
        <f t="shared" si="526"/>
        <v>1</v>
      </c>
      <c r="AQ448" s="19" t="b">
        <f>IF(AND(COUNTBLANK(E448:J448)=6,OR(AN449:AN$523)),NOT(AN448))</f>
        <v>0</v>
      </c>
      <c r="AR448" s="19" t="str">
        <f t="shared" si="527"/>
        <v/>
      </c>
      <c r="AS448" s="19" t="b">
        <f t="shared" si="528"/>
        <v>1</v>
      </c>
      <c r="AT448" s="19" t="str">
        <f t="shared" si="529"/>
        <v/>
      </c>
      <c r="AU448" s="19" t="b">
        <f t="shared" si="530"/>
        <v>1</v>
      </c>
      <c r="AV448" s="140" t="str">
        <f t="shared" si="570"/>
        <v/>
      </c>
      <c r="AW448" s="19" t="str">
        <f t="shared" si="531"/>
        <v/>
      </c>
      <c r="AX448" s="81">
        <f t="shared" si="532"/>
        <v>0</v>
      </c>
      <c r="AY448" s="81" t="str">
        <f t="shared" si="533"/>
        <v/>
      </c>
      <c r="AZ448" s="307" t="str">
        <f t="shared" si="563"/>
        <v/>
      </c>
      <c r="BA448" s="281" t="str">
        <f t="shared" si="571"/>
        <v/>
      </c>
      <c r="BB448" s="281" t="str">
        <f t="shared" si="572"/>
        <v/>
      </c>
      <c r="BC448" s="953"/>
      <c r="BD448" s="955"/>
      <c r="BE448" s="219" t="str">
        <f t="shared" si="534"/>
        <v>n/a</v>
      </c>
      <c r="BF448" s="215" t="b">
        <f t="shared" si="535"/>
        <v>0</v>
      </c>
      <c r="BG448" s="145" t="b">
        <f t="shared" si="536"/>
        <v>0</v>
      </c>
      <c r="BH448" s="145" t="b">
        <f t="shared" si="537"/>
        <v>0</v>
      </c>
      <c r="BI448" s="216" t="b">
        <f t="shared" si="538"/>
        <v>0</v>
      </c>
      <c r="BJ448" s="215" t="b">
        <f t="shared" si="539"/>
        <v>0</v>
      </c>
      <c r="BK448" s="145" t="b">
        <f t="shared" si="540"/>
        <v>0</v>
      </c>
      <c r="BL448" s="216" t="b">
        <f t="shared" si="541"/>
        <v>0</v>
      </c>
      <c r="BM448" s="217" t="str">
        <f t="shared" si="573"/>
        <v/>
      </c>
      <c r="BN448" s="146" t="str">
        <f t="shared" si="574"/>
        <v/>
      </c>
      <c r="BO448" s="147" t="str">
        <f t="shared" si="575"/>
        <v/>
      </c>
      <c r="BP448" s="148" t="str">
        <f t="shared" si="576"/>
        <v/>
      </c>
      <c r="BT448" s="50">
        <f t="shared" si="493"/>
        <v>425</v>
      </c>
      <c r="BU448" s="50" t="str">
        <f t="shared" si="592"/>
        <v>-</v>
      </c>
      <c r="BW448" s="333"/>
      <c r="BX448" s="333"/>
      <c r="BY448" s="333"/>
      <c r="BZ448" s="333"/>
      <c r="CA448" s="333"/>
      <c r="CB448" s="333"/>
      <c r="CC448" s="333"/>
      <c r="CD448" s="333"/>
      <c r="CE448" s="333"/>
      <c r="CF448" s="333"/>
      <c r="CG448" s="354">
        <f t="shared" si="542"/>
        <v>425</v>
      </c>
      <c r="CH448" s="613">
        <f t="shared" si="543"/>
        <v>0</v>
      </c>
      <c r="CI448" s="613">
        <f t="shared" si="544"/>
        <v>0</v>
      </c>
      <c r="CJ448" s="614" t="str">
        <f t="shared" si="545"/>
        <v/>
      </c>
      <c r="CK448" s="615" t="str">
        <f t="shared" si="546"/>
        <v/>
      </c>
      <c r="CL448" s="610" t="str">
        <f>IF(ISBLANK(H448),"",IF(AND(ISNUMBER(F448),ISNUMBER(G448),ISNUMBER(H448)),ROUND(F448/(H448*G448),2),ROUND(F448/(VALUE(LEFT(H448,SUM(LEN(H448)-LEN(SUBSTITUTE(H448,{"0","1","2","3","4","5","6","7","8","9","."},"")))))*G448),2)))</f>
        <v/>
      </c>
      <c r="CM448" s="616" t="str">
        <f t="shared" si="577"/>
        <v/>
      </c>
      <c r="CN448" s="616" t="str">
        <f>IF(ISNUMBER(P448),MAX('Adjustment factors'!$S$16,(0.2+0.8*P448)),IF(ISTEXT(N448),VLOOKUP(N448,Afactors,2,FALSE),""))</f>
        <v/>
      </c>
      <c r="CO448" s="616" t="str">
        <f>IF(ISNUMBER(S448),MAX('Adjustment factors'!$S$16,0.2+0.8*S448),IF(ISTEXT(Q448),VLOOKUP(Q448,Afactors,2,FALSE),""))</f>
        <v/>
      </c>
      <c r="CP448" s="611" t="str">
        <f t="shared" si="564"/>
        <v/>
      </c>
      <c r="CQ448" s="612" t="str">
        <f t="shared" si="565"/>
        <v/>
      </c>
      <c r="CR448" s="340"/>
      <c r="CS448" s="340"/>
      <c r="CT448" s="340"/>
      <c r="CU448" s="340"/>
      <c r="CV448" s="333"/>
      <c r="CW448" s="333"/>
      <c r="CX448" s="333"/>
      <c r="CY448" s="333"/>
      <c r="DA448" s="313" t="str">
        <f t="shared" si="547"/>
        <v>OK</v>
      </c>
      <c r="DB448" s="313" t="str">
        <f t="shared" si="548"/>
        <v>OK</v>
      </c>
      <c r="DC448" s="313" t="str">
        <f t="shared" si="549"/>
        <v>OK</v>
      </c>
      <c r="DD448" s="313" t="str">
        <f t="shared" si="550"/>
        <v>OK</v>
      </c>
      <c r="DE448" s="153" t="str">
        <f t="shared" si="551"/>
        <v>OK</v>
      </c>
      <c r="DF448" s="314" t="str">
        <f t="shared" si="552"/>
        <v>OK</v>
      </c>
      <c r="DG448" s="482" t="str">
        <f t="shared" si="566"/>
        <v>OK</v>
      </c>
      <c r="DH448" s="482" t="str">
        <f>IF(OR(AND(T448='Adjustment factors'!$R$28,'Class 3, 5-9'!U448='Adjustment factors'!$R$29),AND('Class 3, 5-9'!T448='Adjustment factors'!$R$29,'Class 3, 5-9'!U448='Adjustment factors'!$R$28)),"Invalid combination of adjustment factors",IF(AND(T448=U448,NOT(ISBLANK(T448)),NOT(ISBLANK(U448))),"Same colour factor selected twice","OK"))</f>
        <v>OK</v>
      </c>
      <c r="DI448" s="313" t="str">
        <f t="shared" si="553"/>
        <v>OK</v>
      </c>
      <c r="DJ448" s="153" t="str">
        <f t="shared" si="578"/>
        <v>OK</v>
      </c>
      <c r="DK448" s="153" t="str">
        <f t="shared" si="554"/>
        <v>OK</v>
      </c>
      <c r="DL448" s="313" t="str">
        <f t="shared" si="555"/>
        <v>OK</v>
      </c>
      <c r="DM448" s="153" t="str">
        <f t="shared" si="556"/>
        <v>OK</v>
      </c>
      <c r="DN448" s="153" t="str">
        <f t="shared" si="579"/>
        <v>OK</v>
      </c>
      <c r="DO448" s="154" t="str">
        <f t="shared" si="580"/>
        <v>OK</v>
      </c>
      <c r="DP448" s="153" t="str">
        <f t="shared" si="557"/>
        <v>OK</v>
      </c>
      <c r="DQ448" s="313" t="str">
        <f t="shared" si="558"/>
        <v>OK</v>
      </c>
      <c r="DR448" s="153" t="str">
        <f t="shared" si="581"/>
        <v>OK</v>
      </c>
      <c r="DS448" s="153" t="str">
        <f t="shared" si="559"/>
        <v>OK</v>
      </c>
      <c r="DT448" s="313" t="str">
        <f t="shared" si="594"/>
        <v>OK</v>
      </c>
      <c r="DU448" s="153" t="str">
        <f t="shared" si="560"/>
        <v>OK</v>
      </c>
      <c r="DV448" s="153" t="str">
        <f t="shared" si="582"/>
        <v>OK</v>
      </c>
      <c r="DW448" s="154" t="str">
        <f t="shared" si="583"/>
        <v>OK</v>
      </c>
      <c r="DX448" s="157">
        <f t="shared" si="584"/>
        <v>0</v>
      </c>
      <c r="DY448" s="156" t="str">
        <f t="shared" si="585"/>
        <v>OK</v>
      </c>
    </row>
    <row r="449" spans="1:129" ht="13" hidden="1" x14ac:dyDescent="0.3">
      <c r="A449" s="333"/>
      <c r="B449" s="333"/>
      <c r="C449" s="331" t="str">
        <f t="shared" si="593"/>
        <v>-</v>
      </c>
      <c r="D449" s="584">
        <f t="shared" ref="D449:D461" si="595">D448+1</f>
        <v>426</v>
      </c>
      <c r="E449" s="585"/>
      <c r="F449" s="586"/>
      <c r="G449" s="600"/>
      <c r="H449" s="587"/>
      <c r="I449" s="601"/>
      <c r="J449" s="585"/>
      <c r="K449" s="617"/>
      <c r="L449" s="602"/>
      <c r="M449" s="603"/>
      <c r="N449" s="588"/>
      <c r="O449" s="604"/>
      <c r="P449" s="605"/>
      <c r="Q449" s="588"/>
      <c r="R449" s="604"/>
      <c r="S449" s="605"/>
      <c r="T449" s="606"/>
      <c r="U449" s="606"/>
      <c r="V449" s="429" t="str">
        <f t="shared" si="590"/>
        <v/>
      </c>
      <c r="W449" s="430" t="str">
        <f t="shared" si="589"/>
        <v/>
      </c>
      <c r="X449" s="66" t="str">
        <f>IF(AND(ISNUMBER(P449),N449=FixedDim),MAX('Adjustment factors'!$S$16,0.2+0.8*P449),IF(ISTEXT(N449),VLOOKUP(N449,Afactors,2,TRUE),""))</f>
        <v/>
      </c>
      <c r="Y449" s="17" t="str">
        <f>IF(AND(ISNUMBER(S449),Q449=FixedDim),MAX('Adjustment factors'!$S$16,0.2+0.8*S449),IF(ISTEXT(Q449),VLOOKUP(Q449,Afactors,2,TRUE),""))</f>
        <v/>
      </c>
      <c r="Z449" s="297" t="str">
        <f>IF(ISBLANK(T449),"",VLOOKUP(T449,'Adjustment factors'!$R$27:$S$30,2,TRUE))</f>
        <v/>
      </c>
      <c r="AA449" s="297" t="str">
        <f>IF(ISBLANK(U449),"",VLOOKUP(U449,'Adjustment factors'!$R$27:$S$30,2,TRUE))</f>
        <v/>
      </c>
      <c r="AB449" s="480">
        <f t="shared" si="561"/>
        <v>1</v>
      </c>
      <c r="AC449" s="18" t="b">
        <f t="shared" si="518"/>
        <v>0</v>
      </c>
      <c r="AD449" s="18" t="b">
        <f t="shared" si="519"/>
        <v>0</v>
      </c>
      <c r="AE449" s="18" t="b">
        <f t="shared" si="586"/>
        <v>0</v>
      </c>
      <c r="AF449" s="17" t="str">
        <f t="shared" si="520"/>
        <v/>
      </c>
      <c r="AG449" s="18" t="str">
        <f t="shared" si="521"/>
        <v/>
      </c>
      <c r="AH449" s="17" t="str">
        <f t="shared" si="587"/>
        <v/>
      </c>
      <c r="AI449" s="297" t="e">
        <f t="shared" si="562"/>
        <v>#VALUE!</v>
      </c>
      <c r="AJ449" s="79" t="e">
        <f t="shared" si="522"/>
        <v>#VALUE!</v>
      </c>
      <c r="AK449" s="17" t="str">
        <f t="shared" si="588"/>
        <v/>
      </c>
      <c r="AL449" s="80" t="e">
        <f t="shared" si="523"/>
        <v>#VALUE!</v>
      </c>
      <c r="AM449" s="139" t="b">
        <f t="shared" si="524"/>
        <v>1</v>
      </c>
      <c r="AN449" s="139" t="b">
        <f>AND(COUNTA(E449)&gt;0,ISNUMBER(F449),OR(COUNT(G449:H449)=0,COUNT(G449:H449)=2,AND(ISNUMBER(G449),ISNUMBER(VALUE(LEFT(H449,SUM(LEN(H449)-LEN(SUBSTITUTE(H449,{"0","1","2","3","4","5","6","7","8","9","."},"")))))))),ISNUMBER(I449),ISTEXT(J449))</f>
        <v>0</v>
      </c>
      <c r="AO449" s="19" t="b">
        <f t="shared" si="525"/>
        <v>0</v>
      </c>
      <c r="AP449" s="19" t="b">
        <f t="shared" si="526"/>
        <v>1</v>
      </c>
      <c r="AQ449" s="19" t="b">
        <f>IF(AND(COUNTBLANK(E449:J449)=6,OR(AN450:AN$523)),NOT(AN449))</f>
        <v>0</v>
      </c>
      <c r="AR449" s="19" t="str">
        <f t="shared" si="527"/>
        <v/>
      </c>
      <c r="AS449" s="19" t="b">
        <f t="shared" si="528"/>
        <v>1</v>
      </c>
      <c r="AT449" s="19" t="str">
        <f t="shared" si="529"/>
        <v/>
      </c>
      <c r="AU449" s="19" t="b">
        <f t="shared" si="530"/>
        <v>1</v>
      </c>
      <c r="AV449" s="140" t="str">
        <f t="shared" si="570"/>
        <v/>
      </c>
      <c r="AW449" s="19" t="str">
        <f t="shared" si="531"/>
        <v/>
      </c>
      <c r="AX449" s="81">
        <f t="shared" si="532"/>
        <v>0</v>
      </c>
      <c r="AY449" s="81" t="str">
        <f t="shared" si="533"/>
        <v/>
      </c>
      <c r="AZ449" s="307" t="str">
        <f t="shared" si="563"/>
        <v/>
      </c>
      <c r="BA449" s="281" t="str">
        <f t="shared" si="571"/>
        <v/>
      </c>
      <c r="BB449" s="281" t="str">
        <f t="shared" si="572"/>
        <v/>
      </c>
      <c r="BC449" s="953"/>
      <c r="BD449" s="955"/>
      <c r="BE449" s="219" t="str">
        <f t="shared" si="534"/>
        <v>n/a</v>
      </c>
      <c r="BF449" s="215" t="b">
        <f t="shared" si="535"/>
        <v>0</v>
      </c>
      <c r="BG449" s="145" t="b">
        <f t="shared" si="536"/>
        <v>0</v>
      </c>
      <c r="BH449" s="145" t="b">
        <f t="shared" si="537"/>
        <v>0</v>
      </c>
      <c r="BI449" s="216" t="b">
        <f t="shared" si="538"/>
        <v>0</v>
      </c>
      <c r="BJ449" s="215" t="b">
        <f t="shared" si="539"/>
        <v>0</v>
      </c>
      <c r="BK449" s="145" t="b">
        <f t="shared" si="540"/>
        <v>0</v>
      </c>
      <c r="BL449" s="216" t="b">
        <f t="shared" si="541"/>
        <v>0</v>
      </c>
      <c r="BM449" s="217" t="str">
        <f t="shared" si="573"/>
        <v/>
      </c>
      <c r="BN449" s="146" t="str">
        <f t="shared" si="574"/>
        <v/>
      </c>
      <c r="BO449" s="147" t="str">
        <f t="shared" si="575"/>
        <v/>
      </c>
      <c r="BP449" s="148" t="str">
        <f t="shared" si="576"/>
        <v/>
      </c>
      <c r="BT449" s="50">
        <f t="shared" ref="BT449:BT512" si="596">BT448+1</f>
        <v>426</v>
      </c>
      <c r="BU449" s="50" t="str">
        <f t="shared" si="592"/>
        <v>-</v>
      </c>
      <c r="BW449" s="333"/>
      <c r="BX449" s="333"/>
      <c r="BY449" s="333"/>
      <c r="BZ449" s="333"/>
      <c r="CA449" s="333"/>
      <c r="CB449" s="333"/>
      <c r="CC449" s="333"/>
      <c r="CD449" s="333"/>
      <c r="CE449" s="333"/>
      <c r="CF449" s="333"/>
      <c r="CG449" s="354">
        <f t="shared" si="542"/>
        <v>426</v>
      </c>
      <c r="CH449" s="613">
        <f t="shared" si="543"/>
        <v>0</v>
      </c>
      <c r="CI449" s="613">
        <f t="shared" si="544"/>
        <v>0</v>
      </c>
      <c r="CJ449" s="614" t="str">
        <f t="shared" si="545"/>
        <v/>
      </c>
      <c r="CK449" s="615" t="str">
        <f t="shared" si="546"/>
        <v/>
      </c>
      <c r="CL449" s="610" t="str">
        <f>IF(ISBLANK(H449),"",IF(AND(ISNUMBER(F449),ISNUMBER(G449),ISNUMBER(H449)),ROUND(F449/(H449*G449),2),ROUND(F449/(VALUE(LEFT(H449,SUM(LEN(H449)-LEN(SUBSTITUTE(H449,{"0","1","2","3","4","5","6","7","8","9","."},"")))))*G449),2)))</f>
        <v/>
      </c>
      <c r="CM449" s="616" t="str">
        <f t="shared" si="577"/>
        <v/>
      </c>
      <c r="CN449" s="616" t="str">
        <f>IF(ISNUMBER(P449),MAX('Adjustment factors'!$S$16,(0.2+0.8*P449)),IF(ISTEXT(N449),VLOOKUP(N449,Afactors,2,FALSE),""))</f>
        <v/>
      </c>
      <c r="CO449" s="616" t="str">
        <f>IF(ISNUMBER(S449),MAX('Adjustment factors'!$S$16,0.2+0.8*S449),IF(ISTEXT(Q449),VLOOKUP(Q449,Afactors,2,FALSE),""))</f>
        <v/>
      </c>
      <c r="CP449" s="611" t="str">
        <f t="shared" si="564"/>
        <v/>
      </c>
      <c r="CQ449" s="612" t="str">
        <f t="shared" si="565"/>
        <v/>
      </c>
      <c r="CR449" s="340"/>
      <c r="CS449" s="340"/>
      <c r="CT449" s="340"/>
      <c r="CU449" s="340"/>
      <c r="CV449" s="333"/>
      <c r="CW449" s="333"/>
      <c r="CX449" s="333"/>
      <c r="CY449" s="333"/>
      <c r="DA449" s="313" t="str">
        <f t="shared" si="547"/>
        <v>OK</v>
      </c>
      <c r="DB449" s="313" t="str">
        <f t="shared" si="548"/>
        <v>OK</v>
      </c>
      <c r="DC449" s="313" t="str">
        <f t="shared" si="549"/>
        <v>OK</v>
      </c>
      <c r="DD449" s="313" t="str">
        <f t="shared" si="550"/>
        <v>OK</v>
      </c>
      <c r="DE449" s="153" t="str">
        <f t="shared" si="551"/>
        <v>OK</v>
      </c>
      <c r="DF449" s="314" t="str">
        <f t="shared" si="552"/>
        <v>OK</v>
      </c>
      <c r="DG449" s="482" t="str">
        <f t="shared" si="566"/>
        <v>OK</v>
      </c>
      <c r="DH449" s="482" t="str">
        <f>IF(OR(AND(T449='Adjustment factors'!$R$28,'Class 3, 5-9'!U449='Adjustment factors'!$R$29),AND('Class 3, 5-9'!T449='Adjustment factors'!$R$29,'Class 3, 5-9'!U449='Adjustment factors'!$R$28)),"Invalid combination of adjustment factors",IF(AND(T449=U449,NOT(ISBLANK(T449)),NOT(ISBLANK(U449))),"Same colour factor selected twice","OK"))</f>
        <v>OK</v>
      </c>
      <c r="DI449" s="313" t="str">
        <f t="shared" si="553"/>
        <v>OK</v>
      </c>
      <c r="DJ449" s="153" t="str">
        <f t="shared" si="578"/>
        <v>OK</v>
      </c>
      <c r="DK449" s="153" t="str">
        <f t="shared" si="554"/>
        <v>OK</v>
      </c>
      <c r="DL449" s="313" t="str">
        <f t="shared" si="555"/>
        <v>OK</v>
      </c>
      <c r="DM449" s="153" t="str">
        <f t="shared" si="556"/>
        <v>OK</v>
      </c>
      <c r="DN449" s="153" t="str">
        <f t="shared" si="579"/>
        <v>OK</v>
      </c>
      <c r="DO449" s="154" t="str">
        <f t="shared" si="580"/>
        <v>OK</v>
      </c>
      <c r="DP449" s="153" t="str">
        <f t="shared" si="557"/>
        <v>OK</v>
      </c>
      <c r="DQ449" s="313" t="str">
        <f t="shared" si="558"/>
        <v>OK</v>
      </c>
      <c r="DR449" s="153" t="str">
        <f t="shared" si="581"/>
        <v>OK</v>
      </c>
      <c r="DS449" s="153" t="str">
        <f t="shared" si="559"/>
        <v>OK</v>
      </c>
      <c r="DT449" s="313" t="str">
        <f t="shared" si="594"/>
        <v>OK</v>
      </c>
      <c r="DU449" s="153" t="str">
        <f t="shared" si="560"/>
        <v>OK</v>
      </c>
      <c r="DV449" s="153" t="str">
        <f t="shared" si="582"/>
        <v>OK</v>
      </c>
      <c r="DW449" s="154" t="str">
        <f t="shared" si="583"/>
        <v>OK</v>
      </c>
      <c r="DX449" s="157">
        <f t="shared" si="584"/>
        <v>0</v>
      </c>
      <c r="DY449" s="156" t="str">
        <f t="shared" si="585"/>
        <v>OK</v>
      </c>
    </row>
    <row r="450" spans="1:129" ht="13" hidden="1" x14ac:dyDescent="0.3">
      <c r="A450" s="333"/>
      <c r="B450" s="333"/>
      <c r="C450" s="331" t="str">
        <f t="shared" si="593"/>
        <v>-</v>
      </c>
      <c r="D450" s="584">
        <f t="shared" si="595"/>
        <v>427</v>
      </c>
      <c r="E450" s="585"/>
      <c r="F450" s="586"/>
      <c r="G450" s="600"/>
      <c r="H450" s="587"/>
      <c r="I450" s="601"/>
      <c r="J450" s="585"/>
      <c r="K450" s="617"/>
      <c r="L450" s="602"/>
      <c r="M450" s="603"/>
      <c r="N450" s="588"/>
      <c r="O450" s="604"/>
      <c r="P450" s="605"/>
      <c r="Q450" s="588"/>
      <c r="R450" s="604"/>
      <c r="S450" s="605"/>
      <c r="T450" s="606"/>
      <c r="U450" s="606"/>
      <c r="V450" s="429" t="str">
        <f t="shared" si="590"/>
        <v/>
      </c>
      <c r="W450" s="430" t="str">
        <f t="shared" si="589"/>
        <v/>
      </c>
      <c r="X450" s="66" t="str">
        <f>IF(AND(ISNUMBER(P450),N450=FixedDim),MAX('Adjustment factors'!$S$16,0.2+0.8*P450),IF(ISTEXT(N450),VLOOKUP(N450,Afactors,2,TRUE),""))</f>
        <v/>
      </c>
      <c r="Y450" s="17" t="str">
        <f>IF(AND(ISNUMBER(S450),Q450=FixedDim),MAX('Adjustment factors'!$S$16,0.2+0.8*S450),IF(ISTEXT(Q450),VLOOKUP(Q450,Afactors,2,TRUE),""))</f>
        <v/>
      </c>
      <c r="Z450" s="297" t="str">
        <f>IF(ISBLANK(T450),"",VLOOKUP(T450,'Adjustment factors'!$R$27:$S$30,2,TRUE))</f>
        <v/>
      </c>
      <c r="AA450" s="297" t="str">
        <f>IF(ISBLANK(U450),"",VLOOKUP(U450,'Adjustment factors'!$R$27:$S$30,2,TRUE))</f>
        <v/>
      </c>
      <c r="AB450" s="480">
        <f t="shared" si="561"/>
        <v>1</v>
      </c>
      <c r="AC450" s="18" t="b">
        <f t="shared" si="518"/>
        <v>0</v>
      </c>
      <c r="AD450" s="18" t="b">
        <f t="shared" si="519"/>
        <v>0</v>
      </c>
      <c r="AE450" s="18" t="b">
        <f t="shared" si="586"/>
        <v>0</v>
      </c>
      <c r="AF450" s="17" t="str">
        <f t="shared" si="520"/>
        <v/>
      </c>
      <c r="AG450" s="18" t="str">
        <f t="shared" si="521"/>
        <v/>
      </c>
      <c r="AH450" s="17" t="str">
        <f t="shared" si="587"/>
        <v/>
      </c>
      <c r="AI450" s="297" t="e">
        <f t="shared" si="562"/>
        <v>#VALUE!</v>
      </c>
      <c r="AJ450" s="79" t="e">
        <f t="shared" si="522"/>
        <v>#VALUE!</v>
      </c>
      <c r="AK450" s="17" t="str">
        <f t="shared" si="588"/>
        <v/>
      </c>
      <c r="AL450" s="80" t="e">
        <f t="shared" si="523"/>
        <v>#VALUE!</v>
      </c>
      <c r="AM450" s="139" t="b">
        <f t="shared" si="524"/>
        <v>1</v>
      </c>
      <c r="AN450" s="139" t="b">
        <f>AND(COUNTA(E450)&gt;0,ISNUMBER(F450),OR(COUNT(G450:H450)=0,COUNT(G450:H450)=2,AND(ISNUMBER(G450),ISNUMBER(VALUE(LEFT(H450,SUM(LEN(H450)-LEN(SUBSTITUTE(H450,{"0","1","2","3","4","5","6","7","8","9","."},"")))))))),ISNUMBER(I450),ISTEXT(J450))</f>
        <v>0</v>
      </c>
      <c r="AO450" s="19" t="b">
        <f t="shared" si="525"/>
        <v>0</v>
      </c>
      <c r="AP450" s="19" t="b">
        <f t="shared" si="526"/>
        <v>1</v>
      </c>
      <c r="AQ450" s="19" t="b">
        <f>IF(AND(COUNTBLANK(E450:J450)=6,OR(AN451:AN$523)),NOT(AN450))</f>
        <v>0</v>
      </c>
      <c r="AR450" s="19" t="str">
        <f t="shared" si="527"/>
        <v/>
      </c>
      <c r="AS450" s="19" t="b">
        <f t="shared" si="528"/>
        <v>1</v>
      </c>
      <c r="AT450" s="19" t="str">
        <f t="shared" si="529"/>
        <v/>
      </c>
      <c r="AU450" s="19" t="b">
        <f t="shared" si="530"/>
        <v>1</v>
      </c>
      <c r="AV450" s="140" t="str">
        <f t="shared" si="570"/>
        <v/>
      </c>
      <c r="AW450" s="19" t="str">
        <f t="shared" si="531"/>
        <v/>
      </c>
      <c r="AX450" s="81">
        <f t="shared" si="532"/>
        <v>0</v>
      </c>
      <c r="AY450" s="81" t="str">
        <f t="shared" si="533"/>
        <v/>
      </c>
      <c r="AZ450" s="307" t="str">
        <f t="shared" si="563"/>
        <v/>
      </c>
      <c r="BA450" s="281" t="str">
        <f t="shared" si="571"/>
        <v/>
      </c>
      <c r="BB450" s="281" t="str">
        <f t="shared" si="572"/>
        <v/>
      </c>
      <c r="BC450" s="953"/>
      <c r="BD450" s="955"/>
      <c r="BE450" s="219" t="str">
        <f t="shared" si="534"/>
        <v>n/a</v>
      </c>
      <c r="BF450" s="215" t="b">
        <f t="shared" si="535"/>
        <v>0</v>
      </c>
      <c r="BG450" s="145" t="b">
        <f t="shared" si="536"/>
        <v>0</v>
      </c>
      <c r="BH450" s="145" t="b">
        <f t="shared" si="537"/>
        <v>0</v>
      </c>
      <c r="BI450" s="216" t="b">
        <f t="shared" si="538"/>
        <v>0</v>
      </c>
      <c r="BJ450" s="215" t="b">
        <f t="shared" si="539"/>
        <v>0</v>
      </c>
      <c r="BK450" s="145" t="b">
        <f t="shared" si="540"/>
        <v>0</v>
      </c>
      <c r="BL450" s="216" t="b">
        <f t="shared" si="541"/>
        <v>0</v>
      </c>
      <c r="BM450" s="217" t="str">
        <f t="shared" si="573"/>
        <v/>
      </c>
      <c r="BN450" s="146" t="str">
        <f t="shared" si="574"/>
        <v/>
      </c>
      <c r="BO450" s="147" t="str">
        <f t="shared" si="575"/>
        <v/>
      </c>
      <c r="BP450" s="148" t="str">
        <f t="shared" si="576"/>
        <v/>
      </c>
      <c r="BT450" s="50">
        <f t="shared" si="596"/>
        <v>427</v>
      </c>
      <c r="BU450" s="50" t="str">
        <f t="shared" si="592"/>
        <v>-</v>
      </c>
      <c r="BW450" s="333"/>
      <c r="BX450" s="333"/>
      <c r="BY450" s="333"/>
      <c r="BZ450" s="333"/>
      <c r="CA450" s="333"/>
      <c r="CB450" s="333"/>
      <c r="CC450" s="333"/>
      <c r="CD450" s="333"/>
      <c r="CE450" s="333"/>
      <c r="CF450" s="333"/>
      <c r="CG450" s="354">
        <f t="shared" si="542"/>
        <v>427</v>
      </c>
      <c r="CH450" s="613">
        <f t="shared" si="543"/>
        <v>0</v>
      </c>
      <c r="CI450" s="613">
        <f t="shared" si="544"/>
        <v>0</v>
      </c>
      <c r="CJ450" s="614" t="str">
        <f t="shared" si="545"/>
        <v/>
      </c>
      <c r="CK450" s="615" t="str">
        <f t="shared" si="546"/>
        <v/>
      </c>
      <c r="CL450" s="610" t="str">
        <f>IF(ISBLANK(H450),"",IF(AND(ISNUMBER(F450),ISNUMBER(G450),ISNUMBER(H450)),ROUND(F450/(H450*G450),2),ROUND(F450/(VALUE(LEFT(H450,SUM(LEN(H450)-LEN(SUBSTITUTE(H450,{"0","1","2","3","4","5","6","7","8","9","."},"")))))*G450),2)))</f>
        <v/>
      </c>
      <c r="CM450" s="616" t="str">
        <f t="shared" si="577"/>
        <v/>
      </c>
      <c r="CN450" s="616" t="str">
        <f>IF(ISNUMBER(P450),MAX('Adjustment factors'!$S$16,(0.2+0.8*P450)),IF(ISTEXT(N450),VLOOKUP(N450,Afactors,2,FALSE),""))</f>
        <v/>
      </c>
      <c r="CO450" s="616" t="str">
        <f>IF(ISNUMBER(S450),MAX('Adjustment factors'!$S$16,0.2+0.8*S450),IF(ISTEXT(Q450),VLOOKUP(Q450,Afactors,2,FALSE),""))</f>
        <v/>
      </c>
      <c r="CP450" s="611" t="str">
        <f t="shared" si="564"/>
        <v/>
      </c>
      <c r="CQ450" s="612" t="str">
        <f t="shared" si="565"/>
        <v/>
      </c>
      <c r="CR450" s="340"/>
      <c r="CS450" s="340"/>
      <c r="CT450" s="340"/>
      <c r="CU450" s="340"/>
      <c r="CV450" s="333"/>
      <c r="CW450" s="333"/>
      <c r="CX450" s="333"/>
      <c r="CY450" s="333"/>
      <c r="DA450" s="313" t="str">
        <f t="shared" si="547"/>
        <v>OK</v>
      </c>
      <c r="DB450" s="313" t="str">
        <f t="shared" si="548"/>
        <v>OK</v>
      </c>
      <c r="DC450" s="313" t="str">
        <f t="shared" si="549"/>
        <v>OK</v>
      </c>
      <c r="DD450" s="313" t="str">
        <f t="shared" si="550"/>
        <v>OK</v>
      </c>
      <c r="DE450" s="153" t="str">
        <f t="shared" si="551"/>
        <v>OK</v>
      </c>
      <c r="DF450" s="314" t="str">
        <f t="shared" si="552"/>
        <v>OK</v>
      </c>
      <c r="DG450" s="482" t="str">
        <f t="shared" si="566"/>
        <v>OK</v>
      </c>
      <c r="DH450" s="482" t="str">
        <f>IF(OR(AND(T450='Adjustment factors'!$R$28,'Class 3, 5-9'!U450='Adjustment factors'!$R$29),AND('Class 3, 5-9'!T450='Adjustment factors'!$R$29,'Class 3, 5-9'!U450='Adjustment factors'!$R$28)),"Invalid combination of adjustment factors",IF(AND(T450=U450,NOT(ISBLANK(T450)),NOT(ISBLANK(U450))),"Same colour factor selected twice","OK"))</f>
        <v>OK</v>
      </c>
      <c r="DI450" s="313" t="str">
        <f t="shared" si="553"/>
        <v>OK</v>
      </c>
      <c r="DJ450" s="153" t="str">
        <f t="shared" si="578"/>
        <v>OK</v>
      </c>
      <c r="DK450" s="153" t="str">
        <f t="shared" si="554"/>
        <v>OK</v>
      </c>
      <c r="DL450" s="313" t="str">
        <f t="shared" si="555"/>
        <v>OK</v>
      </c>
      <c r="DM450" s="153" t="str">
        <f t="shared" si="556"/>
        <v>OK</v>
      </c>
      <c r="DN450" s="153" t="str">
        <f t="shared" si="579"/>
        <v>OK</v>
      </c>
      <c r="DO450" s="154" t="str">
        <f t="shared" si="580"/>
        <v>OK</v>
      </c>
      <c r="DP450" s="153" t="str">
        <f t="shared" si="557"/>
        <v>OK</v>
      </c>
      <c r="DQ450" s="313" t="str">
        <f t="shared" si="558"/>
        <v>OK</v>
      </c>
      <c r="DR450" s="153" t="str">
        <f t="shared" si="581"/>
        <v>OK</v>
      </c>
      <c r="DS450" s="153" t="str">
        <f t="shared" si="559"/>
        <v>OK</v>
      </c>
      <c r="DT450" s="313" t="str">
        <f t="shared" si="594"/>
        <v>OK</v>
      </c>
      <c r="DU450" s="153" t="str">
        <f t="shared" si="560"/>
        <v>OK</v>
      </c>
      <c r="DV450" s="153" t="str">
        <f t="shared" si="582"/>
        <v>OK</v>
      </c>
      <c r="DW450" s="154" t="str">
        <f t="shared" si="583"/>
        <v>OK</v>
      </c>
      <c r="DX450" s="157">
        <f t="shared" si="584"/>
        <v>0</v>
      </c>
      <c r="DY450" s="156" t="str">
        <f t="shared" si="585"/>
        <v>OK</v>
      </c>
    </row>
    <row r="451" spans="1:129" ht="13" hidden="1" x14ac:dyDescent="0.3">
      <c r="A451" s="333"/>
      <c r="B451" s="333"/>
      <c r="C451" s="331" t="str">
        <f t="shared" si="593"/>
        <v>-</v>
      </c>
      <c r="D451" s="584">
        <f t="shared" si="595"/>
        <v>428</v>
      </c>
      <c r="E451" s="585"/>
      <c r="F451" s="586"/>
      <c r="G451" s="600"/>
      <c r="H451" s="587"/>
      <c r="I451" s="601"/>
      <c r="J451" s="585"/>
      <c r="K451" s="617"/>
      <c r="L451" s="602"/>
      <c r="M451" s="603"/>
      <c r="N451" s="588"/>
      <c r="O451" s="604"/>
      <c r="P451" s="605"/>
      <c r="Q451" s="588"/>
      <c r="R451" s="604"/>
      <c r="S451" s="605"/>
      <c r="T451" s="606"/>
      <c r="U451" s="606"/>
      <c r="V451" s="429" t="str">
        <f t="shared" si="590"/>
        <v/>
      </c>
      <c r="W451" s="430" t="str">
        <f t="shared" si="589"/>
        <v/>
      </c>
      <c r="X451" s="66" t="str">
        <f>IF(AND(ISNUMBER(P451),N451=FixedDim),MAX('Adjustment factors'!$S$16,0.2+0.8*P451),IF(ISTEXT(N451),VLOOKUP(N451,Afactors,2,TRUE),""))</f>
        <v/>
      </c>
      <c r="Y451" s="17" t="str">
        <f>IF(AND(ISNUMBER(S451),Q451=FixedDim),MAX('Adjustment factors'!$S$16,0.2+0.8*S451),IF(ISTEXT(Q451),VLOOKUP(Q451,Afactors,2,TRUE),""))</f>
        <v/>
      </c>
      <c r="Z451" s="297" t="str">
        <f>IF(ISBLANK(T451),"",VLOOKUP(T451,'Adjustment factors'!$R$27:$S$30,2,TRUE))</f>
        <v/>
      </c>
      <c r="AA451" s="297" t="str">
        <f>IF(ISBLANK(U451),"",VLOOKUP(U451,'Adjustment factors'!$R$27:$S$30,2,TRUE))</f>
        <v/>
      </c>
      <c r="AB451" s="480">
        <f t="shared" si="561"/>
        <v>1</v>
      </c>
      <c r="AC451" s="18" t="b">
        <f t="shared" si="518"/>
        <v>0</v>
      </c>
      <c r="AD451" s="18" t="b">
        <f t="shared" si="519"/>
        <v>0</v>
      </c>
      <c r="AE451" s="18" t="b">
        <f t="shared" si="586"/>
        <v>0</v>
      </c>
      <c r="AF451" s="17" t="str">
        <f t="shared" si="520"/>
        <v/>
      </c>
      <c r="AG451" s="18" t="str">
        <f t="shared" si="521"/>
        <v/>
      </c>
      <c r="AH451" s="17" t="str">
        <f t="shared" si="587"/>
        <v/>
      </c>
      <c r="AI451" s="297" t="e">
        <f t="shared" si="562"/>
        <v>#VALUE!</v>
      </c>
      <c r="AJ451" s="79" t="e">
        <f t="shared" si="522"/>
        <v>#VALUE!</v>
      </c>
      <c r="AK451" s="17" t="str">
        <f t="shared" si="588"/>
        <v/>
      </c>
      <c r="AL451" s="80" t="e">
        <f t="shared" si="523"/>
        <v>#VALUE!</v>
      </c>
      <c r="AM451" s="139" t="b">
        <f t="shared" si="524"/>
        <v>1</v>
      </c>
      <c r="AN451" s="139" t="b">
        <f>AND(COUNTA(E451)&gt;0,ISNUMBER(F451),OR(COUNT(G451:H451)=0,COUNT(G451:H451)=2,AND(ISNUMBER(G451),ISNUMBER(VALUE(LEFT(H451,SUM(LEN(H451)-LEN(SUBSTITUTE(H451,{"0","1","2","3","4","5","6","7","8","9","."},"")))))))),ISNUMBER(I451),ISTEXT(J451))</f>
        <v>0</v>
      </c>
      <c r="AO451" s="19" t="b">
        <f t="shared" si="525"/>
        <v>0</v>
      </c>
      <c r="AP451" s="19" t="b">
        <f t="shared" si="526"/>
        <v>1</v>
      </c>
      <c r="AQ451" s="19" t="b">
        <f>IF(AND(COUNTBLANK(E451:J451)=6,OR(AN452:AN$523)),NOT(AN451))</f>
        <v>0</v>
      </c>
      <c r="AR451" s="19" t="str">
        <f t="shared" si="527"/>
        <v/>
      </c>
      <c r="AS451" s="19" t="b">
        <f t="shared" si="528"/>
        <v>1</v>
      </c>
      <c r="AT451" s="19" t="str">
        <f t="shared" si="529"/>
        <v/>
      </c>
      <c r="AU451" s="19" t="b">
        <f t="shared" si="530"/>
        <v>1</v>
      </c>
      <c r="AV451" s="140" t="str">
        <f t="shared" si="570"/>
        <v/>
      </c>
      <c r="AW451" s="19" t="str">
        <f t="shared" si="531"/>
        <v/>
      </c>
      <c r="AX451" s="81">
        <f t="shared" si="532"/>
        <v>0</v>
      </c>
      <c r="AY451" s="81" t="str">
        <f t="shared" si="533"/>
        <v/>
      </c>
      <c r="AZ451" s="307" t="str">
        <f t="shared" si="563"/>
        <v/>
      </c>
      <c r="BA451" s="281" t="str">
        <f t="shared" si="571"/>
        <v/>
      </c>
      <c r="BB451" s="281" t="str">
        <f t="shared" si="572"/>
        <v/>
      </c>
      <c r="BC451" s="953"/>
      <c r="BD451" s="955"/>
      <c r="BE451" s="219" t="str">
        <f t="shared" si="534"/>
        <v>n/a</v>
      </c>
      <c r="BF451" s="215" t="b">
        <f t="shared" si="535"/>
        <v>0</v>
      </c>
      <c r="BG451" s="145" t="b">
        <f t="shared" si="536"/>
        <v>0</v>
      </c>
      <c r="BH451" s="145" t="b">
        <f t="shared" si="537"/>
        <v>0</v>
      </c>
      <c r="BI451" s="216" t="b">
        <f t="shared" si="538"/>
        <v>0</v>
      </c>
      <c r="BJ451" s="215" t="b">
        <f t="shared" si="539"/>
        <v>0</v>
      </c>
      <c r="BK451" s="145" t="b">
        <f t="shared" si="540"/>
        <v>0</v>
      </c>
      <c r="BL451" s="216" t="b">
        <f t="shared" si="541"/>
        <v>0</v>
      </c>
      <c r="BM451" s="217" t="str">
        <f t="shared" si="573"/>
        <v/>
      </c>
      <c r="BN451" s="146" t="str">
        <f t="shared" si="574"/>
        <v/>
      </c>
      <c r="BO451" s="147" t="str">
        <f t="shared" si="575"/>
        <v/>
      </c>
      <c r="BP451" s="148" t="str">
        <f t="shared" si="576"/>
        <v/>
      </c>
      <c r="BT451" s="50">
        <f t="shared" si="596"/>
        <v>428</v>
      </c>
      <c r="BU451" s="50" t="str">
        <f t="shared" si="592"/>
        <v>-</v>
      </c>
      <c r="BW451" s="333"/>
      <c r="BX451" s="333"/>
      <c r="BY451" s="333"/>
      <c r="BZ451" s="333"/>
      <c r="CA451" s="333"/>
      <c r="CB451" s="333"/>
      <c r="CC451" s="333"/>
      <c r="CD451" s="333"/>
      <c r="CE451" s="333"/>
      <c r="CF451" s="333"/>
      <c r="CG451" s="354">
        <f t="shared" si="542"/>
        <v>428</v>
      </c>
      <c r="CH451" s="613">
        <f t="shared" si="543"/>
        <v>0</v>
      </c>
      <c r="CI451" s="613">
        <f t="shared" si="544"/>
        <v>0</v>
      </c>
      <c r="CJ451" s="614" t="str">
        <f t="shared" si="545"/>
        <v/>
      </c>
      <c r="CK451" s="615" t="str">
        <f t="shared" si="546"/>
        <v/>
      </c>
      <c r="CL451" s="610" t="str">
        <f>IF(ISBLANK(H451),"",IF(AND(ISNUMBER(F451),ISNUMBER(G451),ISNUMBER(H451)),ROUND(F451/(H451*G451),2),ROUND(F451/(VALUE(LEFT(H451,SUM(LEN(H451)-LEN(SUBSTITUTE(H451,{"0","1","2","3","4","5","6","7","8","9","."},"")))))*G451),2)))</f>
        <v/>
      </c>
      <c r="CM451" s="616" t="str">
        <f t="shared" si="577"/>
        <v/>
      </c>
      <c r="CN451" s="616" t="str">
        <f>IF(ISNUMBER(P451),MAX('Adjustment factors'!$S$16,(0.2+0.8*P451)),IF(ISTEXT(N451),VLOOKUP(N451,Afactors,2,FALSE),""))</f>
        <v/>
      </c>
      <c r="CO451" s="616" t="str">
        <f>IF(ISNUMBER(S451),MAX('Adjustment factors'!$S$16,0.2+0.8*S451),IF(ISTEXT(Q451),VLOOKUP(Q451,Afactors,2,FALSE),""))</f>
        <v/>
      </c>
      <c r="CP451" s="611" t="str">
        <f t="shared" si="564"/>
        <v/>
      </c>
      <c r="CQ451" s="612" t="str">
        <f t="shared" si="565"/>
        <v/>
      </c>
      <c r="CR451" s="340"/>
      <c r="CS451" s="340"/>
      <c r="CT451" s="340"/>
      <c r="CU451" s="340"/>
      <c r="CV451" s="333"/>
      <c r="CW451" s="333"/>
      <c r="CX451" s="333"/>
      <c r="CY451" s="333"/>
      <c r="DA451" s="313" t="str">
        <f t="shared" si="547"/>
        <v>OK</v>
      </c>
      <c r="DB451" s="313" t="str">
        <f t="shared" si="548"/>
        <v>OK</v>
      </c>
      <c r="DC451" s="313" t="str">
        <f t="shared" si="549"/>
        <v>OK</v>
      </c>
      <c r="DD451" s="313" t="str">
        <f t="shared" si="550"/>
        <v>OK</v>
      </c>
      <c r="DE451" s="153" t="str">
        <f t="shared" si="551"/>
        <v>OK</v>
      </c>
      <c r="DF451" s="314" t="str">
        <f t="shared" si="552"/>
        <v>OK</v>
      </c>
      <c r="DG451" s="482" t="str">
        <f t="shared" si="566"/>
        <v>OK</v>
      </c>
      <c r="DH451" s="482" t="str">
        <f>IF(OR(AND(T451='Adjustment factors'!$R$28,'Class 3, 5-9'!U451='Adjustment factors'!$R$29),AND('Class 3, 5-9'!T451='Adjustment factors'!$R$29,'Class 3, 5-9'!U451='Adjustment factors'!$R$28)),"Invalid combination of adjustment factors",IF(AND(T451=U451,NOT(ISBLANK(T451)),NOT(ISBLANK(U451))),"Same colour factor selected twice","OK"))</f>
        <v>OK</v>
      </c>
      <c r="DI451" s="313" t="str">
        <f t="shared" si="553"/>
        <v>OK</v>
      </c>
      <c r="DJ451" s="153" t="str">
        <f t="shared" si="578"/>
        <v>OK</v>
      </c>
      <c r="DK451" s="153" t="str">
        <f t="shared" si="554"/>
        <v>OK</v>
      </c>
      <c r="DL451" s="313" t="str">
        <f t="shared" si="555"/>
        <v>OK</v>
      </c>
      <c r="DM451" s="153" t="str">
        <f t="shared" si="556"/>
        <v>OK</v>
      </c>
      <c r="DN451" s="153" t="str">
        <f t="shared" si="579"/>
        <v>OK</v>
      </c>
      <c r="DO451" s="154" t="str">
        <f t="shared" si="580"/>
        <v>OK</v>
      </c>
      <c r="DP451" s="153" t="str">
        <f t="shared" si="557"/>
        <v>OK</v>
      </c>
      <c r="DQ451" s="313" t="str">
        <f t="shared" si="558"/>
        <v>OK</v>
      </c>
      <c r="DR451" s="153" t="str">
        <f t="shared" si="581"/>
        <v>OK</v>
      </c>
      <c r="DS451" s="153" t="str">
        <f t="shared" si="559"/>
        <v>OK</v>
      </c>
      <c r="DT451" s="313" t="str">
        <f t="shared" si="594"/>
        <v>OK</v>
      </c>
      <c r="DU451" s="153" t="str">
        <f t="shared" si="560"/>
        <v>OK</v>
      </c>
      <c r="DV451" s="153" t="str">
        <f t="shared" si="582"/>
        <v>OK</v>
      </c>
      <c r="DW451" s="154" t="str">
        <f t="shared" si="583"/>
        <v>OK</v>
      </c>
      <c r="DX451" s="157">
        <f t="shared" si="584"/>
        <v>0</v>
      </c>
      <c r="DY451" s="156" t="str">
        <f t="shared" si="585"/>
        <v>OK</v>
      </c>
    </row>
    <row r="452" spans="1:129" ht="13" hidden="1" x14ac:dyDescent="0.3">
      <c r="A452" s="333"/>
      <c r="B452" s="333"/>
      <c r="C452" s="331" t="str">
        <f t="shared" si="593"/>
        <v>-</v>
      </c>
      <c r="D452" s="584">
        <f t="shared" si="595"/>
        <v>429</v>
      </c>
      <c r="E452" s="585"/>
      <c r="F452" s="586"/>
      <c r="G452" s="600"/>
      <c r="H452" s="587"/>
      <c r="I452" s="601"/>
      <c r="J452" s="585"/>
      <c r="K452" s="617"/>
      <c r="L452" s="602"/>
      <c r="M452" s="603"/>
      <c r="N452" s="588"/>
      <c r="O452" s="604"/>
      <c r="P452" s="605"/>
      <c r="Q452" s="588"/>
      <c r="R452" s="604"/>
      <c r="S452" s="605"/>
      <c r="T452" s="606"/>
      <c r="U452" s="606"/>
      <c r="V452" s="429" t="str">
        <f t="shared" si="590"/>
        <v/>
      </c>
      <c r="W452" s="430" t="str">
        <f t="shared" si="589"/>
        <v/>
      </c>
      <c r="X452" s="66" t="str">
        <f>IF(AND(ISNUMBER(P452),N452=FixedDim),MAX('Adjustment factors'!$S$16,0.2+0.8*P452),IF(ISTEXT(N452),VLOOKUP(N452,Afactors,2,TRUE),""))</f>
        <v/>
      </c>
      <c r="Y452" s="17" t="str">
        <f>IF(AND(ISNUMBER(S452),Q452=FixedDim),MAX('Adjustment factors'!$S$16,0.2+0.8*S452),IF(ISTEXT(Q452),VLOOKUP(Q452,Afactors,2,TRUE),""))</f>
        <v/>
      </c>
      <c r="Z452" s="297" t="str">
        <f>IF(ISBLANK(T452),"",VLOOKUP(T452,'Adjustment factors'!$R$27:$S$30,2,TRUE))</f>
        <v/>
      </c>
      <c r="AA452" s="297" t="str">
        <f>IF(ISBLANK(U452),"",VLOOKUP(U452,'Adjustment factors'!$R$27:$S$30,2,TRUE))</f>
        <v/>
      </c>
      <c r="AB452" s="480">
        <f t="shared" si="561"/>
        <v>1</v>
      </c>
      <c r="AC452" s="18" t="b">
        <f t="shared" si="518"/>
        <v>0</v>
      </c>
      <c r="AD452" s="18" t="b">
        <f t="shared" si="519"/>
        <v>0</v>
      </c>
      <c r="AE452" s="18" t="b">
        <f t="shared" si="586"/>
        <v>0</v>
      </c>
      <c r="AF452" s="17" t="str">
        <f t="shared" si="520"/>
        <v/>
      </c>
      <c r="AG452" s="18" t="str">
        <f t="shared" si="521"/>
        <v/>
      </c>
      <c r="AH452" s="17" t="str">
        <f t="shared" si="587"/>
        <v/>
      </c>
      <c r="AI452" s="297" t="e">
        <f t="shared" si="562"/>
        <v>#VALUE!</v>
      </c>
      <c r="AJ452" s="79" t="e">
        <f t="shared" si="522"/>
        <v>#VALUE!</v>
      </c>
      <c r="AK452" s="17" t="str">
        <f t="shared" si="588"/>
        <v/>
      </c>
      <c r="AL452" s="80" t="e">
        <f t="shared" si="523"/>
        <v>#VALUE!</v>
      </c>
      <c r="AM452" s="139" t="b">
        <f t="shared" si="524"/>
        <v>1</v>
      </c>
      <c r="AN452" s="139" t="b">
        <f>AND(COUNTA(E452)&gt;0,ISNUMBER(F452),OR(COUNT(G452:H452)=0,COUNT(G452:H452)=2,AND(ISNUMBER(G452),ISNUMBER(VALUE(LEFT(H452,SUM(LEN(H452)-LEN(SUBSTITUTE(H452,{"0","1","2","3","4","5","6","7","8","9","."},"")))))))),ISNUMBER(I452),ISTEXT(J452))</f>
        <v>0</v>
      </c>
      <c r="AO452" s="19" t="b">
        <f t="shared" si="525"/>
        <v>0</v>
      </c>
      <c r="AP452" s="19" t="b">
        <f t="shared" si="526"/>
        <v>1</v>
      </c>
      <c r="AQ452" s="19" t="b">
        <f>IF(AND(COUNTBLANK(E452:J452)=6,OR(AN453:AN$523)),NOT(AN452))</f>
        <v>0</v>
      </c>
      <c r="AR452" s="19" t="str">
        <f t="shared" si="527"/>
        <v/>
      </c>
      <c r="AS452" s="19" t="b">
        <f t="shared" si="528"/>
        <v>1</v>
      </c>
      <c r="AT452" s="19" t="str">
        <f t="shared" si="529"/>
        <v/>
      </c>
      <c r="AU452" s="19" t="b">
        <f t="shared" si="530"/>
        <v>1</v>
      </c>
      <c r="AV452" s="140" t="str">
        <f t="shared" si="570"/>
        <v/>
      </c>
      <c r="AW452" s="19" t="str">
        <f t="shared" si="531"/>
        <v/>
      </c>
      <c r="AX452" s="81">
        <f t="shared" si="532"/>
        <v>0</v>
      </c>
      <c r="AY452" s="81" t="str">
        <f t="shared" si="533"/>
        <v/>
      </c>
      <c r="AZ452" s="307" t="str">
        <f t="shared" si="563"/>
        <v/>
      </c>
      <c r="BA452" s="281" t="str">
        <f t="shared" si="571"/>
        <v/>
      </c>
      <c r="BB452" s="281" t="str">
        <f t="shared" si="572"/>
        <v/>
      </c>
      <c r="BC452" s="953"/>
      <c r="BD452" s="955"/>
      <c r="BE452" s="219" t="str">
        <f t="shared" si="534"/>
        <v>n/a</v>
      </c>
      <c r="BF452" s="215" t="b">
        <f t="shared" si="535"/>
        <v>0</v>
      </c>
      <c r="BG452" s="145" t="b">
        <f t="shared" si="536"/>
        <v>0</v>
      </c>
      <c r="BH452" s="145" t="b">
        <f t="shared" si="537"/>
        <v>0</v>
      </c>
      <c r="BI452" s="216" t="b">
        <f t="shared" si="538"/>
        <v>0</v>
      </c>
      <c r="BJ452" s="215" t="b">
        <f t="shared" si="539"/>
        <v>0</v>
      </c>
      <c r="BK452" s="145" t="b">
        <f t="shared" si="540"/>
        <v>0</v>
      </c>
      <c r="BL452" s="216" t="b">
        <f t="shared" si="541"/>
        <v>0</v>
      </c>
      <c r="BM452" s="217" t="str">
        <f t="shared" si="573"/>
        <v/>
      </c>
      <c r="BN452" s="146" t="str">
        <f t="shared" si="574"/>
        <v/>
      </c>
      <c r="BO452" s="147" t="str">
        <f t="shared" si="575"/>
        <v/>
      </c>
      <c r="BP452" s="148" t="str">
        <f t="shared" si="576"/>
        <v/>
      </c>
      <c r="BT452" s="50">
        <f t="shared" si="596"/>
        <v>429</v>
      </c>
      <c r="BU452" s="50" t="str">
        <f t="shared" si="592"/>
        <v>-</v>
      </c>
      <c r="BW452" s="333"/>
      <c r="BX452" s="333"/>
      <c r="BY452" s="333"/>
      <c r="BZ452" s="333"/>
      <c r="CA452" s="333"/>
      <c r="CB452" s="333"/>
      <c r="CC452" s="333"/>
      <c r="CD452" s="333"/>
      <c r="CE452" s="333"/>
      <c r="CF452" s="333"/>
      <c r="CG452" s="354">
        <f t="shared" si="542"/>
        <v>429</v>
      </c>
      <c r="CH452" s="613">
        <f t="shared" si="543"/>
        <v>0</v>
      </c>
      <c r="CI452" s="613">
        <f t="shared" si="544"/>
        <v>0</v>
      </c>
      <c r="CJ452" s="614" t="str">
        <f t="shared" si="545"/>
        <v/>
      </c>
      <c r="CK452" s="615" t="str">
        <f t="shared" si="546"/>
        <v/>
      </c>
      <c r="CL452" s="610" t="str">
        <f>IF(ISBLANK(H452),"",IF(AND(ISNUMBER(F452),ISNUMBER(G452),ISNUMBER(H452)),ROUND(F452/(H452*G452),2),ROUND(F452/(VALUE(LEFT(H452,SUM(LEN(H452)-LEN(SUBSTITUTE(H452,{"0","1","2","3","4","5","6","7","8","9","."},"")))))*G452),2)))</f>
        <v/>
      </c>
      <c r="CM452" s="616" t="str">
        <f t="shared" si="577"/>
        <v/>
      </c>
      <c r="CN452" s="616" t="str">
        <f>IF(ISNUMBER(P452),MAX('Adjustment factors'!$S$16,(0.2+0.8*P452)),IF(ISTEXT(N452),VLOOKUP(N452,Afactors,2,FALSE),""))</f>
        <v/>
      </c>
      <c r="CO452" s="616" t="str">
        <f>IF(ISNUMBER(S452),MAX('Adjustment factors'!$S$16,0.2+0.8*S452),IF(ISTEXT(Q452),VLOOKUP(Q452,Afactors,2,FALSE),""))</f>
        <v/>
      </c>
      <c r="CP452" s="611" t="str">
        <f t="shared" si="564"/>
        <v/>
      </c>
      <c r="CQ452" s="612" t="str">
        <f t="shared" si="565"/>
        <v/>
      </c>
      <c r="CR452" s="340"/>
      <c r="CS452" s="340"/>
      <c r="CT452" s="340"/>
      <c r="CU452" s="340"/>
      <c r="CV452" s="333"/>
      <c r="CW452" s="333"/>
      <c r="CX452" s="333"/>
      <c r="CY452" s="333"/>
      <c r="DA452" s="313" t="str">
        <f t="shared" si="547"/>
        <v>OK</v>
      </c>
      <c r="DB452" s="313" t="str">
        <f t="shared" si="548"/>
        <v>OK</v>
      </c>
      <c r="DC452" s="313" t="str">
        <f t="shared" si="549"/>
        <v>OK</v>
      </c>
      <c r="DD452" s="313" t="str">
        <f t="shared" si="550"/>
        <v>OK</v>
      </c>
      <c r="DE452" s="153" t="str">
        <f t="shared" si="551"/>
        <v>OK</v>
      </c>
      <c r="DF452" s="314" t="str">
        <f t="shared" si="552"/>
        <v>OK</v>
      </c>
      <c r="DG452" s="482" t="str">
        <f t="shared" si="566"/>
        <v>OK</v>
      </c>
      <c r="DH452" s="482" t="str">
        <f>IF(OR(AND(T452='Adjustment factors'!$R$28,'Class 3, 5-9'!U452='Adjustment factors'!$R$29),AND('Class 3, 5-9'!T452='Adjustment factors'!$R$29,'Class 3, 5-9'!U452='Adjustment factors'!$R$28)),"Invalid combination of adjustment factors",IF(AND(T452=U452,NOT(ISBLANK(T452)),NOT(ISBLANK(U452))),"Same colour factor selected twice","OK"))</f>
        <v>OK</v>
      </c>
      <c r="DI452" s="313" t="str">
        <f t="shared" si="553"/>
        <v>OK</v>
      </c>
      <c r="DJ452" s="153" t="str">
        <f t="shared" si="578"/>
        <v>OK</v>
      </c>
      <c r="DK452" s="153" t="str">
        <f t="shared" si="554"/>
        <v>OK</v>
      </c>
      <c r="DL452" s="313" t="str">
        <f t="shared" si="555"/>
        <v>OK</v>
      </c>
      <c r="DM452" s="153" t="str">
        <f t="shared" si="556"/>
        <v>OK</v>
      </c>
      <c r="DN452" s="153" t="str">
        <f t="shared" si="579"/>
        <v>OK</v>
      </c>
      <c r="DO452" s="154" t="str">
        <f t="shared" si="580"/>
        <v>OK</v>
      </c>
      <c r="DP452" s="153" t="str">
        <f t="shared" si="557"/>
        <v>OK</v>
      </c>
      <c r="DQ452" s="313" t="str">
        <f t="shared" si="558"/>
        <v>OK</v>
      </c>
      <c r="DR452" s="153" t="str">
        <f t="shared" si="581"/>
        <v>OK</v>
      </c>
      <c r="DS452" s="153" t="str">
        <f t="shared" si="559"/>
        <v>OK</v>
      </c>
      <c r="DT452" s="313" t="str">
        <f t="shared" si="594"/>
        <v>OK</v>
      </c>
      <c r="DU452" s="153" t="str">
        <f t="shared" si="560"/>
        <v>OK</v>
      </c>
      <c r="DV452" s="153" t="str">
        <f t="shared" si="582"/>
        <v>OK</v>
      </c>
      <c r="DW452" s="154" t="str">
        <f t="shared" si="583"/>
        <v>OK</v>
      </c>
      <c r="DX452" s="157">
        <f t="shared" si="584"/>
        <v>0</v>
      </c>
      <c r="DY452" s="156" t="str">
        <f t="shared" si="585"/>
        <v>OK</v>
      </c>
    </row>
    <row r="453" spans="1:129" ht="13" hidden="1" x14ac:dyDescent="0.3">
      <c r="A453" s="333"/>
      <c r="B453" s="333"/>
      <c r="C453" s="331" t="str">
        <f t="shared" si="593"/>
        <v>-</v>
      </c>
      <c r="D453" s="584">
        <f t="shared" si="595"/>
        <v>430</v>
      </c>
      <c r="E453" s="585"/>
      <c r="F453" s="586"/>
      <c r="G453" s="600"/>
      <c r="H453" s="587"/>
      <c r="I453" s="601"/>
      <c r="J453" s="585"/>
      <c r="K453" s="617"/>
      <c r="L453" s="602"/>
      <c r="M453" s="603"/>
      <c r="N453" s="588"/>
      <c r="O453" s="604"/>
      <c r="P453" s="605"/>
      <c r="Q453" s="588"/>
      <c r="R453" s="604"/>
      <c r="S453" s="605"/>
      <c r="T453" s="606"/>
      <c r="U453" s="606"/>
      <c r="V453" s="429" t="str">
        <f t="shared" si="590"/>
        <v/>
      </c>
      <c r="W453" s="430" t="str">
        <f t="shared" si="589"/>
        <v/>
      </c>
      <c r="X453" s="66" t="str">
        <f>IF(AND(ISNUMBER(P453),N453=FixedDim),MAX('Adjustment factors'!$S$16,0.2+0.8*P453),IF(ISTEXT(N453),VLOOKUP(N453,Afactors,2,TRUE),""))</f>
        <v/>
      </c>
      <c r="Y453" s="17" t="str">
        <f>IF(AND(ISNUMBER(S453),Q453=FixedDim),MAX('Adjustment factors'!$S$16,0.2+0.8*S453),IF(ISTEXT(Q453),VLOOKUP(Q453,Afactors,2,TRUE),""))</f>
        <v/>
      </c>
      <c r="Z453" s="297" t="str">
        <f>IF(ISBLANK(T453),"",VLOOKUP(T453,'Adjustment factors'!$R$27:$S$30,2,TRUE))</f>
        <v/>
      </c>
      <c r="AA453" s="297" t="str">
        <f>IF(ISBLANK(U453),"",VLOOKUP(U453,'Adjustment factors'!$R$27:$S$30,2,TRUE))</f>
        <v/>
      </c>
      <c r="AB453" s="480">
        <f t="shared" si="561"/>
        <v>1</v>
      </c>
      <c r="AC453" s="18" t="b">
        <f t="shared" si="518"/>
        <v>0</v>
      </c>
      <c r="AD453" s="18" t="b">
        <f t="shared" si="519"/>
        <v>0</v>
      </c>
      <c r="AE453" s="18" t="b">
        <f t="shared" si="586"/>
        <v>0</v>
      </c>
      <c r="AF453" s="17" t="str">
        <f t="shared" si="520"/>
        <v/>
      </c>
      <c r="AG453" s="18" t="str">
        <f t="shared" si="521"/>
        <v/>
      </c>
      <c r="AH453" s="17" t="str">
        <f t="shared" si="587"/>
        <v/>
      </c>
      <c r="AI453" s="297" t="e">
        <f t="shared" si="562"/>
        <v>#VALUE!</v>
      </c>
      <c r="AJ453" s="79" t="e">
        <f t="shared" si="522"/>
        <v>#VALUE!</v>
      </c>
      <c r="AK453" s="17" t="str">
        <f t="shared" si="588"/>
        <v/>
      </c>
      <c r="AL453" s="80" t="e">
        <f t="shared" si="523"/>
        <v>#VALUE!</v>
      </c>
      <c r="AM453" s="139" t="b">
        <f t="shared" si="524"/>
        <v>1</v>
      </c>
      <c r="AN453" s="139" t="b">
        <f>AND(COUNTA(E453)&gt;0,ISNUMBER(F453),OR(COUNT(G453:H453)=0,COUNT(G453:H453)=2,AND(ISNUMBER(G453),ISNUMBER(VALUE(LEFT(H453,SUM(LEN(H453)-LEN(SUBSTITUTE(H453,{"0","1","2","3","4","5","6","7","8","9","."},"")))))))),ISNUMBER(I453),ISTEXT(J453))</f>
        <v>0</v>
      </c>
      <c r="AO453" s="19" t="b">
        <f t="shared" si="525"/>
        <v>0</v>
      </c>
      <c r="AP453" s="19" t="b">
        <f t="shared" si="526"/>
        <v>1</v>
      </c>
      <c r="AQ453" s="19" t="b">
        <f>IF(AND(COUNTBLANK(E453:J453)=6,OR(AN454:AN$523)),NOT(AN453))</f>
        <v>0</v>
      </c>
      <c r="AR453" s="19" t="str">
        <f t="shared" si="527"/>
        <v/>
      </c>
      <c r="AS453" s="19" t="b">
        <f t="shared" si="528"/>
        <v>1</v>
      </c>
      <c r="AT453" s="19" t="str">
        <f t="shared" si="529"/>
        <v/>
      </c>
      <c r="AU453" s="19" t="b">
        <f t="shared" si="530"/>
        <v>1</v>
      </c>
      <c r="AV453" s="140" t="str">
        <f t="shared" si="570"/>
        <v/>
      </c>
      <c r="AW453" s="19" t="str">
        <f t="shared" si="531"/>
        <v/>
      </c>
      <c r="AX453" s="81">
        <f t="shared" si="532"/>
        <v>0</v>
      </c>
      <c r="AY453" s="81" t="str">
        <f t="shared" si="533"/>
        <v/>
      </c>
      <c r="AZ453" s="307" t="str">
        <f t="shared" si="563"/>
        <v/>
      </c>
      <c r="BA453" s="281" t="str">
        <f t="shared" si="571"/>
        <v/>
      </c>
      <c r="BB453" s="281" t="str">
        <f t="shared" si="572"/>
        <v/>
      </c>
      <c r="BC453" s="953"/>
      <c r="BD453" s="955"/>
      <c r="BE453" s="219" t="str">
        <f t="shared" si="534"/>
        <v>n/a</v>
      </c>
      <c r="BF453" s="215" t="b">
        <f t="shared" si="535"/>
        <v>0</v>
      </c>
      <c r="BG453" s="145" t="b">
        <f t="shared" si="536"/>
        <v>0</v>
      </c>
      <c r="BH453" s="145" t="b">
        <f t="shared" si="537"/>
        <v>0</v>
      </c>
      <c r="BI453" s="216" t="b">
        <f t="shared" si="538"/>
        <v>0</v>
      </c>
      <c r="BJ453" s="215" t="b">
        <f t="shared" si="539"/>
        <v>0</v>
      </c>
      <c r="BK453" s="145" t="b">
        <f t="shared" si="540"/>
        <v>0</v>
      </c>
      <c r="BL453" s="216" t="b">
        <f t="shared" si="541"/>
        <v>0</v>
      </c>
      <c r="BM453" s="217" t="str">
        <f t="shared" si="573"/>
        <v/>
      </c>
      <c r="BN453" s="146" t="str">
        <f t="shared" si="574"/>
        <v/>
      </c>
      <c r="BO453" s="147" t="str">
        <f t="shared" si="575"/>
        <v/>
      </c>
      <c r="BP453" s="148" t="str">
        <f t="shared" si="576"/>
        <v/>
      </c>
      <c r="BT453" s="50">
        <f t="shared" si="596"/>
        <v>430</v>
      </c>
      <c r="BU453" s="50" t="str">
        <f t="shared" si="592"/>
        <v>-</v>
      </c>
      <c r="BW453" s="333"/>
      <c r="BX453" s="333"/>
      <c r="BY453" s="333"/>
      <c r="BZ453" s="333"/>
      <c r="CA453" s="333"/>
      <c r="CB453" s="333"/>
      <c r="CC453" s="333"/>
      <c r="CD453" s="333"/>
      <c r="CE453" s="333"/>
      <c r="CF453" s="333"/>
      <c r="CG453" s="354">
        <f t="shared" si="542"/>
        <v>430</v>
      </c>
      <c r="CH453" s="613">
        <f t="shared" si="543"/>
        <v>0</v>
      </c>
      <c r="CI453" s="613">
        <f t="shared" si="544"/>
        <v>0</v>
      </c>
      <c r="CJ453" s="614" t="str">
        <f t="shared" si="545"/>
        <v/>
      </c>
      <c r="CK453" s="615" t="str">
        <f t="shared" si="546"/>
        <v/>
      </c>
      <c r="CL453" s="610" t="str">
        <f>IF(ISBLANK(H453),"",IF(AND(ISNUMBER(F453),ISNUMBER(G453),ISNUMBER(H453)),ROUND(F453/(H453*G453),2),ROUND(F453/(VALUE(LEFT(H453,SUM(LEN(H453)-LEN(SUBSTITUTE(H453,{"0","1","2","3","4","5","6","7","8","9","."},"")))))*G453),2)))</f>
        <v/>
      </c>
      <c r="CM453" s="616" t="str">
        <f t="shared" si="577"/>
        <v/>
      </c>
      <c r="CN453" s="616" t="str">
        <f>IF(ISNUMBER(P453),MAX('Adjustment factors'!$S$16,(0.2+0.8*P453)),IF(ISTEXT(N453),VLOOKUP(N453,Afactors,2,FALSE),""))</f>
        <v/>
      </c>
      <c r="CO453" s="616" t="str">
        <f>IF(ISNUMBER(S453),MAX('Adjustment factors'!$S$16,0.2+0.8*S453),IF(ISTEXT(Q453),VLOOKUP(Q453,Afactors,2,FALSE),""))</f>
        <v/>
      </c>
      <c r="CP453" s="611" t="str">
        <f t="shared" si="564"/>
        <v/>
      </c>
      <c r="CQ453" s="612" t="str">
        <f t="shared" si="565"/>
        <v/>
      </c>
      <c r="CR453" s="340"/>
      <c r="CS453" s="340"/>
      <c r="CT453" s="340"/>
      <c r="CU453" s="340"/>
      <c r="CV453" s="333"/>
      <c r="CW453" s="333"/>
      <c r="CX453" s="333"/>
      <c r="CY453" s="333"/>
      <c r="DA453" s="313" t="str">
        <f t="shared" si="547"/>
        <v>OK</v>
      </c>
      <c r="DB453" s="313" t="str">
        <f t="shared" si="548"/>
        <v>OK</v>
      </c>
      <c r="DC453" s="313" t="str">
        <f t="shared" si="549"/>
        <v>OK</v>
      </c>
      <c r="DD453" s="313" t="str">
        <f t="shared" si="550"/>
        <v>OK</v>
      </c>
      <c r="DE453" s="153" t="str">
        <f t="shared" si="551"/>
        <v>OK</v>
      </c>
      <c r="DF453" s="314" t="str">
        <f t="shared" si="552"/>
        <v>OK</v>
      </c>
      <c r="DG453" s="482" t="str">
        <f t="shared" si="566"/>
        <v>OK</v>
      </c>
      <c r="DH453" s="482" t="str">
        <f>IF(OR(AND(T453='Adjustment factors'!$R$28,'Class 3, 5-9'!U453='Adjustment factors'!$R$29),AND('Class 3, 5-9'!T453='Adjustment factors'!$R$29,'Class 3, 5-9'!U453='Adjustment factors'!$R$28)),"Invalid combination of adjustment factors",IF(AND(T453=U453,NOT(ISBLANK(T453)),NOT(ISBLANK(U453))),"Same colour factor selected twice","OK"))</f>
        <v>OK</v>
      </c>
      <c r="DI453" s="313" t="str">
        <f t="shared" si="553"/>
        <v>OK</v>
      </c>
      <c r="DJ453" s="153" t="str">
        <f t="shared" si="578"/>
        <v>OK</v>
      </c>
      <c r="DK453" s="153" t="str">
        <f t="shared" si="554"/>
        <v>OK</v>
      </c>
      <c r="DL453" s="313" t="str">
        <f t="shared" si="555"/>
        <v>OK</v>
      </c>
      <c r="DM453" s="153" t="str">
        <f t="shared" si="556"/>
        <v>OK</v>
      </c>
      <c r="DN453" s="153" t="str">
        <f t="shared" si="579"/>
        <v>OK</v>
      </c>
      <c r="DO453" s="154" t="str">
        <f t="shared" si="580"/>
        <v>OK</v>
      </c>
      <c r="DP453" s="153" t="str">
        <f t="shared" si="557"/>
        <v>OK</v>
      </c>
      <c r="DQ453" s="313" t="str">
        <f t="shared" si="558"/>
        <v>OK</v>
      </c>
      <c r="DR453" s="153" t="str">
        <f t="shared" si="581"/>
        <v>OK</v>
      </c>
      <c r="DS453" s="153" t="str">
        <f t="shared" si="559"/>
        <v>OK</v>
      </c>
      <c r="DT453" s="313" t="str">
        <f t="shared" si="594"/>
        <v>OK</v>
      </c>
      <c r="DU453" s="153" t="str">
        <f t="shared" si="560"/>
        <v>OK</v>
      </c>
      <c r="DV453" s="153" t="str">
        <f t="shared" si="582"/>
        <v>OK</v>
      </c>
      <c r="DW453" s="154" t="str">
        <f t="shared" si="583"/>
        <v>OK</v>
      </c>
      <c r="DX453" s="157">
        <f t="shared" si="584"/>
        <v>0</v>
      </c>
      <c r="DY453" s="156" t="str">
        <f t="shared" si="585"/>
        <v>OK</v>
      </c>
    </row>
    <row r="454" spans="1:129" ht="13" hidden="1" x14ac:dyDescent="0.3">
      <c r="A454" s="333"/>
      <c r="B454" s="333"/>
      <c r="C454" s="331" t="str">
        <f t="shared" si="593"/>
        <v>-</v>
      </c>
      <c r="D454" s="584">
        <f t="shared" si="595"/>
        <v>431</v>
      </c>
      <c r="E454" s="585"/>
      <c r="F454" s="586"/>
      <c r="G454" s="600"/>
      <c r="H454" s="587"/>
      <c r="I454" s="601"/>
      <c r="J454" s="585"/>
      <c r="K454" s="617"/>
      <c r="L454" s="602"/>
      <c r="M454" s="603"/>
      <c r="N454" s="588"/>
      <c r="O454" s="604"/>
      <c r="P454" s="605"/>
      <c r="Q454" s="588"/>
      <c r="R454" s="604"/>
      <c r="S454" s="605"/>
      <c r="T454" s="606"/>
      <c r="U454" s="606"/>
      <c r="V454" s="429" t="str">
        <f t="shared" si="590"/>
        <v/>
      </c>
      <c r="W454" s="430" t="str">
        <f t="shared" si="589"/>
        <v/>
      </c>
      <c r="X454" s="66" t="str">
        <f>IF(AND(ISNUMBER(P454),N454=FixedDim),MAX('Adjustment factors'!$S$16,0.2+0.8*P454),IF(ISTEXT(N454),VLOOKUP(N454,Afactors,2,TRUE),""))</f>
        <v/>
      </c>
      <c r="Y454" s="17" t="str">
        <f>IF(AND(ISNUMBER(S454),Q454=FixedDim),MAX('Adjustment factors'!$S$16,0.2+0.8*S454),IF(ISTEXT(Q454),VLOOKUP(Q454,Afactors,2,TRUE),""))</f>
        <v/>
      </c>
      <c r="Z454" s="297" t="str">
        <f>IF(ISBLANK(T454),"",VLOOKUP(T454,'Adjustment factors'!$R$27:$S$30,2,TRUE))</f>
        <v/>
      </c>
      <c r="AA454" s="297" t="str">
        <f>IF(ISBLANK(U454),"",VLOOKUP(U454,'Adjustment factors'!$R$27:$S$30,2,TRUE))</f>
        <v/>
      </c>
      <c r="AB454" s="480">
        <f t="shared" si="561"/>
        <v>1</v>
      </c>
      <c r="AC454" s="18" t="b">
        <f t="shared" si="518"/>
        <v>0</v>
      </c>
      <c r="AD454" s="18" t="b">
        <f t="shared" si="519"/>
        <v>0</v>
      </c>
      <c r="AE454" s="18" t="b">
        <f t="shared" si="586"/>
        <v>0</v>
      </c>
      <c r="AF454" s="17" t="str">
        <f t="shared" si="520"/>
        <v/>
      </c>
      <c r="AG454" s="18" t="str">
        <f t="shared" si="521"/>
        <v/>
      </c>
      <c r="AH454" s="17" t="str">
        <f t="shared" si="587"/>
        <v/>
      </c>
      <c r="AI454" s="297" t="e">
        <f t="shared" si="562"/>
        <v>#VALUE!</v>
      </c>
      <c r="AJ454" s="79" t="e">
        <f t="shared" si="522"/>
        <v>#VALUE!</v>
      </c>
      <c r="AK454" s="17" t="str">
        <f t="shared" si="588"/>
        <v/>
      </c>
      <c r="AL454" s="80" t="e">
        <f t="shared" si="523"/>
        <v>#VALUE!</v>
      </c>
      <c r="AM454" s="139" t="b">
        <f t="shared" si="524"/>
        <v>1</v>
      </c>
      <c r="AN454" s="139" t="b">
        <f>AND(COUNTA(E454)&gt;0,ISNUMBER(F454),OR(COUNT(G454:H454)=0,COUNT(G454:H454)=2,AND(ISNUMBER(G454),ISNUMBER(VALUE(LEFT(H454,SUM(LEN(H454)-LEN(SUBSTITUTE(H454,{"0","1","2","3","4","5","6","7","8","9","."},"")))))))),ISNUMBER(I454),ISTEXT(J454))</f>
        <v>0</v>
      </c>
      <c r="AO454" s="19" t="b">
        <f t="shared" si="525"/>
        <v>0</v>
      </c>
      <c r="AP454" s="19" t="b">
        <f t="shared" si="526"/>
        <v>1</v>
      </c>
      <c r="AQ454" s="19" t="b">
        <f>IF(AND(COUNTBLANK(E454:J454)=6,OR(AN455:AN$523)),NOT(AN454))</f>
        <v>0</v>
      </c>
      <c r="AR454" s="19" t="str">
        <f t="shared" si="527"/>
        <v/>
      </c>
      <c r="AS454" s="19" t="b">
        <f t="shared" si="528"/>
        <v>1</v>
      </c>
      <c r="AT454" s="19" t="str">
        <f t="shared" si="529"/>
        <v/>
      </c>
      <c r="AU454" s="19" t="b">
        <f t="shared" si="530"/>
        <v>1</v>
      </c>
      <c r="AV454" s="140" t="str">
        <f t="shared" si="570"/>
        <v/>
      </c>
      <c r="AW454" s="19" t="str">
        <f t="shared" si="531"/>
        <v/>
      </c>
      <c r="AX454" s="81">
        <f t="shared" si="532"/>
        <v>0</v>
      </c>
      <c r="AY454" s="81" t="str">
        <f t="shared" si="533"/>
        <v/>
      </c>
      <c r="AZ454" s="307" t="str">
        <f t="shared" si="563"/>
        <v/>
      </c>
      <c r="BA454" s="281" t="str">
        <f t="shared" si="571"/>
        <v/>
      </c>
      <c r="BB454" s="281" t="str">
        <f t="shared" si="572"/>
        <v/>
      </c>
      <c r="BC454" s="953"/>
      <c r="BD454" s="955"/>
      <c r="BE454" s="219" t="str">
        <f t="shared" si="534"/>
        <v>n/a</v>
      </c>
      <c r="BF454" s="215" t="b">
        <f t="shared" si="535"/>
        <v>0</v>
      </c>
      <c r="BG454" s="145" t="b">
        <f t="shared" si="536"/>
        <v>0</v>
      </c>
      <c r="BH454" s="145" t="b">
        <f t="shared" si="537"/>
        <v>0</v>
      </c>
      <c r="BI454" s="216" t="b">
        <f t="shared" si="538"/>
        <v>0</v>
      </c>
      <c r="BJ454" s="215" t="b">
        <f t="shared" si="539"/>
        <v>0</v>
      </c>
      <c r="BK454" s="145" t="b">
        <f t="shared" si="540"/>
        <v>0</v>
      </c>
      <c r="BL454" s="216" t="b">
        <f t="shared" si="541"/>
        <v>0</v>
      </c>
      <c r="BM454" s="217" t="str">
        <f t="shared" si="573"/>
        <v/>
      </c>
      <c r="BN454" s="146" t="str">
        <f t="shared" si="574"/>
        <v/>
      </c>
      <c r="BO454" s="147" t="str">
        <f t="shared" si="575"/>
        <v/>
      </c>
      <c r="BP454" s="148" t="str">
        <f t="shared" si="576"/>
        <v/>
      </c>
      <c r="BT454" s="50">
        <f t="shared" si="596"/>
        <v>431</v>
      </c>
      <c r="BU454" s="50" t="str">
        <f t="shared" si="592"/>
        <v>-</v>
      </c>
      <c r="BW454" s="333"/>
      <c r="BX454" s="333"/>
      <c r="BY454" s="333"/>
      <c r="BZ454" s="333"/>
      <c r="CA454" s="333"/>
      <c r="CB454" s="333"/>
      <c r="CC454" s="333"/>
      <c r="CD454" s="333"/>
      <c r="CE454" s="333"/>
      <c r="CF454" s="333"/>
      <c r="CG454" s="354">
        <f t="shared" si="542"/>
        <v>431</v>
      </c>
      <c r="CH454" s="613">
        <f t="shared" si="543"/>
        <v>0</v>
      </c>
      <c r="CI454" s="613">
        <f t="shared" si="544"/>
        <v>0</v>
      </c>
      <c r="CJ454" s="614" t="str">
        <f t="shared" si="545"/>
        <v/>
      </c>
      <c r="CK454" s="615" t="str">
        <f t="shared" si="546"/>
        <v/>
      </c>
      <c r="CL454" s="610" t="str">
        <f>IF(ISBLANK(H454),"",IF(AND(ISNUMBER(F454),ISNUMBER(G454),ISNUMBER(H454)),ROUND(F454/(H454*G454),2),ROUND(F454/(VALUE(LEFT(H454,SUM(LEN(H454)-LEN(SUBSTITUTE(H454,{"0","1","2","3","4","5","6","7","8","9","."},"")))))*G454),2)))</f>
        <v/>
      </c>
      <c r="CM454" s="616" t="str">
        <f t="shared" si="577"/>
        <v/>
      </c>
      <c r="CN454" s="616" t="str">
        <f>IF(ISNUMBER(P454),MAX('Adjustment factors'!$S$16,(0.2+0.8*P454)),IF(ISTEXT(N454),VLOOKUP(N454,Afactors,2,FALSE),""))</f>
        <v/>
      </c>
      <c r="CO454" s="616" t="str">
        <f>IF(ISNUMBER(S454),MAX('Adjustment factors'!$S$16,0.2+0.8*S454),IF(ISTEXT(Q454),VLOOKUP(Q454,Afactors,2,FALSE),""))</f>
        <v/>
      </c>
      <c r="CP454" s="611" t="str">
        <f t="shared" si="564"/>
        <v/>
      </c>
      <c r="CQ454" s="612" t="str">
        <f t="shared" si="565"/>
        <v/>
      </c>
      <c r="CR454" s="340"/>
      <c r="CS454" s="340"/>
      <c r="CT454" s="340"/>
      <c r="CU454" s="340"/>
      <c r="CV454" s="333"/>
      <c r="CW454" s="333"/>
      <c r="CX454" s="333"/>
      <c r="CY454" s="333"/>
      <c r="DA454" s="313" t="str">
        <f t="shared" si="547"/>
        <v>OK</v>
      </c>
      <c r="DB454" s="313" t="str">
        <f t="shared" si="548"/>
        <v>OK</v>
      </c>
      <c r="DC454" s="313" t="str">
        <f t="shared" si="549"/>
        <v>OK</v>
      </c>
      <c r="DD454" s="313" t="str">
        <f t="shared" si="550"/>
        <v>OK</v>
      </c>
      <c r="DE454" s="153" t="str">
        <f t="shared" si="551"/>
        <v>OK</v>
      </c>
      <c r="DF454" s="314" t="str">
        <f t="shared" si="552"/>
        <v>OK</v>
      </c>
      <c r="DG454" s="482" t="str">
        <f t="shared" si="566"/>
        <v>OK</v>
      </c>
      <c r="DH454" s="482" t="str">
        <f>IF(OR(AND(T454='Adjustment factors'!$R$28,'Class 3, 5-9'!U454='Adjustment factors'!$R$29),AND('Class 3, 5-9'!T454='Adjustment factors'!$R$29,'Class 3, 5-9'!U454='Adjustment factors'!$R$28)),"Invalid combination of adjustment factors",IF(AND(T454=U454,NOT(ISBLANK(T454)),NOT(ISBLANK(U454))),"Same colour factor selected twice","OK"))</f>
        <v>OK</v>
      </c>
      <c r="DI454" s="313" t="str">
        <f t="shared" si="553"/>
        <v>OK</v>
      </c>
      <c r="DJ454" s="153" t="str">
        <f t="shared" si="578"/>
        <v>OK</v>
      </c>
      <c r="DK454" s="153" t="str">
        <f t="shared" si="554"/>
        <v>OK</v>
      </c>
      <c r="DL454" s="313" t="str">
        <f t="shared" si="555"/>
        <v>OK</v>
      </c>
      <c r="DM454" s="153" t="str">
        <f t="shared" si="556"/>
        <v>OK</v>
      </c>
      <c r="DN454" s="153" t="str">
        <f t="shared" si="579"/>
        <v>OK</v>
      </c>
      <c r="DO454" s="154" t="str">
        <f t="shared" si="580"/>
        <v>OK</v>
      </c>
      <c r="DP454" s="153" t="str">
        <f t="shared" si="557"/>
        <v>OK</v>
      </c>
      <c r="DQ454" s="313" t="str">
        <f t="shared" si="558"/>
        <v>OK</v>
      </c>
      <c r="DR454" s="153" t="str">
        <f t="shared" si="581"/>
        <v>OK</v>
      </c>
      <c r="DS454" s="153" t="str">
        <f t="shared" si="559"/>
        <v>OK</v>
      </c>
      <c r="DT454" s="313" t="str">
        <f t="shared" si="594"/>
        <v>OK</v>
      </c>
      <c r="DU454" s="153" t="str">
        <f t="shared" si="560"/>
        <v>OK</v>
      </c>
      <c r="DV454" s="153" t="str">
        <f t="shared" si="582"/>
        <v>OK</v>
      </c>
      <c r="DW454" s="154" t="str">
        <f t="shared" si="583"/>
        <v>OK</v>
      </c>
      <c r="DX454" s="157">
        <f t="shared" si="584"/>
        <v>0</v>
      </c>
      <c r="DY454" s="156" t="str">
        <f t="shared" si="585"/>
        <v>OK</v>
      </c>
    </row>
    <row r="455" spans="1:129" ht="13" hidden="1" x14ac:dyDescent="0.3">
      <c r="A455" s="333"/>
      <c r="B455" s="333"/>
      <c r="C455" s="331" t="str">
        <f t="shared" si="593"/>
        <v>-</v>
      </c>
      <c r="D455" s="584">
        <f t="shared" si="595"/>
        <v>432</v>
      </c>
      <c r="E455" s="585"/>
      <c r="F455" s="586"/>
      <c r="G455" s="600"/>
      <c r="H455" s="587"/>
      <c r="I455" s="601"/>
      <c r="J455" s="585"/>
      <c r="K455" s="617"/>
      <c r="L455" s="602"/>
      <c r="M455" s="603"/>
      <c r="N455" s="588"/>
      <c r="O455" s="604"/>
      <c r="P455" s="605"/>
      <c r="Q455" s="588"/>
      <c r="R455" s="604"/>
      <c r="S455" s="605"/>
      <c r="T455" s="606"/>
      <c r="U455" s="606"/>
      <c r="V455" s="429" t="str">
        <f t="shared" si="590"/>
        <v/>
      </c>
      <c r="W455" s="430" t="str">
        <f t="shared" si="589"/>
        <v/>
      </c>
      <c r="X455" s="66" t="str">
        <f>IF(AND(ISNUMBER(P455),N455=FixedDim),MAX('Adjustment factors'!$S$16,0.2+0.8*P455),IF(ISTEXT(N455),VLOOKUP(N455,Afactors,2,TRUE),""))</f>
        <v/>
      </c>
      <c r="Y455" s="17" t="str">
        <f>IF(AND(ISNUMBER(S455),Q455=FixedDim),MAX('Adjustment factors'!$S$16,0.2+0.8*S455),IF(ISTEXT(Q455),VLOOKUP(Q455,Afactors,2,TRUE),""))</f>
        <v/>
      </c>
      <c r="Z455" s="297" t="str">
        <f>IF(ISBLANK(T455),"",VLOOKUP(T455,'Adjustment factors'!$R$27:$S$30,2,TRUE))</f>
        <v/>
      </c>
      <c r="AA455" s="297" t="str">
        <f>IF(ISBLANK(U455),"",VLOOKUP(U455,'Adjustment factors'!$R$27:$S$30,2,TRUE))</f>
        <v/>
      </c>
      <c r="AB455" s="480">
        <f t="shared" si="561"/>
        <v>1</v>
      </c>
      <c r="AC455" s="18" t="b">
        <f t="shared" si="518"/>
        <v>0</v>
      </c>
      <c r="AD455" s="18" t="b">
        <f t="shared" si="519"/>
        <v>0</v>
      </c>
      <c r="AE455" s="18" t="b">
        <f t="shared" si="586"/>
        <v>0</v>
      </c>
      <c r="AF455" s="17" t="str">
        <f t="shared" si="520"/>
        <v/>
      </c>
      <c r="AG455" s="18" t="str">
        <f t="shared" si="521"/>
        <v/>
      </c>
      <c r="AH455" s="17" t="str">
        <f t="shared" si="587"/>
        <v/>
      </c>
      <c r="AI455" s="297" t="e">
        <f t="shared" si="562"/>
        <v>#VALUE!</v>
      </c>
      <c r="AJ455" s="79" t="e">
        <f t="shared" si="522"/>
        <v>#VALUE!</v>
      </c>
      <c r="AK455" s="17" t="str">
        <f t="shared" si="588"/>
        <v/>
      </c>
      <c r="AL455" s="80" t="e">
        <f t="shared" si="523"/>
        <v>#VALUE!</v>
      </c>
      <c r="AM455" s="139" t="b">
        <f t="shared" si="524"/>
        <v>1</v>
      </c>
      <c r="AN455" s="139" t="b">
        <f>AND(COUNTA(E455)&gt;0,ISNUMBER(F455),OR(COUNT(G455:H455)=0,COUNT(G455:H455)=2,AND(ISNUMBER(G455),ISNUMBER(VALUE(LEFT(H455,SUM(LEN(H455)-LEN(SUBSTITUTE(H455,{"0","1","2","3","4","5","6","7","8","9","."},"")))))))),ISNUMBER(I455),ISTEXT(J455))</f>
        <v>0</v>
      </c>
      <c r="AO455" s="19" t="b">
        <f t="shared" si="525"/>
        <v>0</v>
      </c>
      <c r="AP455" s="19" t="b">
        <f t="shared" si="526"/>
        <v>1</v>
      </c>
      <c r="AQ455" s="19" t="b">
        <f>IF(AND(COUNTBLANK(E455:J455)=6,OR(AN456:AN$523)),NOT(AN455))</f>
        <v>0</v>
      </c>
      <c r="AR455" s="19" t="str">
        <f t="shared" si="527"/>
        <v/>
      </c>
      <c r="AS455" s="19" t="b">
        <f t="shared" si="528"/>
        <v>1</v>
      </c>
      <c r="AT455" s="19" t="str">
        <f t="shared" si="529"/>
        <v/>
      </c>
      <c r="AU455" s="19" t="b">
        <f t="shared" si="530"/>
        <v>1</v>
      </c>
      <c r="AV455" s="140" t="str">
        <f t="shared" si="570"/>
        <v/>
      </c>
      <c r="AW455" s="19" t="str">
        <f t="shared" si="531"/>
        <v/>
      </c>
      <c r="AX455" s="81">
        <f t="shared" si="532"/>
        <v>0</v>
      </c>
      <c r="AY455" s="81" t="str">
        <f t="shared" si="533"/>
        <v/>
      </c>
      <c r="AZ455" s="307" t="str">
        <f t="shared" si="563"/>
        <v/>
      </c>
      <c r="BA455" s="281" t="str">
        <f t="shared" si="571"/>
        <v/>
      </c>
      <c r="BB455" s="281" t="str">
        <f t="shared" si="572"/>
        <v/>
      </c>
      <c r="BC455" s="953"/>
      <c r="BD455" s="955"/>
      <c r="BE455" s="219" t="str">
        <f t="shared" si="534"/>
        <v>n/a</v>
      </c>
      <c r="BF455" s="215" t="b">
        <f t="shared" si="535"/>
        <v>0</v>
      </c>
      <c r="BG455" s="145" t="b">
        <f t="shared" si="536"/>
        <v>0</v>
      </c>
      <c r="BH455" s="145" t="b">
        <f t="shared" si="537"/>
        <v>0</v>
      </c>
      <c r="BI455" s="216" t="b">
        <f t="shared" si="538"/>
        <v>0</v>
      </c>
      <c r="BJ455" s="215" t="b">
        <f t="shared" si="539"/>
        <v>0</v>
      </c>
      <c r="BK455" s="145" t="b">
        <f t="shared" si="540"/>
        <v>0</v>
      </c>
      <c r="BL455" s="216" t="b">
        <f t="shared" si="541"/>
        <v>0</v>
      </c>
      <c r="BM455" s="217" t="str">
        <f t="shared" si="573"/>
        <v/>
      </c>
      <c r="BN455" s="146" t="str">
        <f t="shared" si="574"/>
        <v/>
      </c>
      <c r="BO455" s="147" t="str">
        <f t="shared" si="575"/>
        <v/>
      </c>
      <c r="BP455" s="148" t="str">
        <f t="shared" si="576"/>
        <v/>
      </c>
      <c r="BT455" s="50">
        <f t="shared" si="596"/>
        <v>432</v>
      </c>
      <c r="BU455" s="50" t="str">
        <f t="shared" si="592"/>
        <v>-</v>
      </c>
      <c r="BW455" s="333"/>
      <c r="BX455" s="333"/>
      <c r="BY455" s="333"/>
      <c r="BZ455" s="333"/>
      <c r="CA455" s="333"/>
      <c r="CB455" s="333"/>
      <c r="CC455" s="333"/>
      <c r="CD455" s="333"/>
      <c r="CE455" s="333"/>
      <c r="CF455" s="333"/>
      <c r="CG455" s="354">
        <f t="shared" si="542"/>
        <v>432</v>
      </c>
      <c r="CH455" s="613">
        <f t="shared" si="543"/>
        <v>0</v>
      </c>
      <c r="CI455" s="613">
        <f t="shared" si="544"/>
        <v>0</v>
      </c>
      <c r="CJ455" s="614" t="str">
        <f t="shared" si="545"/>
        <v/>
      </c>
      <c r="CK455" s="615" t="str">
        <f t="shared" si="546"/>
        <v/>
      </c>
      <c r="CL455" s="610" t="str">
        <f>IF(ISBLANK(H455),"",IF(AND(ISNUMBER(F455),ISNUMBER(G455),ISNUMBER(H455)),ROUND(F455/(H455*G455),2),ROUND(F455/(VALUE(LEFT(H455,SUM(LEN(H455)-LEN(SUBSTITUTE(H455,{"0","1","2","3","4","5","6","7","8","9","."},"")))))*G455),2)))</f>
        <v/>
      </c>
      <c r="CM455" s="616" t="str">
        <f t="shared" si="577"/>
        <v/>
      </c>
      <c r="CN455" s="616" t="str">
        <f>IF(ISNUMBER(P455),MAX('Adjustment factors'!$S$16,(0.2+0.8*P455)),IF(ISTEXT(N455),VLOOKUP(N455,Afactors,2,FALSE),""))</f>
        <v/>
      </c>
      <c r="CO455" s="616" t="str">
        <f>IF(ISNUMBER(S455),MAX('Adjustment factors'!$S$16,0.2+0.8*S455),IF(ISTEXT(Q455),VLOOKUP(Q455,Afactors,2,FALSE),""))</f>
        <v/>
      </c>
      <c r="CP455" s="611" t="str">
        <f t="shared" si="564"/>
        <v/>
      </c>
      <c r="CQ455" s="612" t="str">
        <f t="shared" si="565"/>
        <v/>
      </c>
      <c r="CR455" s="340"/>
      <c r="CS455" s="340"/>
      <c r="CT455" s="340"/>
      <c r="CU455" s="340"/>
      <c r="CV455" s="333"/>
      <c r="CW455" s="333"/>
      <c r="CX455" s="333"/>
      <c r="CY455" s="333"/>
      <c r="DA455" s="313" t="str">
        <f t="shared" si="547"/>
        <v>OK</v>
      </c>
      <c r="DB455" s="313" t="str">
        <f t="shared" si="548"/>
        <v>OK</v>
      </c>
      <c r="DC455" s="313" t="str">
        <f t="shared" si="549"/>
        <v>OK</v>
      </c>
      <c r="DD455" s="313" t="str">
        <f t="shared" si="550"/>
        <v>OK</v>
      </c>
      <c r="DE455" s="153" t="str">
        <f t="shared" si="551"/>
        <v>OK</v>
      </c>
      <c r="DF455" s="314" t="str">
        <f t="shared" si="552"/>
        <v>OK</v>
      </c>
      <c r="DG455" s="482" t="str">
        <f t="shared" si="566"/>
        <v>OK</v>
      </c>
      <c r="DH455" s="482" t="str">
        <f>IF(OR(AND(T455='Adjustment factors'!$R$28,'Class 3, 5-9'!U455='Adjustment factors'!$R$29),AND('Class 3, 5-9'!T455='Adjustment factors'!$R$29,'Class 3, 5-9'!U455='Adjustment factors'!$R$28)),"Invalid combination of adjustment factors",IF(AND(T455=U455,NOT(ISBLANK(T455)),NOT(ISBLANK(U455))),"Same colour factor selected twice","OK"))</f>
        <v>OK</v>
      </c>
      <c r="DI455" s="313" t="str">
        <f t="shared" si="553"/>
        <v>OK</v>
      </c>
      <c r="DJ455" s="153" t="str">
        <f t="shared" si="578"/>
        <v>OK</v>
      </c>
      <c r="DK455" s="153" t="str">
        <f t="shared" si="554"/>
        <v>OK</v>
      </c>
      <c r="DL455" s="313" t="str">
        <f t="shared" si="555"/>
        <v>OK</v>
      </c>
      <c r="DM455" s="153" t="str">
        <f t="shared" si="556"/>
        <v>OK</v>
      </c>
      <c r="DN455" s="153" t="str">
        <f t="shared" si="579"/>
        <v>OK</v>
      </c>
      <c r="DO455" s="154" t="str">
        <f t="shared" si="580"/>
        <v>OK</v>
      </c>
      <c r="DP455" s="153" t="str">
        <f t="shared" si="557"/>
        <v>OK</v>
      </c>
      <c r="DQ455" s="313" t="str">
        <f t="shared" si="558"/>
        <v>OK</v>
      </c>
      <c r="DR455" s="153" t="str">
        <f t="shared" si="581"/>
        <v>OK</v>
      </c>
      <c r="DS455" s="153" t="str">
        <f t="shared" si="559"/>
        <v>OK</v>
      </c>
      <c r="DT455" s="313" t="str">
        <f t="shared" si="594"/>
        <v>OK</v>
      </c>
      <c r="DU455" s="153" t="str">
        <f t="shared" si="560"/>
        <v>OK</v>
      </c>
      <c r="DV455" s="153" t="str">
        <f t="shared" si="582"/>
        <v>OK</v>
      </c>
      <c r="DW455" s="154" t="str">
        <f t="shared" si="583"/>
        <v>OK</v>
      </c>
      <c r="DX455" s="157">
        <f t="shared" si="584"/>
        <v>0</v>
      </c>
      <c r="DY455" s="156" t="str">
        <f t="shared" si="585"/>
        <v>OK</v>
      </c>
    </row>
    <row r="456" spans="1:129" ht="13" hidden="1" x14ac:dyDescent="0.3">
      <c r="A456" s="333"/>
      <c r="B456" s="333"/>
      <c r="C456" s="331" t="str">
        <f t="shared" si="593"/>
        <v>-</v>
      </c>
      <c r="D456" s="584">
        <f t="shared" si="595"/>
        <v>433</v>
      </c>
      <c r="E456" s="585"/>
      <c r="F456" s="586"/>
      <c r="G456" s="600"/>
      <c r="H456" s="587"/>
      <c r="I456" s="601"/>
      <c r="J456" s="585"/>
      <c r="K456" s="617"/>
      <c r="L456" s="602"/>
      <c r="M456" s="603"/>
      <c r="N456" s="588"/>
      <c r="O456" s="604"/>
      <c r="P456" s="605"/>
      <c r="Q456" s="588"/>
      <c r="R456" s="604"/>
      <c r="S456" s="605"/>
      <c r="T456" s="606"/>
      <c r="U456" s="606"/>
      <c r="V456" s="429" t="str">
        <f t="shared" si="590"/>
        <v/>
      </c>
      <c r="W456" s="430" t="str">
        <f t="shared" si="589"/>
        <v/>
      </c>
      <c r="X456" s="66" t="str">
        <f>IF(AND(ISNUMBER(P456),N456=FixedDim),MAX('Adjustment factors'!$S$16,0.2+0.8*P456),IF(ISTEXT(N456),VLOOKUP(N456,Afactors,2,TRUE),""))</f>
        <v/>
      </c>
      <c r="Y456" s="17" t="str">
        <f>IF(AND(ISNUMBER(S456),Q456=FixedDim),MAX('Adjustment factors'!$S$16,0.2+0.8*S456),IF(ISTEXT(Q456),VLOOKUP(Q456,Afactors,2,TRUE),""))</f>
        <v/>
      </c>
      <c r="Z456" s="297" t="str">
        <f>IF(ISBLANK(T456),"",VLOOKUP(T456,'Adjustment factors'!$R$27:$S$30,2,TRUE))</f>
        <v/>
      </c>
      <c r="AA456" s="297" t="str">
        <f>IF(ISBLANK(U456),"",VLOOKUP(U456,'Adjustment factors'!$R$27:$S$30,2,TRUE))</f>
        <v/>
      </c>
      <c r="AB456" s="480">
        <f t="shared" si="561"/>
        <v>1</v>
      </c>
      <c r="AC456" s="18" t="b">
        <f t="shared" si="518"/>
        <v>0</v>
      </c>
      <c r="AD456" s="18" t="b">
        <f t="shared" si="519"/>
        <v>0</v>
      </c>
      <c r="AE456" s="18" t="b">
        <f t="shared" si="586"/>
        <v>0</v>
      </c>
      <c r="AF456" s="17" t="str">
        <f t="shared" si="520"/>
        <v/>
      </c>
      <c r="AG456" s="18" t="str">
        <f t="shared" si="521"/>
        <v/>
      </c>
      <c r="AH456" s="17" t="str">
        <f t="shared" si="587"/>
        <v/>
      </c>
      <c r="AI456" s="297" t="e">
        <f t="shared" si="562"/>
        <v>#VALUE!</v>
      </c>
      <c r="AJ456" s="79" t="e">
        <f t="shared" si="522"/>
        <v>#VALUE!</v>
      </c>
      <c r="AK456" s="17" t="str">
        <f t="shared" si="588"/>
        <v/>
      </c>
      <c r="AL456" s="80" t="e">
        <f t="shared" si="523"/>
        <v>#VALUE!</v>
      </c>
      <c r="AM456" s="139" t="b">
        <f t="shared" si="524"/>
        <v>1</v>
      </c>
      <c r="AN456" s="139" t="b">
        <f>AND(COUNTA(E456)&gt;0,ISNUMBER(F456),OR(COUNT(G456:H456)=0,COUNT(G456:H456)=2,AND(ISNUMBER(G456),ISNUMBER(VALUE(LEFT(H456,SUM(LEN(H456)-LEN(SUBSTITUTE(H456,{"0","1","2","3","4","5","6","7","8","9","."},"")))))))),ISNUMBER(I456),ISTEXT(J456))</f>
        <v>0</v>
      </c>
      <c r="AO456" s="19" t="b">
        <f t="shared" si="525"/>
        <v>0</v>
      </c>
      <c r="AP456" s="19" t="b">
        <f t="shared" si="526"/>
        <v>1</v>
      </c>
      <c r="AQ456" s="19" t="b">
        <f>IF(AND(COUNTBLANK(E456:J456)=6,OR(AN457:AN$523)),NOT(AN456))</f>
        <v>0</v>
      </c>
      <c r="AR456" s="19" t="str">
        <f t="shared" si="527"/>
        <v/>
      </c>
      <c r="AS456" s="19" t="b">
        <f t="shared" si="528"/>
        <v>1</v>
      </c>
      <c r="AT456" s="19" t="str">
        <f t="shared" si="529"/>
        <v/>
      </c>
      <c r="AU456" s="19" t="b">
        <f t="shared" si="530"/>
        <v>1</v>
      </c>
      <c r="AV456" s="140" t="str">
        <f t="shared" si="570"/>
        <v/>
      </c>
      <c r="AW456" s="19" t="str">
        <f t="shared" si="531"/>
        <v/>
      </c>
      <c r="AX456" s="81">
        <f t="shared" si="532"/>
        <v>0</v>
      </c>
      <c r="AY456" s="81" t="str">
        <f t="shared" si="533"/>
        <v/>
      </c>
      <c r="AZ456" s="307" t="str">
        <f t="shared" si="563"/>
        <v/>
      </c>
      <c r="BA456" s="281" t="str">
        <f t="shared" si="571"/>
        <v/>
      </c>
      <c r="BB456" s="281" t="str">
        <f t="shared" si="572"/>
        <v/>
      </c>
      <c r="BC456" s="953"/>
      <c r="BD456" s="955"/>
      <c r="BE456" s="219" t="str">
        <f t="shared" si="534"/>
        <v>n/a</v>
      </c>
      <c r="BF456" s="215" t="b">
        <f t="shared" si="535"/>
        <v>0</v>
      </c>
      <c r="BG456" s="145" t="b">
        <f t="shared" si="536"/>
        <v>0</v>
      </c>
      <c r="BH456" s="145" t="b">
        <f t="shared" si="537"/>
        <v>0</v>
      </c>
      <c r="BI456" s="216" t="b">
        <f t="shared" si="538"/>
        <v>0</v>
      </c>
      <c r="BJ456" s="215" t="b">
        <f t="shared" si="539"/>
        <v>0</v>
      </c>
      <c r="BK456" s="145" t="b">
        <f t="shared" si="540"/>
        <v>0</v>
      </c>
      <c r="BL456" s="216" t="b">
        <f t="shared" si="541"/>
        <v>0</v>
      </c>
      <c r="BM456" s="217" t="str">
        <f t="shared" si="573"/>
        <v/>
      </c>
      <c r="BN456" s="146" t="str">
        <f t="shared" si="574"/>
        <v/>
      </c>
      <c r="BO456" s="147" t="str">
        <f t="shared" si="575"/>
        <v/>
      </c>
      <c r="BP456" s="148" t="str">
        <f t="shared" si="576"/>
        <v/>
      </c>
      <c r="BT456" s="50">
        <f t="shared" si="596"/>
        <v>433</v>
      </c>
      <c r="BU456" s="50" t="str">
        <f t="shared" si="592"/>
        <v>-</v>
      </c>
      <c r="BW456" s="333"/>
      <c r="BX456" s="333"/>
      <c r="BY456" s="333"/>
      <c r="BZ456" s="333"/>
      <c r="CA456" s="333"/>
      <c r="CB456" s="333"/>
      <c r="CC456" s="333"/>
      <c r="CD456" s="333"/>
      <c r="CE456" s="333"/>
      <c r="CF456" s="333"/>
      <c r="CG456" s="354">
        <f t="shared" si="542"/>
        <v>433</v>
      </c>
      <c r="CH456" s="613">
        <f t="shared" si="543"/>
        <v>0</v>
      </c>
      <c r="CI456" s="613">
        <f t="shared" si="544"/>
        <v>0</v>
      </c>
      <c r="CJ456" s="614" t="str">
        <f t="shared" si="545"/>
        <v/>
      </c>
      <c r="CK456" s="615" t="str">
        <f t="shared" si="546"/>
        <v/>
      </c>
      <c r="CL456" s="610" t="str">
        <f>IF(ISBLANK(H456),"",IF(AND(ISNUMBER(F456),ISNUMBER(G456),ISNUMBER(H456)),ROUND(F456/(H456*G456),2),ROUND(F456/(VALUE(LEFT(H456,SUM(LEN(H456)-LEN(SUBSTITUTE(H456,{"0","1","2","3","4","5","6","7","8","9","."},"")))))*G456),2)))</f>
        <v/>
      </c>
      <c r="CM456" s="616" t="str">
        <f t="shared" si="577"/>
        <v/>
      </c>
      <c r="CN456" s="616" t="str">
        <f>IF(ISNUMBER(P456),MAX('Adjustment factors'!$S$16,(0.2+0.8*P456)),IF(ISTEXT(N456),VLOOKUP(N456,Afactors,2,FALSE),""))</f>
        <v/>
      </c>
      <c r="CO456" s="616" t="str">
        <f>IF(ISNUMBER(S456),MAX('Adjustment factors'!$S$16,0.2+0.8*S456),IF(ISTEXT(Q456),VLOOKUP(Q456,Afactors,2,FALSE),""))</f>
        <v/>
      </c>
      <c r="CP456" s="611" t="str">
        <f t="shared" si="564"/>
        <v/>
      </c>
      <c r="CQ456" s="612" t="str">
        <f t="shared" si="565"/>
        <v/>
      </c>
      <c r="CR456" s="340"/>
      <c r="CS456" s="340"/>
      <c r="CT456" s="340"/>
      <c r="CU456" s="340"/>
      <c r="CV456" s="333"/>
      <c r="CW456" s="333"/>
      <c r="CX456" s="333"/>
      <c r="CY456" s="333"/>
      <c r="DA456" s="313" t="str">
        <f t="shared" si="547"/>
        <v>OK</v>
      </c>
      <c r="DB456" s="313" t="str">
        <f t="shared" si="548"/>
        <v>OK</v>
      </c>
      <c r="DC456" s="313" t="str">
        <f t="shared" si="549"/>
        <v>OK</v>
      </c>
      <c r="DD456" s="313" t="str">
        <f t="shared" si="550"/>
        <v>OK</v>
      </c>
      <c r="DE456" s="153" t="str">
        <f t="shared" si="551"/>
        <v>OK</v>
      </c>
      <c r="DF456" s="314" t="str">
        <f t="shared" si="552"/>
        <v>OK</v>
      </c>
      <c r="DG456" s="482" t="str">
        <f t="shared" si="566"/>
        <v>OK</v>
      </c>
      <c r="DH456" s="482" t="str">
        <f>IF(OR(AND(T456='Adjustment factors'!$R$28,'Class 3, 5-9'!U456='Adjustment factors'!$R$29),AND('Class 3, 5-9'!T456='Adjustment factors'!$R$29,'Class 3, 5-9'!U456='Adjustment factors'!$R$28)),"Invalid combination of adjustment factors",IF(AND(T456=U456,NOT(ISBLANK(T456)),NOT(ISBLANK(U456))),"Same colour factor selected twice","OK"))</f>
        <v>OK</v>
      </c>
      <c r="DI456" s="313" t="str">
        <f t="shared" si="553"/>
        <v>OK</v>
      </c>
      <c r="DJ456" s="153" t="str">
        <f t="shared" si="578"/>
        <v>OK</v>
      </c>
      <c r="DK456" s="153" t="str">
        <f t="shared" si="554"/>
        <v>OK</v>
      </c>
      <c r="DL456" s="313" t="str">
        <f t="shared" si="555"/>
        <v>OK</v>
      </c>
      <c r="DM456" s="153" t="str">
        <f t="shared" si="556"/>
        <v>OK</v>
      </c>
      <c r="DN456" s="153" t="str">
        <f t="shared" si="579"/>
        <v>OK</v>
      </c>
      <c r="DO456" s="154" t="str">
        <f t="shared" si="580"/>
        <v>OK</v>
      </c>
      <c r="DP456" s="153" t="str">
        <f t="shared" si="557"/>
        <v>OK</v>
      </c>
      <c r="DQ456" s="313" t="str">
        <f t="shared" si="558"/>
        <v>OK</v>
      </c>
      <c r="DR456" s="153" t="str">
        <f t="shared" si="581"/>
        <v>OK</v>
      </c>
      <c r="DS456" s="153" t="str">
        <f t="shared" si="559"/>
        <v>OK</v>
      </c>
      <c r="DT456" s="313" t="str">
        <f t="shared" si="594"/>
        <v>OK</v>
      </c>
      <c r="DU456" s="153" t="str">
        <f t="shared" si="560"/>
        <v>OK</v>
      </c>
      <c r="DV456" s="153" t="str">
        <f t="shared" si="582"/>
        <v>OK</v>
      </c>
      <c r="DW456" s="154" t="str">
        <f t="shared" si="583"/>
        <v>OK</v>
      </c>
      <c r="DX456" s="157">
        <f t="shared" si="584"/>
        <v>0</v>
      </c>
      <c r="DY456" s="156" t="str">
        <f t="shared" si="585"/>
        <v>OK</v>
      </c>
    </row>
    <row r="457" spans="1:129" ht="13" hidden="1" x14ac:dyDescent="0.3">
      <c r="A457" s="333"/>
      <c r="B457" s="333"/>
      <c r="C457" s="331" t="str">
        <f t="shared" si="593"/>
        <v>-</v>
      </c>
      <c r="D457" s="584">
        <f t="shared" si="595"/>
        <v>434</v>
      </c>
      <c r="E457" s="585"/>
      <c r="F457" s="586"/>
      <c r="G457" s="600"/>
      <c r="H457" s="587"/>
      <c r="I457" s="601"/>
      <c r="J457" s="585"/>
      <c r="K457" s="617"/>
      <c r="L457" s="602"/>
      <c r="M457" s="603"/>
      <c r="N457" s="588"/>
      <c r="O457" s="604"/>
      <c r="P457" s="605"/>
      <c r="Q457" s="588"/>
      <c r="R457" s="604"/>
      <c r="S457" s="605"/>
      <c r="T457" s="606"/>
      <c r="U457" s="606"/>
      <c r="V457" s="429" t="str">
        <f t="shared" si="590"/>
        <v/>
      </c>
      <c r="W457" s="430" t="str">
        <f t="shared" si="589"/>
        <v/>
      </c>
      <c r="X457" s="66" t="str">
        <f>IF(AND(ISNUMBER(P457),N457=FixedDim),MAX('Adjustment factors'!$S$16,0.2+0.8*P457),IF(ISTEXT(N457),VLOOKUP(N457,Afactors,2,TRUE),""))</f>
        <v/>
      </c>
      <c r="Y457" s="17" t="str">
        <f>IF(AND(ISNUMBER(S457),Q457=FixedDim),MAX('Adjustment factors'!$S$16,0.2+0.8*S457),IF(ISTEXT(Q457),VLOOKUP(Q457,Afactors,2,TRUE),""))</f>
        <v/>
      </c>
      <c r="Z457" s="297" t="str">
        <f>IF(ISBLANK(T457),"",VLOOKUP(T457,'Adjustment factors'!$R$27:$S$30,2,TRUE))</f>
        <v/>
      </c>
      <c r="AA457" s="297" t="str">
        <f>IF(ISBLANK(U457),"",VLOOKUP(U457,'Adjustment factors'!$R$27:$S$30,2,TRUE))</f>
        <v/>
      </c>
      <c r="AB457" s="480">
        <f t="shared" si="561"/>
        <v>1</v>
      </c>
      <c r="AC457" s="18" t="b">
        <f t="shared" si="518"/>
        <v>0</v>
      </c>
      <c r="AD457" s="18" t="b">
        <f t="shared" si="519"/>
        <v>0</v>
      </c>
      <c r="AE457" s="18" t="b">
        <f t="shared" si="586"/>
        <v>0</v>
      </c>
      <c r="AF457" s="17" t="str">
        <f t="shared" si="520"/>
        <v/>
      </c>
      <c r="AG457" s="18" t="str">
        <f t="shared" si="521"/>
        <v/>
      </c>
      <c r="AH457" s="17" t="str">
        <f t="shared" si="587"/>
        <v/>
      </c>
      <c r="AI457" s="297" t="e">
        <f t="shared" si="562"/>
        <v>#VALUE!</v>
      </c>
      <c r="AJ457" s="79" t="e">
        <f t="shared" si="522"/>
        <v>#VALUE!</v>
      </c>
      <c r="AK457" s="17" t="str">
        <f t="shared" si="588"/>
        <v/>
      </c>
      <c r="AL457" s="80" t="e">
        <f t="shared" si="523"/>
        <v>#VALUE!</v>
      </c>
      <c r="AM457" s="139" t="b">
        <f t="shared" si="524"/>
        <v>1</v>
      </c>
      <c r="AN457" s="139" t="b">
        <f>AND(COUNTA(E457)&gt;0,ISNUMBER(F457),OR(COUNT(G457:H457)=0,COUNT(G457:H457)=2,AND(ISNUMBER(G457),ISNUMBER(VALUE(LEFT(H457,SUM(LEN(H457)-LEN(SUBSTITUTE(H457,{"0","1","2","3","4","5","6","7","8","9","."},"")))))))),ISNUMBER(I457),ISTEXT(J457))</f>
        <v>0</v>
      </c>
      <c r="AO457" s="19" t="b">
        <f t="shared" si="525"/>
        <v>0</v>
      </c>
      <c r="AP457" s="19" t="b">
        <f t="shared" si="526"/>
        <v>1</v>
      </c>
      <c r="AQ457" s="19" t="b">
        <f>IF(AND(COUNTBLANK(E457:J457)=6,OR(AN458:AN$523)),NOT(AN457))</f>
        <v>0</v>
      </c>
      <c r="AR457" s="19" t="str">
        <f t="shared" si="527"/>
        <v/>
      </c>
      <c r="AS457" s="19" t="b">
        <f t="shared" si="528"/>
        <v>1</v>
      </c>
      <c r="AT457" s="19" t="str">
        <f t="shared" si="529"/>
        <v/>
      </c>
      <c r="AU457" s="19" t="b">
        <f t="shared" si="530"/>
        <v>1</v>
      </c>
      <c r="AV457" s="140" t="str">
        <f t="shared" si="570"/>
        <v/>
      </c>
      <c r="AW457" s="19" t="str">
        <f t="shared" si="531"/>
        <v/>
      </c>
      <c r="AX457" s="81">
        <f t="shared" si="532"/>
        <v>0</v>
      </c>
      <c r="AY457" s="81" t="str">
        <f t="shared" si="533"/>
        <v/>
      </c>
      <c r="AZ457" s="307" t="str">
        <f t="shared" si="563"/>
        <v/>
      </c>
      <c r="BA457" s="281" t="str">
        <f t="shared" si="571"/>
        <v/>
      </c>
      <c r="BB457" s="281" t="str">
        <f t="shared" si="572"/>
        <v/>
      </c>
      <c r="BC457" s="953"/>
      <c r="BD457" s="955"/>
      <c r="BE457" s="219" t="str">
        <f t="shared" si="534"/>
        <v>n/a</v>
      </c>
      <c r="BF457" s="215" t="b">
        <f t="shared" si="535"/>
        <v>0</v>
      </c>
      <c r="BG457" s="145" t="b">
        <f t="shared" si="536"/>
        <v>0</v>
      </c>
      <c r="BH457" s="145" t="b">
        <f t="shared" si="537"/>
        <v>0</v>
      </c>
      <c r="BI457" s="216" t="b">
        <f t="shared" si="538"/>
        <v>0</v>
      </c>
      <c r="BJ457" s="215" t="b">
        <f t="shared" si="539"/>
        <v>0</v>
      </c>
      <c r="BK457" s="145" t="b">
        <f t="shared" si="540"/>
        <v>0</v>
      </c>
      <c r="BL457" s="216" t="b">
        <f t="shared" si="541"/>
        <v>0</v>
      </c>
      <c r="BM457" s="217" t="str">
        <f t="shared" si="573"/>
        <v/>
      </c>
      <c r="BN457" s="146" t="str">
        <f t="shared" si="574"/>
        <v/>
      </c>
      <c r="BO457" s="147" t="str">
        <f t="shared" si="575"/>
        <v/>
      </c>
      <c r="BP457" s="148" t="str">
        <f t="shared" si="576"/>
        <v/>
      </c>
      <c r="BT457" s="50">
        <f t="shared" si="596"/>
        <v>434</v>
      </c>
      <c r="BU457" s="50" t="str">
        <f t="shared" si="592"/>
        <v>-</v>
      </c>
      <c r="BW457" s="333"/>
      <c r="BX457" s="333"/>
      <c r="BY457" s="333"/>
      <c r="BZ457" s="333"/>
      <c r="CA457" s="333"/>
      <c r="CB457" s="333"/>
      <c r="CC457" s="333"/>
      <c r="CD457" s="333"/>
      <c r="CE457" s="333"/>
      <c r="CF457" s="333"/>
      <c r="CG457" s="354">
        <f t="shared" si="542"/>
        <v>434</v>
      </c>
      <c r="CH457" s="613">
        <f t="shared" si="543"/>
        <v>0</v>
      </c>
      <c r="CI457" s="613">
        <f t="shared" si="544"/>
        <v>0</v>
      </c>
      <c r="CJ457" s="614" t="str">
        <f t="shared" si="545"/>
        <v/>
      </c>
      <c r="CK457" s="615" t="str">
        <f t="shared" si="546"/>
        <v/>
      </c>
      <c r="CL457" s="610" t="str">
        <f>IF(ISBLANK(H457),"",IF(AND(ISNUMBER(F457),ISNUMBER(G457),ISNUMBER(H457)),ROUND(F457/(H457*G457),2),ROUND(F457/(VALUE(LEFT(H457,SUM(LEN(H457)-LEN(SUBSTITUTE(H457,{"0","1","2","3","4","5","6","7","8","9","."},"")))))*G457),2)))</f>
        <v/>
      </c>
      <c r="CM457" s="616" t="str">
        <f t="shared" si="577"/>
        <v/>
      </c>
      <c r="CN457" s="616" t="str">
        <f>IF(ISNUMBER(P457),MAX('Adjustment factors'!$S$16,(0.2+0.8*P457)),IF(ISTEXT(N457),VLOOKUP(N457,Afactors,2,FALSE),""))</f>
        <v/>
      </c>
      <c r="CO457" s="616" t="str">
        <f>IF(ISNUMBER(S457),MAX('Adjustment factors'!$S$16,0.2+0.8*S457),IF(ISTEXT(Q457),VLOOKUP(Q457,Afactors,2,FALSE),""))</f>
        <v/>
      </c>
      <c r="CP457" s="611" t="str">
        <f t="shared" si="564"/>
        <v/>
      </c>
      <c r="CQ457" s="612" t="str">
        <f t="shared" si="565"/>
        <v/>
      </c>
      <c r="CR457" s="340"/>
      <c r="CS457" s="340"/>
      <c r="CT457" s="340"/>
      <c r="CU457" s="340"/>
      <c r="CV457" s="333"/>
      <c r="CW457" s="333"/>
      <c r="CX457" s="333"/>
      <c r="CY457" s="333"/>
      <c r="DA457" s="313" t="str">
        <f t="shared" si="547"/>
        <v>OK</v>
      </c>
      <c r="DB457" s="313" t="str">
        <f t="shared" si="548"/>
        <v>OK</v>
      </c>
      <c r="DC457" s="313" t="str">
        <f t="shared" si="549"/>
        <v>OK</v>
      </c>
      <c r="DD457" s="313" t="str">
        <f t="shared" si="550"/>
        <v>OK</v>
      </c>
      <c r="DE457" s="153" t="str">
        <f t="shared" si="551"/>
        <v>OK</v>
      </c>
      <c r="DF457" s="314" t="str">
        <f t="shared" si="552"/>
        <v>OK</v>
      </c>
      <c r="DG457" s="482" t="str">
        <f t="shared" si="566"/>
        <v>OK</v>
      </c>
      <c r="DH457" s="482" t="str">
        <f>IF(OR(AND(T457='Adjustment factors'!$R$28,'Class 3, 5-9'!U457='Adjustment factors'!$R$29),AND('Class 3, 5-9'!T457='Adjustment factors'!$R$29,'Class 3, 5-9'!U457='Adjustment factors'!$R$28)),"Invalid combination of adjustment factors",IF(AND(T457=U457,NOT(ISBLANK(T457)),NOT(ISBLANK(U457))),"Same colour factor selected twice","OK"))</f>
        <v>OK</v>
      </c>
      <c r="DI457" s="313" t="str">
        <f t="shared" si="553"/>
        <v>OK</v>
      </c>
      <c r="DJ457" s="153" t="str">
        <f t="shared" si="578"/>
        <v>OK</v>
      </c>
      <c r="DK457" s="153" t="str">
        <f t="shared" si="554"/>
        <v>OK</v>
      </c>
      <c r="DL457" s="313" t="str">
        <f t="shared" si="555"/>
        <v>OK</v>
      </c>
      <c r="DM457" s="153" t="str">
        <f t="shared" si="556"/>
        <v>OK</v>
      </c>
      <c r="DN457" s="153" t="str">
        <f t="shared" si="579"/>
        <v>OK</v>
      </c>
      <c r="DO457" s="154" t="str">
        <f t="shared" si="580"/>
        <v>OK</v>
      </c>
      <c r="DP457" s="153" t="str">
        <f t="shared" si="557"/>
        <v>OK</v>
      </c>
      <c r="DQ457" s="313" t="str">
        <f t="shared" si="558"/>
        <v>OK</v>
      </c>
      <c r="DR457" s="153" t="str">
        <f t="shared" si="581"/>
        <v>OK</v>
      </c>
      <c r="DS457" s="153" t="str">
        <f t="shared" si="559"/>
        <v>OK</v>
      </c>
      <c r="DT457" s="313" t="str">
        <f t="shared" si="594"/>
        <v>OK</v>
      </c>
      <c r="DU457" s="153" t="str">
        <f t="shared" si="560"/>
        <v>OK</v>
      </c>
      <c r="DV457" s="153" t="str">
        <f t="shared" si="582"/>
        <v>OK</v>
      </c>
      <c r="DW457" s="154" t="str">
        <f t="shared" si="583"/>
        <v>OK</v>
      </c>
      <c r="DX457" s="157">
        <f t="shared" si="584"/>
        <v>0</v>
      </c>
      <c r="DY457" s="156" t="str">
        <f t="shared" si="585"/>
        <v>OK</v>
      </c>
    </row>
    <row r="458" spans="1:129" ht="13" hidden="1" x14ac:dyDescent="0.3">
      <c r="A458" s="333"/>
      <c r="B458" s="333"/>
      <c r="C458" s="331" t="str">
        <f t="shared" si="593"/>
        <v>-</v>
      </c>
      <c r="D458" s="584">
        <f t="shared" si="595"/>
        <v>435</v>
      </c>
      <c r="E458" s="585"/>
      <c r="F458" s="586"/>
      <c r="G458" s="600"/>
      <c r="H458" s="587"/>
      <c r="I458" s="601"/>
      <c r="J458" s="585"/>
      <c r="K458" s="617"/>
      <c r="L458" s="602"/>
      <c r="M458" s="603"/>
      <c r="N458" s="588"/>
      <c r="O458" s="604"/>
      <c r="P458" s="605"/>
      <c r="Q458" s="588"/>
      <c r="R458" s="604"/>
      <c r="S458" s="605"/>
      <c r="T458" s="606"/>
      <c r="U458" s="606"/>
      <c r="V458" s="429" t="str">
        <f t="shared" si="590"/>
        <v/>
      </c>
      <c r="W458" s="430" t="str">
        <f t="shared" si="589"/>
        <v/>
      </c>
      <c r="X458" s="66" t="str">
        <f>IF(AND(ISNUMBER(P458),N458=FixedDim),MAX('Adjustment factors'!$S$16,0.2+0.8*P458),IF(ISTEXT(N458),VLOOKUP(N458,Afactors,2,TRUE),""))</f>
        <v/>
      </c>
      <c r="Y458" s="17" t="str">
        <f>IF(AND(ISNUMBER(S458),Q458=FixedDim),MAX('Adjustment factors'!$S$16,0.2+0.8*S458),IF(ISTEXT(Q458),VLOOKUP(Q458,Afactors,2,TRUE),""))</f>
        <v/>
      </c>
      <c r="Z458" s="297" t="str">
        <f>IF(ISBLANK(T458),"",VLOOKUP(T458,'Adjustment factors'!$R$27:$S$30,2,TRUE))</f>
        <v/>
      </c>
      <c r="AA458" s="297" t="str">
        <f>IF(ISBLANK(U458),"",VLOOKUP(U458,'Adjustment factors'!$R$27:$S$30,2,TRUE))</f>
        <v/>
      </c>
      <c r="AB458" s="480">
        <f t="shared" si="561"/>
        <v>1</v>
      </c>
      <c r="AC458" s="18" t="b">
        <f t="shared" si="518"/>
        <v>0</v>
      </c>
      <c r="AD458" s="18" t="b">
        <f t="shared" si="519"/>
        <v>0</v>
      </c>
      <c r="AE458" s="18" t="b">
        <f t="shared" si="586"/>
        <v>0</v>
      </c>
      <c r="AF458" s="17" t="str">
        <f t="shared" si="520"/>
        <v/>
      </c>
      <c r="AG458" s="18" t="str">
        <f t="shared" si="521"/>
        <v/>
      </c>
      <c r="AH458" s="17" t="str">
        <f t="shared" si="587"/>
        <v/>
      </c>
      <c r="AI458" s="297" t="e">
        <f t="shared" si="562"/>
        <v>#VALUE!</v>
      </c>
      <c r="AJ458" s="79" t="e">
        <f t="shared" si="522"/>
        <v>#VALUE!</v>
      </c>
      <c r="AK458" s="17" t="str">
        <f t="shared" si="588"/>
        <v/>
      </c>
      <c r="AL458" s="80" t="e">
        <f t="shared" si="523"/>
        <v>#VALUE!</v>
      </c>
      <c r="AM458" s="139" t="b">
        <f t="shared" si="524"/>
        <v>1</v>
      </c>
      <c r="AN458" s="139" t="b">
        <f>AND(COUNTA(E458)&gt;0,ISNUMBER(F458),OR(COUNT(G458:H458)=0,COUNT(G458:H458)=2,AND(ISNUMBER(G458),ISNUMBER(VALUE(LEFT(H458,SUM(LEN(H458)-LEN(SUBSTITUTE(H458,{"0","1","2","3","4","5","6","7","8","9","."},"")))))))),ISNUMBER(I458),ISTEXT(J458))</f>
        <v>0</v>
      </c>
      <c r="AO458" s="19" t="b">
        <f t="shared" si="525"/>
        <v>0</v>
      </c>
      <c r="AP458" s="19" t="b">
        <f t="shared" si="526"/>
        <v>1</v>
      </c>
      <c r="AQ458" s="19" t="b">
        <f>IF(AND(COUNTBLANK(E458:J458)=6,OR(AN459:AN$523)),NOT(AN458))</f>
        <v>0</v>
      </c>
      <c r="AR458" s="19" t="str">
        <f t="shared" si="527"/>
        <v/>
      </c>
      <c r="AS458" s="19" t="b">
        <f t="shared" si="528"/>
        <v>1</v>
      </c>
      <c r="AT458" s="19" t="str">
        <f t="shared" si="529"/>
        <v/>
      </c>
      <c r="AU458" s="19" t="b">
        <f t="shared" si="530"/>
        <v>1</v>
      </c>
      <c r="AV458" s="140" t="str">
        <f t="shared" si="570"/>
        <v/>
      </c>
      <c r="AW458" s="19" t="str">
        <f t="shared" si="531"/>
        <v/>
      </c>
      <c r="AX458" s="81">
        <f t="shared" si="532"/>
        <v>0</v>
      </c>
      <c r="AY458" s="81" t="str">
        <f t="shared" si="533"/>
        <v/>
      </c>
      <c r="AZ458" s="307" t="str">
        <f t="shared" si="563"/>
        <v/>
      </c>
      <c r="BA458" s="281" t="str">
        <f t="shared" si="571"/>
        <v/>
      </c>
      <c r="BB458" s="281" t="str">
        <f t="shared" si="572"/>
        <v/>
      </c>
      <c r="BC458" s="953"/>
      <c r="BD458" s="955"/>
      <c r="BE458" s="219" t="str">
        <f t="shared" si="534"/>
        <v>n/a</v>
      </c>
      <c r="BF458" s="215" t="b">
        <f t="shared" si="535"/>
        <v>0</v>
      </c>
      <c r="BG458" s="145" t="b">
        <f t="shared" si="536"/>
        <v>0</v>
      </c>
      <c r="BH458" s="145" t="b">
        <f t="shared" si="537"/>
        <v>0</v>
      </c>
      <c r="BI458" s="216" t="b">
        <f t="shared" si="538"/>
        <v>0</v>
      </c>
      <c r="BJ458" s="215" t="b">
        <f t="shared" si="539"/>
        <v>0</v>
      </c>
      <c r="BK458" s="145" t="b">
        <f t="shared" si="540"/>
        <v>0</v>
      </c>
      <c r="BL458" s="216" t="b">
        <f t="shared" si="541"/>
        <v>0</v>
      </c>
      <c r="BM458" s="217" t="str">
        <f t="shared" si="573"/>
        <v/>
      </c>
      <c r="BN458" s="146" t="str">
        <f t="shared" si="574"/>
        <v/>
      </c>
      <c r="BO458" s="147" t="str">
        <f t="shared" si="575"/>
        <v/>
      </c>
      <c r="BP458" s="148" t="str">
        <f t="shared" si="576"/>
        <v/>
      </c>
      <c r="BT458" s="50">
        <f t="shared" si="596"/>
        <v>435</v>
      </c>
      <c r="BU458" s="50" t="str">
        <f t="shared" si="592"/>
        <v>-</v>
      </c>
      <c r="BW458" s="333"/>
      <c r="BX458" s="333"/>
      <c r="BY458" s="333"/>
      <c r="BZ458" s="333"/>
      <c r="CA458" s="333"/>
      <c r="CB458" s="333"/>
      <c r="CC458" s="333"/>
      <c r="CD458" s="333"/>
      <c r="CE458" s="333"/>
      <c r="CF458" s="333"/>
      <c r="CG458" s="354">
        <f t="shared" si="542"/>
        <v>435</v>
      </c>
      <c r="CH458" s="613">
        <f t="shared" si="543"/>
        <v>0</v>
      </c>
      <c r="CI458" s="613">
        <f t="shared" si="544"/>
        <v>0</v>
      </c>
      <c r="CJ458" s="614" t="str">
        <f t="shared" si="545"/>
        <v/>
      </c>
      <c r="CK458" s="615" t="str">
        <f t="shared" si="546"/>
        <v/>
      </c>
      <c r="CL458" s="610" t="str">
        <f>IF(ISBLANK(H458),"",IF(AND(ISNUMBER(F458),ISNUMBER(G458),ISNUMBER(H458)),ROUND(F458/(H458*G458),2),ROUND(F458/(VALUE(LEFT(H458,SUM(LEN(H458)-LEN(SUBSTITUTE(H458,{"0","1","2","3","4","5","6","7","8","9","."},"")))))*G458),2)))</f>
        <v/>
      </c>
      <c r="CM458" s="616" t="str">
        <f t="shared" si="577"/>
        <v/>
      </c>
      <c r="CN458" s="616" t="str">
        <f>IF(ISNUMBER(P458),MAX('Adjustment factors'!$S$16,(0.2+0.8*P458)),IF(ISTEXT(N458),VLOOKUP(N458,Afactors,2,FALSE),""))</f>
        <v/>
      </c>
      <c r="CO458" s="616" t="str">
        <f>IF(ISNUMBER(S458),MAX('Adjustment factors'!$S$16,0.2+0.8*S458),IF(ISTEXT(Q458),VLOOKUP(Q458,Afactors,2,FALSE),""))</f>
        <v/>
      </c>
      <c r="CP458" s="611" t="str">
        <f t="shared" si="564"/>
        <v/>
      </c>
      <c r="CQ458" s="612" t="str">
        <f t="shared" si="565"/>
        <v/>
      </c>
      <c r="CR458" s="340"/>
      <c r="CS458" s="340"/>
      <c r="CT458" s="340"/>
      <c r="CU458" s="340"/>
      <c r="CV458" s="333"/>
      <c r="CW458" s="333"/>
      <c r="CX458" s="333"/>
      <c r="CY458" s="333"/>
      <c r="DA458" s="313" t="str">
        <f t="shared" si="547"/>
        <v>OK</v>
      </c>
      <c r="DB458" s="313" t="str">
        <f t="shared" si="548"/>
        <v>OK</v>
      </c>
      <c r="DC458" s="313" t="str">
        <f t="shared" si="549"/>
        <v>OK</v>
      </c>
      <c r="DD458" s="313" t="str">
        <f t="shared" si="550"/>
        <v>OK</v>
      </c>
      <c r="DE458" s="153" t="str">
        <f t="shared" si="551"/>
        <v>OK</v>
      </c>
      <c r="DF458" s="314" t="str">
        <f t="shared" si="552"/>
        <v>OK</v>
      </c>
      <c r="DG458" s="482" t="str">
        <f t="shared" si="566"/>
        <v>OK</v>
      </c>
      <c r="DH458" s="482" t="str">
        <f>IF(OR(AND(T458='Adjustment factors'!$R$28,'Class 3, 5-9'!U458='Adjustment factors'!$R$29),AND('Class 3, 5-9'!T458='Adjustment factors'!$R$29,'Class 3, 5-9'!U458='Adjustment factors'!$R$28)),"Invalid combination of adjustment factors",IF(AND(T458=U458,NOT(ISBLANK(T458)),NOT(ISBLANK(U458))),"Same colour factor selected twice","OK"))</f>
        <v>OK</v>
      </c>
      <c r="DI458" s="313" t="str">
        <f t="shared" si="553"/>
        <v>OK</v>
      </c>
      <c r="DJ458" s="153" t="str">
        <f t="shared" si="578"/>
        <v>OK</v>
      </c>
      <c r="DK458" s="153" t="str">
        <f t="shared" si="554"/>
        <v>OK</v>
      </c>
      <c r="DL458" s="313" t="str">
        <f t="shared" si="555"/>
        <v>OK</v>
      </c>
      <c r="DM458" s="153" t="str">
        <f t="shared" si="556"/>
        <v>OK</v>
      </c>
      <c r="DN458" s="153" t="str">
        <f t="shared" si="579"/>
        <v>OK</v>
      </c>
      <c r="DO458" s="154" t="str">
        <f t="shared" si="580"/>
        <v>OK</v>
      </c>
      <c r="DP458" s="153" t="str">
        <f t="shared" si="557"/>
        <v>OK</v>
      </c>
      <c r="DQ458" s="313" t="str">
        <f t="shared" si="558"/>
        <v>OK</v>
      </c>
      <c r="DR458" s="153" t="str">
        <f t="shared" si="581"/>
        <v>OK</v>
      </c>
      <c r="DS458" s="153" t="str">
        <f t="shared" si="559"/>
        <v>OK</v>
      </c>
      <c r="DT458" s="313" t="str">
        <f t="shared" si="594"/>
        <v>OK</v>
      </c>
      <c r="DU458" s="153" t="str">
        <f t="shared" si="560"/>
        <v>OK</v>
      </c>
      <c r="DV458" s="153" t="str">
        <f t="shared" si="582"/>
        <v>OK</v>
      </c>
      <c r="DW458" s="154" t="str">
        <f t="shared" si="583"/>
        <v>OK</v>
      </c>
      <c r="DX458" s="157">
        <f t="shared" si="584"/>
        <v>0</v>
      </c>
      <c r="DY458" s="156" t="str">
        <f t="shared" si="585"/>
        <v>OK</v>
      </c>
    </row>
    <row r="459" spans="1:129" ht="13" hidden="1" x14ac:dyDescent="0.3">
      <c r="A459" s="333"/>
      <c r="B459" s="333"/>
      <c r="C459" s="331" t="str">
        <f t="shared" si="593"/>
        <v>-</v>
      </c>
      <c r="D459" s="584">
        <f t="shared" si="595"/>
        <v>436</v>
      </c>
      <c r="E459" s="585"/>
      <c r="F459" s="586"/>
      <c r="G459" s="600"/>
      <c r="H459" s="587"/>
      <c r="I459" s="601"/>
      <c r="J459" s="585"/>
      <c r="K459" s="617"/>
      <c r="L459" s="602"/>
      <c r="M459" s="603"/>
      <c r="N459" s="588"/>
      <c r="O459" s="604"/>
      <c r="P459" s="605"/>
      <c r="Q459" s="588"/>
      <c r="R459" s="604"/>
      <c r="S459" s="605"/>
      <c r="T459" s="606"/>
      <c r="U459" s="606"/>
      <c r="V459" s="429" t="str">
        <f t="shared" si="590"/>
        <v/>
      </c>
      <c r="W459" s="430" t="str">
        <f t="shared" si="589"/>
        <v/>
      </c>
      <c r="X459" s="66" t="str">
        <f>IF(AND(ISNUMBER(P459),N459=FixedDim),MAX('Adjustment factors'!$S$16,0.2+0.8*P459),IF(ISTEXT(N459),VLOOKUP(N459,Afactors,2,TRUE),""))</f>
        <v/>
      </c>
      <c r="Y459" s="17" t="str">
        <f>IF(AND(ISNUMBER(S459),Q459=FixedDim),MAX('Adjustment factors'!$S$16,0.2+0.8*S459),IF(ISTEXT(Q459),VLOOKUP(Q459,Afactors,2,TRUE),""))</f>
        <v/>
      </c>
      <c r="Z459" s="297" t="str">
        <f>IF(ISBLANK(T459),"",VLOOKUP(T459,'Adjustment factors'!$R$27:$S$30,2,TRUE))</f>
        <v/>
      </c>
      <c r="AA459" s="297" t="str">
        <f>IF(ISBLANK(U459),"",VLOOKUP(U459,'Adjustment factors'!$R$27:$S$30,2,TRUE))</f>
        <v/>
      </c>
      <c r="AB459" s="480">
        <f t="shared" si="561"/>
        <v>1</v>
      </c>
      <c r="AC459" s="18" t="b">
        <f t="shared" si="518"/>
        <v>0</v>
      </c>
      <c r="AD459" s="18" t="b">
        <f t="shared" si="519"/>
        <v>0</v>
      </c>
      <c r="AE459" s="18" t="b">
        <f t="shared" si="586"/>
        <v>0</v>
      </c>
      <c r="AF459" s="17" t="str">
        <f t="shared" si="520"/>
        <v/>
      </c>
      <c r="AG459" s="18" t="str">
        <f t="shared" si="521"/>
        <v/>
      </c>
      <c r="AH459" s="17" t="str">
        <f t="shared" si="587"/>
        <v/>
      </c>
      <c r="AI459" s="297" t="e">
        <f t="shared" si="562"/>
        <v>#VALUE!</v>
      </c>
      <c r="AJ459" s="79" t="e">
        <f t="shared" si="522"/>
        <v>#VALUE!</v>
      </c>
      <c r="AK459" s="17" t="str">
        <f t="shared" si="588"/>
        <v/>
      </c>
      <c r="AL459" s="80" t="e">
        <f t="shared" si="523"/>
        <v>#VALUE!</v>
      </c>
      <c r="AM459" s="139" t="b">
        <f t="shared" si="524"/>
        <v>1</v>
      </c>
      <c r="AN459" s="139" t="b">
        <f>AND(COUNTA(E459)&gt;0,ISNUMBER(F459),OR(COUNT(G459:H459)=0,COUNT(G459:H459)=2,AND(ISNUMBER(G459),ISNUMBER(VALUE(LEFT(H459,SUM(LEN(H459)-LEN(SUBSTITUTE(H459,{"0","1","2","3","4","5","6","7","8","9","."},"")))))))),ISNUMBER(I459),ISTEXT(J459))</f>
        <v>0</v>
      </c>
      <c r="AO459" s="19" t="b">
        <f t="shared" si="525"/>
        <v>0</v>
      </c>
      <c r="AP459" s="19" t="b">
        <f t="shared" si="526"/>
        <v>1</v>
      </c>
      <c r="AQ459" s="19" t="b">
        <f>IF(AND(COUNTBLANK(E459:J459)=6,OR(AN460:AN$523)),NOT(AN459))</f>
        <v>0</v>
      </c>
      <c r="AR459" s="19" t="str">
        <f t="shared" si="527"/>
        <v/>
      </c>
      <c r="AS459" s="19" t="b">
        <f t="shared" si="528"/>
        <v>1</v>
      </c>
      <c r="AT459" s="19" t="str">
        <f t="shared" si="529"/>
        <v/>
      </c>
      <c r="AU459" s="19" t="b">
        <f t="shared" si="530"/>
        <v>1</v>
      </c>
      <c r="AV459" s="140" t="str">
        <f t="shared" si="570"/>
        <v/>
      </c>
      <c r="AW459" s="19" t="str">
        <f t="shared" si="531"/>
        <v/>
      </c>
      <c r="AX459" s="81">
        <f t="shared" si="532"/>
        <v>0</v>
      </c>
      <c r="AY459" s="81" t="str">
        <f t="shared" si="533"/>
        <v/>
      </c>
      <c r="AZ459" s="307" t="str">
        <f t="shared" si="563"/>
        <v/>
      </c>
      <c r="BA459" s="281" t="str">
        <f t="shared" si="571"/>
        <v/>
      </c>
      <c r="BB459" s="281" t="str">
        <f t="shared" si="572"/>
        <v/>
      </c>
      <c r="BC459" s="953"/>
      <c r="BD459" s="955"/>
      <c r="BE459" s="219" t="str">
        <f t="shared" si="534"/>
        <v>n/a</v>
      </c>
      <c r="BF459" s="215" t="b">
        <f t="shared" si="535"/>
        <v>0</v>
      </c>
      <c r="BG459" s="145" t="b">
        <f t="shared" si="536"/>
        <v>0</v>
      </c>
      <c r="BH459" s="145" t="b">
        <f t="shared" si="537"/>
        <v>0</v>
      </c>
      <c r="BI459" s="216" t="b">
        <f t="shared" si="538"/>
        <v>0</v>
      </c>
      <c r="BJ459" s="215" t="b">
        <f t="shared" si="539"/>
        <v>0</v>
      </c>
      <c r="BK459" s="145" t="b">
        <f t="shared" si="540"/>
        <v>0</v>
      </c>
      <c r="BL459" s="216" t="b">
        <f t="shared" si="541"/>
        <v>0</v>
      </c>
      <c r="BM459" s="217" t="str">
        <f t="shared" si="573"/>
        <v/>
      </c>
      <c r="BN459" s="146" t="str">
        <f t="shared" si="574"/>
        <v/>
      </c>
      <c r="BO459" s="147" t="str">
        <f t="shared" si="575"/>
        <v/>
      </c>
      <c r="BP459" s="148" t="str">
        <f t="shared" si="576"/>
        <v/>
      </c>
      <c r="BT459" s="50">
        <f t="shared" si="596"/>
        <v>436</v>
      </c>
      <c r="BU459" s="50" t="str">
        <f t="shared" si="592"/>
        <v>-</v>
      </c>
      <c r="BW459" s="333"/>
      <c r="BX459" s="333"/>
      <c r="BY459" s="333"/>
      <c r="BZ459" s="333"/>
      <c r="CA459" s="333"/>
      <c r="CB459" s="333"/>
      <c r="CC459" s="333"/>
      <c r="CD459" s="333"/>
      <c r="CE459" s="333"/>
      <c r="CF459" s="333"/>
      <c r="CG459" s="354">
        <f t="shared" si="542"/>
        <v>436</v>
      </c>
      <c r="CH459" s="613">
        <f t="shared" si="543"/>
        <v>0</v>
      </c>
      <c r="CI459" s="613">
        <f t="shared" si="544"/>
        <v>0</v>
      </c>
      <c r="CJ459" s="614" t="str">
        <f t="shared" si="545"/>
        <v/>
      </c>
      <c r="CK459" s="615" t="str">
        <f t="shared" si="546"/>
        <v/>
      </c>
      <c r="CL459" s="610" t="str">
        <f>IF(ISBLANK(H459),"",IF(AND(ISNUMBER(F459),ISNUMBER(G459),ISNUMBER(H459)),ROUND(F459/(H459*G459),2),ROUND(F459/(VALUE(LEFT(H459,SUM(LEN(H459)-LEN(SUBSTITUTE(H459,{"0","1","2","3","4","5","6","7","8","9","."},"")))))*G459),2)))</f>
        <v/>
      </c>
      <c r="CM459" s="616" t="str">
        <f t="shared" si="577"/>
        <v/>
      </c>
      <c r="CN459" s="616" t="str">
        <f>IF(ISNUMBER(P459),MAX('Adjustment factors'!$S$16,(0.2+0.8*P459)),IF(ISTEXT(N459),VLOOKUP(N459,Afactors,2,FALSE),""))</f>
        <v/>
      </c>
      <c r="CO459" s="616" t="str">
        <f>IF(ISNUMBER(S459),MAX('Adjustment factors'!$S$16,0.2+0.8*S459),IF(ISTEXT(Q459),VLOOKUP(Q459,Afactors,2,FALSE),""))</f>
        <v/>
      </c>
      <c r="CP459" s="611" t="str">
        <f t="shared" si="564"/>
        <v/>
      </c>
      <c r="CQ459" s="612" t="str">
        <f t="shared" si="565"/>
        <v/>
      </c>
      <c r="CR459" s="340"/>
      <c r="CS459" s="340"/>
      <c r="CT459" s="340"/>
      <c r="CU459" s="340"/>
      <c r="CV459" s="333"/>
      <c r="CW459" s="333"/>
      <c r="CX459" s="333"/>
      <c r="CY459" s="333"/>
      <c r="DA459" s="313" t="str">
        <f t="shared" si="547"/>
        <v>OK</v>
      </c>
      <c r="DB459" s="313" t="str">
        <f t="shared" si="548"/>
        <v>OK</v>
      </c>
      <c r="DC459" s="313" t="str">
        <f t="shared" si="549"/>
        <v>OK</v>
      </c>
      <c r="DD459" s="313" t="str">
        <f t="shared" si="550"/>
        <v>OK</v>
      </c>
      <c r="DE459" s="153" t="str">
        <f t="shared" si="551"/>
        <v>OK</v>
      </c>
      <c r="DF459" s="314" t="str">
        <f t="shared" si="552"/>
        <v>OK</v>
      </c>
      <c r="DG459" s="482" t="str">
        <f t="shared" si="566"/>
        <v>OK</v>
      </c>
      <c r="DH459" s="482" t="str">
        <f>IF(OR(AND(T459='Adjustment factors'!$R$28,'Class 3, 5-9'!U459='Adjustment factors'!$R$29),AND('Class 3, 5-9'!T459='Adjustment factors'!$R$29,'Class 3, 5-9'!U459='Adjustment factors'!$R$28)),"Invalid combination of adjustment factors",IF(AND(T459=U459,NOT(ISBLANK(T459)),NOT(ISBLANK(U459))),"Same colour factor selected twice","OK"))</f>
        <v>OK</v>
      </c>
      <c r="DI459" s="313" t="str">
        <f t="shared" si="553"/>
        <v>OK</v>
      </c>
      <c r="DJ459" s="153" t="str">
        <f t="shared" si="578"/>
        <v>OK</v>
      </c>
      <c r="DK459" s="153" t="str">
        <f t="shared" si="554"/>
        <v>OK</v>
      </c>
      <c r="DL459" s="313" t="str">
        <f t="shared" si="555"/>
        <v>OK</v>
      </c>
      <c r="DM459" s="153" t="str">
        <f t="shared" si="556"/>
        <v>OK</v>
      </c>
      <c r="DN459" s="153" t="str">
        <f t="shared" si="579"/>
        <v>OK</v>
      </c>
      <c r="DO459" s="154" t="str">
        <f t="shared" si="580"/>
        <v>OK</v>
      </c>
      <c r="DP459" s="153" t="str">
        <f t="shared" si="557"/>
        <v>OK</v>
      </c>
      <c r="DQ459" s="313" t="str">
        <f t="shared" si="558"/>
        <v>OK</v>
      </c>
      <c r="DR459" s="153" t="str">
        <f t="shared" si="581"/>
        <v>OK</v>
      </c>
      <c r="DS459" s="153" t="str">
        <f t="shared" si="559"/>
        <v>OK</v>
      </c>
      <c r="DT459" s="313" t="str">
        <f t="shared" si="594"/>
        <v>OK</v>
      </c>
      <c r="DU459" s="153" t="str">
        <f t="shared" si="560"/>
        <v>OK</v>
      </c>
      <c r="DV459" s="153" t="str">
        <f t="shared" si="582"/>
        <v>OK</v>
      </c>
      <c r="DW459" s="154" t="str">
        <f t="shared" si="583"/>
        <v>OK</v>
      </c>
      <c r="DX459" s="157">
        <f t="shared" si="584"/>
        <v>0</v>
      </c>
      <c r="DY459" s="156" t="str">
        <f t="shared" si="585"/>
        <v>OK</v>
      </c>
    </row>
    <row r="460" spans="1:129" ht="13" hidden="1" x14ac:dyDescent="0.3">
      <c r="A460" s="333"/>
      <c r="B460" s="333"/>
      <c r="C460" s="331" t="str">
        <f t="shared" si="593"/>
        <v>-</v>
      </c>
      <c r="D460" s="584">
        <f t="shared" si="595"/>
        <v>437</v>
      </c>
      <c r="E460" s="585"/>
      <c r="F460" s="586"/>
      <c r="G460" s="600"/>
      <c r="H460" s="587"/>
      <c r="I460" s="601"/>
      <c r="J460" s="585"/>
      <c r="K460" s="617"/>
      <c r="L460" s="602"/>
      <c r="M460" s="603"/>
      <c r="N460" s="588"/>
      <c r="O460" s="604"/>
      <c r="P460" s="605"/>
      <c r="Q460" s="588"/>
      <c r="R460" s="604"/>
      <c r="S460" s="605"/>
      <c r="T460" s="606"/>
      <c r="U460" s="606"/>
      <c r="V460" s="429" t="str">
        <f t="shared" si="590"/>
        <v/>
      </c>
      <c r="W460" s="430" t="str">
        <f t="shared" si="589"/>
        <v/>
      </c>
      <c r="X460" s="66" t="str">
        <f>IF(AND(ISNUMBER(P460),N460=FixedDim),MAX('Adjustment factors'!$S$16,0.2+0.8*P460),IF(ISTEXT(N460),VLOOKUP(N460,Afactors,2,TRUE),""))</f>
        <v/>
      </c>
      <c r="Y460" s="17" t="str">
        <f>IF(AND(ISNUMBER(S460),Q460=FixedDim),MAX('Adjustment factors'!$S$16,0.2+0.8*S460),IF(ISTEXT(Q460),VLOOKUP(Q460,Afactors,2,TRUE),""))</f>
        <v/>
      </c>
      <c r="Z460" s="297" t="str">
        <f>IF(ISBLANK(T460),"",VLOOKUP(T460,'Adjustment factors'!$R$27:$S$30,2,TRUE))</f>
        <v/>
      </c>
      <c r="AA460" s="297" t="str">
        <f>IF(ISBLANK(U460),"",VLOOKUP(U460,'Adjustment factors'!$R$27:$S$30,2,TRUE))</f>
        <v/>
      </c>
      <c r="AB460" s="480">
        <f t="shared" si="561"/>
        <v>1</v>
      </c>
      <c r="AC460" s="18" t="b">
        <f t="shared" si="518"/>
        <v>0</v>
      </c>
      <c r="AD460" s="18" t="b">
        <f t="shared" si="519"/>
        <v>0</v>
      </c>
      <c r="AE460" s="18" t="b">
        <f t="shared" si="586"/>
        <v>0</v>
      </c>
      <c r="AF460" s="17" t="str">
        <f t="shared" si="520"/>
        <v/>
      </c>
      <c r="AG460" s="18" t="str">
        <f t="shared" si="521"/>
        <v/>
      </c>
      <c r="AH460" s="17" t="str">
        <f t="shared" si="587"/>
        <v/>
      </c>
      <c r="AI460" s="297" t="e">
        <f t="shared" si="562"/>
        <v>#VALUE!</v>
      </c>
      <c r="AJ460" s="79" t="e">
        <f t="shared" si="522"/>
        <v>#VALUE!</v>
      </c>
      <c r="AK460" s="17" t="str">
        <f t="shared" si="588"/>
        <v/>
      </c>
      <c r="AL460" s="80" t="e">
        <f t="shared" si="523"/>
        <v>#VALUE!</v>
      </c>
      <c r="AM460" s="139" t="b">
        <f t="shared" si="524"/>
        <v>1</v>
      </c>
      <c r="AN460" s="139" t="b">
        <f>AND(COUNTA(E460)&gt;0,ISNUMBER(F460),OR(COUNT(G460:H460)=0,COUNT(G460:H460)=2,AND(ISNUMBER(G460),ISNUMBER(VALUE(LEFT(H460,SUM(LEN(H460)-LEN(SUBSTITUTE(H460,{"0","1","2","3","4","5","6","7","8","9","."},"")))))))),ISNUMBER(I460),ISTEXT(J460))</f>
        <v>0</v>
      </c>
      <c r="AO460" s="19" t="b">
        <f t="shared" si="525"/>
        <v>0</v>
      </c>
      <c r="AP460" s="19" t="b">
        <f t="shared" si="526"/>
        <v>1</v>
      </c>
      <c r="AQ460" s="19" t="b">
        <f>IF(AND(COUNTBLANK(E460:J460)=6,OR(AN461:AN$523)),NOT(AN460))</f>
        <v>0</v>
      </c>
      <c r="AR460" s="19" t="str">
        <f t="shared" si="527"/>
        <v/>
      </c>
      <c r="AS460" s="19" t="b">
        <f t="shared" si="528"/>
        <v>1</v>
      </c>
      <c r="AT460" s="19" t="str">
        <f t="shared" si="529"/>
        <v/>
      </c>
      <c r="AU460" s="19" t="b">
        <f t="shared" si="530"/>
        <v>1</v>
      </c>
      <c r="AV460" s="140" t="str">
        <f t="shared" si="570"/>
        <v/>
      </c>
      <c r="AW460" s="19" t="str">
        <f t="shared" si="531"/>
        <v/>
      </c>
      <c r="AX460" s="81">
        <f t="shared" si="532"/>
        <v>0</v>
      </c>
      <c r="AY460" s="81" t="str">
        <f t="shared" si="533"/>
        <v/>
      </c>
      <c r="AZ460" s="307" t="str">
        <f t="shared" si="563"/>
        <v/>
      </c>
      <c r="BA460" s="281" t="str">
        <f t="shared" si="571"/>
        <v/>
      </c>
      <c r="BB460" s="281" t="str">
        <f t="shared" si="572"/>
        <v/>
      </c>
      <c r="BC460" s="953"/>
      <c r="BD460" s="955"/>
      <c r="BE460" s="219" t="str">
        <f t="shared" si="534"/>
        <v>n/a</v>
      </c>
      <c r="BF460" s="215" t="b">
        <f t="shared" si="535"/>
        <v>0</v>
      </c>
      <c r="BG460" s="145" t="b">
        <f t="shared" si="536"/>
        <v>0</v>
      </c>
      <c r="BH460" s="145" t="b">
        <f t="shared" si="537"/>
        <v>0</v>
      </c>
      <c r="BI460" s="216" t="b">
        <f t="shared" si="538"/>
        <v>0</v>
      </c>
      <c r="BJ460" s="215" t="b">
        <f t="shared" si="539"/>
        <v>0</v>
      </c>
      <c r="BK460" s="145" t="b">
        <f t="shared" si="540"/>
        <v>0</v>
      </c>
      <c r="BL460" s="216" t="b">
        <f t="shared" si="541"/>
        <v>0</v>
      </c>
      <c r="BM460" s="217" t="str">
        <f t="shared" si="573"/>
        <v/>
      </c>
      <c r="BN460" s="146" t="str">
        <f t="shared" si="574"/>
        <v/>
      </c>
      <c r="BO460" s="147" t="str">
        <f t="shared" si="575"/>
        <v/>
      </c>
      <c r="BP460" s="148" t="str">
        <f t="shared" si="576"/>
        <v/>
      </c>
      <c r="BT460" s="50">
        <f t="shared" si="596"/>
        <v>437</v>
      </c>
      <c r="BU460" s="50" t="str">
        <f t="shared" si="592"/>
        <v>-</v>
      </c>
      <c r="BW460" s="333"/>
      <c r="BX460" s="333"/>
      <c r="BY460" s="333"/>
      <c r="BZ460" s="333"/>
      <c r="CA460" s="333"/>
      <c r="CB460" s="333"/>
      <c r="CC460" s="333"/>
      <c r="CD460" s="333"/>
      <c r="CE460" s="333"/>
      <c r="CF460" s="333"/>
      <c r="CG460" s="354">
        <f t="shared" si="542"/>
        <v>437</v>
      </c>
      <c r="CH460" s="613">
        <f t="shared" si="543"/>
        <v>0</v>
      </c>
      <c r="CI460" s="613">
        <f t="shared" si="544"/>
        <v>0</v>
      </c>
      <c r="CJ460" s="614" t="str">
        <f t="shared" si="545"/>
        <v/>
      </c>
      <c r="CK460" s="615" t="str">
        <f t="shared" si="546"/>
        <v/>
      </c>
      <c r="CL460" s="610" t="str">
        <f>IF(ISBLANK(H460),"",IF(AND(ISNUMBER(F460),ISNUMBER(G460),ISNUMBER(H460)),ROUND(F460/(H460*G460),2),ROUND(F460/(VALUE(LEFT(H460,SUM(LEN(H460)-LEN(SUBSTITUTE(H460,{"0","1","2","3","4","5","6","7","8","9","."},"")))))*G460),2)))</f>
        <v/>
      </c>
      <c r="CM460" s="616" t="str">
        <f t="shared" si="577"/>
        <v/>
      </c>
      <c r="CN460" s="616" t="str">
        <f>IF(ISNUMBER(P460),MAX('Adjustment factors'!$S$16,(0.2+0.8*P460)),IF(ISTEXT(N460),VLOOKUP(N460,Afactors,2,FALSE),""))</f>
        <v/>
      </c>
      <c r="CO460" s="616" t="str">
        <f>IF(ISNUMBER(S460),MAX('Adjustment factors'!$S$16,0.2+0.8*S460),IF(ISTEXT(Q460),VLOOKUP(Q460,Afactors,2,FALSE),""))</f>
        <v/>
      </c>
      <c r="CP460" s="611" t="str">
        <f t="shared" si="564"/>
        <v/>
      </c>
      <c r="CQ460" s="612" t="str">
        <f t="shared" si="565"/>
        <v/>
      </c>
      <c r="CR460" s="340"/>
      <c r="CS460" s="340"/>
      <c r="CT460" s="340"/>
      <c r="CU460" s="340"/>
      <c r="CV460" s="333"/>
      <c r="CW460" s="333"/>
      <c r="CX460" s="333"/>
      <c r="CY460" s="333"/>
      <c r="DA460" s="313" t="str">
        <f t="shared" si="547"/>
        <v>OK</v>
      </c>
      <c r="DB460" s="313" t="str">
        <f t="shared" si="548"/>
        <v>OK</v>
      </c>
      <c r="DC460" s="313" t="str">
        <f t="shared" si="549"/>
        <v>OK</v>
      </c>
      <c r="DD460" s="313" t="str">
        <f t="shared" si="550"/>
        <v>OK</v>
      </c>
      <c r="DE460" s="153" t="str">
        <f t="shared" si="551"/>
        <v>OK</v>
      </c>
      <c r="DF460" s="314" t="str">
        <f t="shared" si="552"/>
        <v>OK</v>
      </c>
      <c r="DG460" s="482" t="str">
        <f t="shared" si="566"/>
        <v>OK</v>
      </c>
      <c r="DH460" s="482" t="str">
        <f>IF(OR(AND(T460='Adjustment factors'!$R$28,'Class 3, 5-9'!U460='Adjustment factors'!$R$29),AND('Class 3, 5-9'!T460='Adjustment factors'!$R$29,'Class 3, 5-9'!U460='Adjustment factors'!$R$28)),"Invalid combination of adjustment factors",IF(AND(T460=U460,NOT(ISBLANK(T460)),NOT(ISBLANK(U460))),"Same colour factor selected twice","OK"))</f>
        <v>OK</v>
      </c>
      <c r="DI460" s="313" t="str">
        <f t="shared" si="553"/>
        <v>OK</v>
      </c>
      <c r="DJ460" s="153" t="str">
        <f t="shared" si="578"/>
        <v>OK</v>
      </c>
      <c r="DK460" s="153" t="str">
        <f t="shared" si="554"/>
        <v>OK</v>
      </c>
      <c r="DL460" s="313" t="str">
        <f t="shared" si="555"/>
        <v>OK</v>
      </c>
      <c r="DM460" s="153" t="str">
        <f t="shared" si="556"/>
        <v>OK</v>
      </c>
      <c r="DN460" s="153" t="str">
        <f t="shared" si="579"/>
        <v>OK</v>
      </c>
      <c r="DO460" s="154" t="str">
        <f t="shared" si="580"/>
        <v>OK</v>
      </c>
      <c r="DP460" s="153" t="str">
        <f t="shared" si="557"/>
        <v>OK</v>
      </c>
      <c r="DQ460" s="313" t="str">
        <f t="shared" si="558"/>
        <v>OK</v>
      </c>
      <c r="DR460" s="153" t="str">
        <f t="shared" si="581"/>
        <v>OK</v>
      </c>
      <c r="DS460" s="153" t="str">
        <f t="shared" si="559"/>
        <v>OK</v>
      </c>
      <c r="DT460" s="313" t="str">
        <f t="shared" si="594"/>
        <v>OK</v>
      </c>
      <c r="DU460" s="153" t="str">
        <f t="shared" si="560"/>
        <v>OK</v>
      </c>
      <c r="DV460" s="153" t="str">
        <f t="shared" si="582"/>
        <v>OK</v>
      </c>
      <c r="DW460" s="154" t="str">
        <f t="shared" si="583"/>
        <v>OK</v>
      </c>
      <c r="DX460" s="157">
        <f t="shared" si="584"/>
        <v>0</v>
      </c>
      <c r="DY460" s="156" t="str">
        <f t="shared" si="585"/>
        <v>OK</v>
      </c>
    </row>
    <row r="461" spans="1:129" ht="13" hidden="1" x14ac:dyDescent="0.3">
      <c r="A461" s="333"/>
      <c r="B461" s="333"/>
      <c r="C461" s="331" t="str">
        <f t="shared" si="593"/>
        <v>-</v>
      </c>
      <c r="D461" s="584">
        <f t="shared" si="595"/>
        <v>438</v>
      </c>
      <c r="E461" s="585"/>
      <c r="F461" s="586"/>
      <c r="G461" s="600"/>
      <c r="H461" s="587"/>
      <c r="I461" s="601"/>
      <c r="J461" s="585"/>
      <c r="K461" s="617"/>
      <c r="L461" s="602"/>
      <c r="M461" s="603"/>
      <c r="N461" s="588"/>
      <c r="O461" s="604"/>
      <c r="P461" s="605"/>
      <c r="Q461" s="588"/>
      <c r="R461" s="604"/>
      <c r="S461" s="605"/>
      <c r="T461" s="606"/>
      <c r="U461" s="606"/>
      <c r="V461" s="429" t="str">
        <f t="shared" si="590"/>
        <v/>
      </c>
      <c r="W461" s="430" t="str">
        <f t="shared" si="589"/>
        <v/>
      </c>
      <c r="X461" s="66" t="str">
        <f>IF(AND(ISNUMBER(P461),N461=FixedDim),MAX('Adjustment factors'!$S$16,0.2+0.8*P461),IF(ISTEXT(N461),VLOOKUP(N461,Afactors,2,TRUE),""))</f>
        <v/>
      </c>
      <c r="Y461" s="17" t="str">
        <f>IF(AND(ISNUMBER(S461),Q461=FixedDim),MAX('Adjustment factors'!$S$16,0.2+0.8*S461),IF(ISTEXT(Q461),VLOOKUP(Q461,Afactors,2,TRUE),""))</f>
        <v/>
      </c>
      <c r="Z461" s="297" t="str">
        <f>IF(ISBLANK(T461),"",VLOOKUP(T461,'Adjustment factors'!$R$27:$S$30,2,TRUE))</f>
        <v/>
      </c>
      <c r="AA461" s="297" t="str">
        <f>IF(ISBLANK(U461),"",VLOOKUP(U461,'Adjustment factors'!$R$27:$S$30,2,TRUE))</f>
        <v/>
      </c>
      <c r="AB461" s="480">
        <f t="shared" si="561"/>
        <v>1</v>
      </c>
      <c r="AC461" s="18" t="b">
        <f t="shared" si="518"/>
        <v>0</v>
      </c>
      <c r="AD461" s="18" t="b">
        <f t="shared" si="519"/>
        <v>0</v>
      </c>
      <c r="AE461" s="18" t="b">
        <f t="shared" si="586"/>
        <v>0</v>
      </c>
      <c r="AF461" s="17" t="str">
        <f t="shared" si="520"/>
        <v/>
      </c>
      <c r="AG461" s="18" t="str">
        <f t="shared" si="521"/>
        <v/>
      </c>
      <c r="AH461" s="17" t="str">
        <f t="shared" si="587"/>
        <v/>
      </c>
      <c r="AI461" s="297" t="e">
        <f t="shared" si="562"/>
        <v>#VALUE!</v>
      </c>
      <c r="AJ461" s="79" t="e">
        <f t="shared" si="522"/>
        <v>#VALUE!</v>
      </c>
      <c r="AK461" s="17" t="str">
        <f t="shared" si="588"/>
        <v/>
      </c>
      <c r="AL461" s="80" t="e">
        <f t="shared" si="523"/>
        <v>#VALUE!</v>
      </c>
      <c r="AM461" s="139" t="b">
        <f t="shared" si="524"/>
        <v>1</v>
      </c>
      <c r="AN461" s="139" t="b">
        <f>AND(COUNTA(E461)&gt;0,ISNUMBER(F461),OR(COUNT(G461:H461)=0,COUNT(G461:H461)=2,AND(ISNUMBER(G461),ISNUMBER(VALUE(LEFT(H461,SUM(LEN(H461)-LEN(SUBSTITUTE(H461,{"0","1","2","3","4","5","6","7","8","9","."},"")))))))),ISNUMBER(I461),ISTEXT(J461))</f>
        <v>0</v>
      </c>
      <c r="AO461" s="19" t="b">
        <f t="shared" si="525"/>
        <v>0</v>
      </c>
      <c r="AP461" s="19" t="b">
        <f t="shared" si="526"/>
        <v>1</v>
      </c>
      <c r="AQ461" s="19" t="b">
        <f>IF(AND(COUNTBLANK(E461:J461)=6,OR(AN462:AN$523)),NOT(AN461))</f>
        <v>0</v>
      </c>
      <c r="AR461" s="19" t="str">
        <f t="shared" si="527"/>
        <v/>
      </c>
      <c r="AS461" s="19" t="b">
        <f t="shared" si="528"/>
        <v>1</v>
      </c>
      <c r="AT461" s="19" t="str">
        <f t="shared" si="529"/>
        <v/>
      </c>
      <c r="AU461" s="19" t="b">
        <f t="shared" si="530"/>
        <v>1</v>
      </c>
      <c r="AV461" s="140" t="str">
        <f t="shared" si="570"/>
        <v/>
      </c>
      <c r="AW461" s="19" t="str">
        <f t="shared" si="531"/>
        <v/>
      </c>
      <c r="AX461" s="81">
        <f t="shared" si="532"/>
        <v>0</v>
      </c>
      <c r="AY461" s="81" t="str">
        <f t="shared" si="533"/>
        <v/>
      </c>
      <c r="AZ461" s="307" t="str">
        <f t="shared" si="563"/>
        <v/>
      </c>
      <c r="BA461" s="281" t="str">
        <f t="shared" si="571"/>
        <v/>
      </c>
      <c r="BB461" s="281" t="str">
        <f t="shared" si="572"/>
        <v/>
      </c>
      <c r="BC461" s="953"/>
      <c r="BD461" s="955"/>
      <c r="BE461" s="219" t="str">
        <f t="shared" si="534"/>
        <v>n/a</v>
      </c>
      <c r="BF461" s="215" t="b">
        <f t="shared" si="535"/>
        <v>0</v>
      </c>
      <c r="BG461" s="145" t="b">
        <f t="shared" si="536"/>
        <v>0</v>
      </c>
      <c r="BH461" s="145" t="b">
        <f t="shared" si="537"/>
        <v>0</v>
      </c>
      <c r="BI461" s="216" t="b">
        <f t="shared" si="538"/>
        <v>0</v>
      </c>
      <c r="BJ461" s="215" t="b">
        <f t="shared" si="539"/>
        <v>0</v>
      </c>
      <c r="BK461" s="145" t="b">
        <f t="shared" si="540"/>
        <v>0</v>
      </c>
      <c r="BL461" s="216" t="b">
        <f t="shared" si="541"/>
        <v>0</v>
      </c>
      <c r="BM461" s="217" t="str">
        <f t="shared" si="573"/>
        <v/>
      </c>
      <c r="BN461" s="146" t="str">
        <f t="shared" si="574"/>
        <v/>
      </c>
      <c r="BO461" s="147" t="str">
        <f t="shared" si="575"/>
        <v/>
      </c>
      <c r="BP461" s="148" t="str">
        <f t="shared" si="576"/>
        <v/>
      </c>
      <c r="BT461" s="50">
        <f t="shared" si="596"/>
        <v>438</v>
      </c>
      <c r="BU461" s="50" t="str">
        <f t="shared" si="592"/>
        <v>-</v>
      </c>
      <c r="BW461" s="333"/>
      <c r="BX461" s="333"/>
      <c r="BY461" s="333"/>
      <c r="BZ461" s="333"/>
      <c r="CA461" s="333"/>
      <c r="CB461" s="333"/>
      <c r="CC461" s="333"/>
      <c r="CD461" s="333"/>
      <c r="CE461" s="333"/>
      <c r="CF461" s="333"/>
      <c r="CG461" s="354">
        <f t="shared" si="542"/>
        <v>438</v>
      </c>
      <c r="CH461" s="613">
        <f t="shared" si="543"/>
        <v>0</v>
      </c>
      <c r="CI461" s="613">
        <f t="shared" si="544"/>
        <v>0</v>
      </c>
      <c r="CJ461" s="614" t="str">
        <f t="shared" si="545"/>
        <v/>
      </c>
      <c r="CK461" s="615" t="str">
        <f t="shared" si="546"/>
        <v/>
      </c>
      <c r="CL461" s="610" t="str">
        <f>IF(ISBLANK(H461),"",IF(AND(ISNUMBER(F461),ISNUMBER(G461),ISNUMBER(H461)),ROUND(F461/(H461*G461),2),ROUND(F461/(VALUE(LEFT(H461,SUM(LEN(H461)-LEN(SUBSTITUTE(H461,{"0","1","2","3","4","5","6","7","8","9","."},"")))))*G461),2)))</f>
        <v/>
      </c>
      <c r="CM461" s="616" t="str">
        <f t="shared" si="577"/>
        <v/>
      </c>
      <c r="CN461" s="616" t="str">
        <f>IF(ISNUMBER(P461),MAX('Adjustment factors'!$S$16,(0.2+0.8*P461)),IF(ISTEXT(N461),VLOOKUP(N461,Afactors,2,FALSE),""))</f>
        <v/>
      </c>
      <c r="CO461" s="616" t="str">
        <f>IF(ISNUMBER(S461),MAX('Adjustment factors'!$S$16,0.2+0.8*S461),IF(ISTEXT(Q461),VLOOKUP(Q461,Afactors,2,FALSE),""))</f>
        <v/>
      </c>
      <c r="CP461" s="611" t="str">
        <f t="shared" si="564"/>
        <v/>
      </c>
      <c r="CQ461" s="612" t="str">
        <f t="shared" si="565"/>
        <v/>
      </c>
      <c r="CR461" s="340"/>
      <c r="CS461" s="340"/>
      <c r="CT461" s="340"/>
      <c r="CU461" s="340"/>
      <c r="CV461" s="333"/>
      <c r="CW461" s="333"/>
      <c r="CX461" s="333"/>
      <c r="CY461" s="333"/>
      <c r="DA461" s="313" t="str">
        <f t="shared" si="547"/>
        <v>OK</v>
      </c>
      <c r="DB461" s="313" t="str">
        <f t="shared" si="548"/>
        <v>OK</v>
      </c>
      <c r="DC461" s="313" t="str">
        <f t="shared" si="549"/>
        <v>OK</v>
      </c>
      <c r="DD461" s="313" t="str">
        <f t="shared" si="550"/>
        <v>OK</v>
      </c>
      <c r="DE461" s="153" t="str">
        <f t="shared" si="551"/>
        <v>OK</v>
      </c>
      <c r="DF461" s="314" t="str">
        <f t="shared" si="552"/>
        <v>OK</v>
      </c>
      <c r="DG461" s="482" t="str">
        <f t="shared" si="566"/>
        <v>OK</v>
      </c>
      <c r="DH461" s="482" t="str">
        <f>IF(OR(AND(T461='Adjustment factors'!$R$28,'Class 3, 5-9'!U461='Adjustment factors'!$R$29),AND('Class 3, 5-9'!T461='Adjustment factors'!$R$29,'Class 3, 5-9'!U461='Adjustment factors'!$R$28)),"Invalid combination of adjustment factors",IF(AND(T461=U461,NOT(ISBLANK(T461)),NOT(ISBLANK(U461))),"Same colour factor selected twice","OK"))</f>
        <v>OK</v>
      </c>
      <c r="DI461" s="313" t="str">
        <f t="shared" si="553"/>
        <v>OK</v>
      </c>
      <c r="DJ461" s="153" t="str">
        <f t="shared" si="578"/>
        <v>OK</v>
      </c>
      <c r="DK461" s="153" t="str">
        <f t="shared" si="554"/>
        <v>OK</v>
      </c>
      <c r="DL461" s="313" t="str">
        <f t="shared" si="555"/>
        <v>OK</v>
      </c>
      <c r="DM461" s="153" t="str">
        <f t="shared" si="556"/>
        <v>OK</v>
      </c>
      <c r="DN461" s="153" t="str">
        <f t="shared" si="579"/>
        <v>OK</v>
      </c>
      <c r="DO461" s="154" t="str">
        <f t="shared" si="580"/>
        <v>OK</v>
      </c>
      <c r="DP461" s="153" t="str">
        <f t="shared" si="557"/>
        <v>OK</v>
      </c>
      <c r="DQ461" s="313" t="str">
        <f t="shared" si="558"/>
        <v>OK</v>
      </c>
      <c r="DR461" s="153" t="str">
        <f t="shared" si="581"/>
        <v>OK</v>
      </c>
      <c r="DS461" s="153" t="str">
        <f t="shared" si="559"/>
        <v>OK</v>
      </c>
      <c r="DT461" s="313" t="str">
        <f t="shared" si="594"/>
        <v>OK</v>
      </c>
      <c r="DU461" s="153" t="str">
        <f t="shared" si="560"/>
        <v>OK</v>
      </c>
      <c r="DV461" s="153" t="str">
        <f t="shared" si="582"/>
        <v>OK</v>
      </c>
      <c r="DW461" s="154" t="str">
        <f t="shared" si="583"/>
        <v>OK</v>
      </c>
      <c r="DX461" s="157">
        <f t="shared" si="584"/>
        <v>0</v>
      </c>
      <c r="DY461" s="156" t="str">
        <f t="shared" si="585"/>
        <v>OK</v>
      </c>
    </row>
    <row r="462" spans="1:129" ht="13" hidden="1" x14ac:dyDescent="0.3">
      <c r="A462" s="333"/>
      <c r="B462" s="333"/>
      <c r="C462" s="331" t="str">
        <f t="shared" si="593"/>
        <v>-</v>
      </c>
      <c r="D462" s="584">
        <f t="shared" ref="D462:D520" si="597">D461+1</f>
        <v>439</v>
      </c>
      <c r="E462" s="585"/>
      <c r="F462" s="586"/>
      <c r="G462" s="600"/>
      <c r="H462" s="587"/>
      <c r="I462" s="601"/>
      <c r="J462" s="585"/>
      <c r="K462" s="617"/>
      <c r="L462" s="602"/>
      <c r="M462" s="603"/>
      <c r="N462" s="588"/>
      <c r="O462" s="604"/>
      <c r="P462" s="605"/>
      <c r="Q462" s="588"/>
      <c r="R462" s="604"/>
      <c r="S462" s="605"/>
      <c r="T462" s="606"/>
      <c r="U462" s="606"/>
      <c r="V462" s="429" t="str">
        <f t="shared" si="590"/>
        <v/>
      </c>
      <c r="W462" s="430" t="str">
        <f t="shared" si="589"/>
        <v/>
      </c>
      <c r="X462" s="66" t="str">
        <f>IF(AND(ISNUMBER(P462),N462=FixedDim),MAX('Adjustment factors'!$S$16,0.2+0.8*P462),IF(ISTEXT(N462),VLOOKUP(N462,Afactors,2,TRUE),""))</f>
        <v/>
      </c>
      <c r="Y462" s="17" t="str">
        <f>IF(AND(ISNUMBER(S462),Q462=FixedDim),MAX('Adjustment factors'!$S$16,0.2+0.8*S462),IF(ISTEXT(Q462),VLOOKUP(Q462,Afactors,2,TRUE),""))</f>
        <v/>
      </c>
      <c r="Z462" s="297" t="str">
        <f>IF(ISBLANK(T462),"",VLOOKUP(T462,'Adjustment factors'!$R$27:$S$30,2,TRUE))</f>
        <v/>
      </c>
      <c r="AA462" s="297" t="str">
        <f>IF(ISBLANK(U462),"",VLOOKUP(U462,'Adjustment factors'!$R$27:$S$30,2,TRUE))</f>
        <v/>
      </c>
      <c r="AB462" s="480">
        <f t="shared" si="561"/>
        <v>1</v>
      </c>
      <c r="AC462" s="18" t="b">
        <f t="shared" si="518"/>
        <v>0</v>
      </c>
      <c r="AD462" s="18" t="b">
        <f t="shared" si="519"/>
        <v>0</v>
      </c>
      <c r="AE462" s="18" t="b">
        <f t="shared" si="586"/>
        <v>0</v>
      </c>
      <c r="AF462" s="17" t="str">
        <f t="shared" si="520"/>
        <v/>
      </c>
      <c r="AG462" s="18" t="str">
        <f t="shared" si="521"/>
        <v/>
      </c>
      <c r="AH462" s="17" t="str">
        <f t="shared" si="587"/>
        <v/>
      </c>
      <c r="AI462" s="297" t="e">
        <f t="shared" si="562"/>
        <v>#VALUE!</v>
      </c>
      <c r="AJ462" s="79" t="e">
        <f t="shared" si="522"/>
        <v>#VALUE!</v>
      </c>
      <c r="AK462" s="17" t="str">
        <f t="shared" si="588"/>
        <v/>
      </c>
      <c r="AL462" s="80" t="e">
        <f t="shared" si="523"/>
        <v>#VALUE!</v>
      </c>
      <c r="AM462" s="139" t="b">
        <f t="shared" si="524"/>
        <v>1</v>
      </c>
      <c r="AN462" s="139" t="b">
        <f>AND(COUNTA(E462)&gt;0,ISNUMBER(F462),OR(COUNT(G462:H462)=0,COUNT(G462:H462)=2,AND(ISNUMBER(G462),ISNUMBER(VALUE(LEFT(H462,SUM(LEN(H462)-LEN(SUBSTITUTE(H462,{"0","1","2","3","4","5","6","7","8","9","."},"")))))))),ISNUMBER(I462),ISTEXT(J462))</f>
        <v>0</v>
      </c>
      <c r="AO462" s="19" t="b">
        <f t="shared" si="525"/>
        <v>0</v>
      </c>
      <c r="AP462" s="19" t="b">
        <f t="shared" si="526"/>
        <v>1</v>
      </c>
      <c r="AQ462" s="19" t="b">
        <f>IF(AND(COUNTBLANK(E462:J462)=6,OR(AN463:AN$523)),NOT(AN462))</f>
        <v>0</v>
      </c>
      <c r="AR462" s="19" t="str">
        <f t="shared" si="527"/>
        <v/>
      </c>
      <c r="AS462" s="19" t="b">
        <f t="shared" si="528"/>
        <v>1</v>
      </c>
      <c r="AT462" s="19" t="str">
        <f t="shared" si="529"/>
        <v/>
      </c>
      <c r="AU462" s="19" t="b">
        <f t="shared" si="530"/>
        <v>1</v>
      </c>
      <c r="AV462" s="140" t="str">
        <f t="shared" si="570"/>
        <v/>
      </c>
      <c r="AW462" s="19" t="str">
        <f t="shared" si="531"/>
        <v/>
      </c>
      <c r="AX462" s="81">
        <f t="shared" si="532"/>
        <v>0</v>
      </c>
      <c r="AY462" s="81" t="str">
        <f t="shared" si="533"/>
        <v/>
      </c>
      <c r="AZ462" s="307" t="str">
        <f t="shared" si="563"/>
        <v/>
      </c>
      <c r="BA462" s="281" t="str">
        <f t="shared" si="571"/>
        <v/>
      </c>
      <c r="BB462" s="281" t="str">
        <f t="shared" si="572"/>
        <v/>
      </c>
      <c r="BC462" s="953"/>
      <c r="BD462" s="955"/>
      <c r="BE462" s="219" t="str">
        <f t="shared" si="534"/>
        <v>n/a</v>
      </c>
      <c r="BF462" s="215" t="b">
        <f t="shared" si="535"/>
        <v>0</v>
      </c>
      <c r="BG462" s="145" t="b">
        <f t="shared" si="536"/>
        <v>0</v>
      </c>
      <c r="BH462" s="145" t="b">
        <f t="shared" si="537"/>
        <v>0</v>
      </c>
      <c r="BI462" s="216" t="b">
        <f t="shared" si="538"/>
        <v>0</v>
      </c>
      <c r="BJ462" s="215" t="b">
        <f t="shared" si="539"/>
        <v>0</v>
      </c>
      <c r="BK462" s="145" t="b">
        <f t="shared" si="540"/>
        <v>0</v>
      </c>
      <c r="BL462" s="216" t="b">
        <f t="shared" si="541"/>
        <v>0</v>
      </c>
      <c r="BM462" s="217" t="str">
        <f t="shared" si="573"/>
        <v/>
      </c>
      <c r="BN462" s="146" t="str">
        <f t="shared" si="574"/>
        <v/>
      </c>
      <c r="BO462" s="147" t="str">
        <f t="shared" si="575"/>
        <v/>
      </c>
      <c r="BP462" s="148" t="str">
        <f t="shared" si="576"/>
        <v/>
      </c>
      <c r="BT462" s="50">
        <f t="shared" si="596"/>
        <v>439</v>
      </c>
      <c r="BU462" s="50" t="str">
        <f t="shared" si="592"/>
        <v>-</v>
      </c>
      <c r="BW462" s="333"/>
      <c r="BX462" s="333"/>
      <c r="BY462" s="333"/>
      <c r="BZ462" s="333"/>
      <c r="CA462" s="333"/>
      <c r="CB462" s="333"/>
      <c r="CC462" s="333"/>
      <c r="CD462" s="333"/>
      <c r="CE462" s="333"/>
      <c r="CF462" s="333"/>
      <c r="CG462" s="354">
        <f t="shared" si="542"/>
        <v>439</v>
      </c>
      <c r="CH462" s="613">
        <f t="shared" si="543"/>
        <v>0</v>
      </c>
      <c r="CI462" s="613">
        <f t="shared" si="544"/>
        <v>0</v>
      </c>
      <c r="CJ462" s="614" t="str">
        <f t="shared" si="545"/>
        <v/>
      </c>
      <c r="CK462" s="615" t="str">
        <f t="shared" si="546"/>
        <v/>
      </c>
      <c r="CL462" s="610" t="str">
        <f>IF(ISBLANK(H462),"",IF(AND(ISNUMBER(F462),ISNUMBER(G462),ISNUMBER(H462)),ROUND(F462/(H462*G462),2),ROUND(F462/(VALUE(LEFT(H462,SUM(LEN(H462)-LEN(SUBSTITUTE(H462,{"0","1","2","3","4","5","6","7","8","9","."},"")))))*G462),2)))</f>
        <v/>
      </c>
      <c r="CM462" s="616" t="str">
        <f t="shared" si="577"/>
        <v/>
      </c>
      <c r="CN462" s="616" t="str">
        <f>IF(ISNUMBER(P462),MAX('Adjustment factors'!$S$16,(0.2+0.8*P462)),IF(ISTEXT(N462),VLOOKUP(N462,Afactors,2,FALSE),""))</f>
        <v/>
      </c>
      <c r="CO462" s="616" t="str">
        <f>IF(ISNUMBER(S462),MAX('Adjustment factors'!$S$16,0.2+0.8*S462),IF(ISTEXT(Q462),VLOOKUP(Q462,Afactors,2,FALSE),""))</f>
        <v/>
      </c>
      <c r="CP462" s="611" t="str">
        <f t="shared" si="564"/>
        <v/>
      </c>
      <c r="CQ462" s="612" t="str">
        <f t="shared" si="565"/>
        <v/>
      </c>
      <c r="CR462" s="340"/>
      <c r="CS462" s="340"/>
      <c r="CT462" s="340"/>
      <c r="CU462" s="340"/>
      <c r="CV462" s="333"/>
      <c r="CW462" s="333"/>
      <c r="CX462" s="333"/>
      <c r="CY462" s="333"/>
      <c r="DA462" s="313" t="str">
        <f t="shared" si="547"/>
        <v>OK</v>
      </c>
      <c r="DB462" s="313" t="str">
        <f t="shared" si="548"/>
        <v>OK</v>
      </c>
      <c r="DC462" s="313" t="str">
        <f t="shared" si="549"/>
        <v>OK</v>
      </c>
      <c r="DD462" s="313" t="str">
        <f t="shared" si="550"/>
        <v>OK</v>
      </c>
      <c r="DE462" s="153" t="str">
        <f t="shared" si="551"/>
        <v>OK</v>
      </c>
      <c r="DF462" s="314" t="str">
        <f t="shared" si="552"/>
        <v>OK</v>
      </c>
      <c r="DG462" s="482" t="str">
        <f t="shared" si="566"/>
        <v>OK</v>
      </c>
      <c r="DH462" s="482" t="str">
        <f>IF(OR(AND(T462='Adjustment factors'!$R$28,'Class 3, 5-9'!U462='Adjustment factors'!$R$29),AND('Class 3, 5-9'!T462='Adjustment factors'!$R$29,'Class 3, 5-9'!U462='Adjustment factors'!$R$28)),"Invalid combination of adjustment factors",IF(AND(T462=U462,NOT(ISBLANK(T462)),NOT(ISBLANK(U462))),"Same colour factor selected twice","OK"))</f>
        <v>OK</v>
      </c>
      <c r="DI462" s="313" t="str">
        <f t="shared" si="553"/>
        <v>OK</v>
      </c>
      <c r="DJ462" s="153" t="str">
        <f t="shared" si="578"/>
        <v>OK</v>
      </c>
      <c r="DK462" s="153" t="str">
        <f t="shared" si="554"/>
        <v>OK</v>
      </c>
      <c r="DL462" s="313" t="str">
        <f t="shared" si="555"/>
        <v>OK</v>
      </c>
      <c r="DM462" s="153" t="str">
        <f t="shared" si="556"/>
        <v>OK</v>
      </c>
      <c r="DN462" s="153" t="str">
        <f t="shared" si="579"/>
        <v>OK</v>
      </c>
      <c r="DO462" s="154" t="str">
        <f t="shared" si="580"/>
        <v>OK</v>
      </c>
      <c r="DP462" s="153" t="str">
        <f t="shared" si="557"/>
        <v>OK</v>
      </c>
      <c r="DQ462" s="313" t="str">
        <f t="shared" si="558"/>
        <v>OK</v>
      </c>
      <c r="DR462" s="153" t="str">
        <f t="shared" si="581"/>
        <v>OK</v>
      </c>
      <c r="DS462" s="153" t="str">
        <f t="shared" si="559"/>
        <v>OK</v>
      </c>
      <c r="DT462" s="313" t="str">
        <f t="shared" si="594"/>
        <v>OK</v>
      </c>
      <c r="DU462" s="153" t="str">
        <f t="shared" si="560"/>
        <v>OK</v>
      </c>
      <c r="DV462" s="153" t="str">
        <f t="shared" si="582"/>
        <v>OK</v>
      </c>
      <c r="DW462" s="154" t="str">
        <f t="shared" si="583"/>
        <v>OK</v>
      </c>
      <c r="DX462" s="157">
        <f t="shared" si="584"/>
        <v>0</v>
      </c>
      <c r="DY462" s="156" t="str">
        <f t="shared" si="585"/>
        <v>OK</v>
      </c>
    </row>
    <row r="463" spans="1:129" ht="13" hidden="1" x14ac:dyDescent="0.3">
      <c r="A463" s="333"/>
      <c r="B463" s="333"/>
      <c r="C463" s="332" t="str">
        <f t="shared" si="593"/>
        <v>-</v>
      </c>
      <c r="D463" s="584">
        <f t="shared" si="597"/>
        <v>440</v>
      </c>
      <c r="E463" s="585"/>
      <c r="F463" s="586"/>
      <c r="G463" s="600"/>
      <c r="H463" s="587"/>
      <c r="I463" s="601"/>
      <c r="J463" s="585"/>
      <c r="K463" s="617"/>
      <c r="L463" s="602"/>
      <c r="M463" s="603"/>
      <c r="N463" s="588"/>
      <c r="O463" s="604"/>
      <c r="P463" s="605"/>
      <c r="Q463" s="588"/>
      <c r="R463" s="604"/>
      <c r="S463" s="605"/>
      <c r="T463" s="606"/>
      <c r="U463" s="606"/>
      <c r="V463" s="429" t="str">
        <f t="shared" si="590"/>
        <v/>
      </c>
      <c r="W463" s="430" t="str">
        <f t="shared" si="589"/>
        <v/>
      </c>
      <c r="X463" s="66" t="str">
        <f>IF(AND(ISNUMBER(P463),N463=FixedDim),MAX('Adjustment factors'!$S$16,0.2+0.8*P463),IF(ISTEXT(N463),VLOOKUP(N463,Afactors,2,TRUE),""))</f>
        <v/>
      </c>
      <c r="Y463" s="17" t="str">
        <f>IF(AND(ISNUMBER(S463),Q463=FixedDim),MAX('Adjustment factors'!$S$16,0.2+0.8*S463),IF(ISTEXT(Q463),VLOOKUP(Q463,Afactors,2,TRUE),""))</f>
        <v/>
      </c>
      <c r="Z463" s="297" t="str">
        <f>IF(ISBLANK(T463),"",VLOOKUP(T463,'Adjustment factors'!$R$27:$S$30,2,TRUE))</f>
        <v/>
      </c>
      <c r="AA463" s="297" t="str">
        <f>IF(ISBLANK(U463),"",VLOOKUP(U463,'Adjustment factors'!$R$27:$S$30,2,TRUE))</f>
        <v/>
      </c>
      <c r="AB463" s="480">
        <f t="shared" si="561"/>
        <v>1</v>
      </c>
      <c r="AC463" s="18" t="b">
        <f t="shared" si="518"/>
        <v>0</v>
      </c>
      <c r="AD463" s="18" t="b">
        <f t="shared" si="519"/>
        <v>0</v>
      </c>
      <c r="AE463" s="18" t="b">
        <f t="shared" si="586"/>
        <v>0</v>
      </c>
      <c r="AF463" s="17" t="str">
        <f t="shared" si="520"/>
        <v/>
      </c>
      <c r="AG463" s="18" t="str">
        <f t="shared" si="521"/>
        <v/>
      </c>
      <c r="AH463" s="17" t="str">
        <f t="shared" si="587"/>
        <v/>
      </c>
      <c r="AI463" s="297" t="e">
        <f t="shared" si="562"/>
        <v>#VALUE!</v>
      </c>
      <c r="AJ463" s="79" t="e">
        <f t="shared" si="522"/>
        <v>#VALUE!</v>
      </c>
      <c r="AK463" s="17" t="str">
        <f t="shared" si="588"/>
        <v/>
      </c>
      <c r="AL463" s="80" t="e">
        <f t="shared" si="523"/>
        <v>#VALUE!</v>
      </c>
      <c r="AM463" s="139" t="b">
        <f t="shared" si="524"/>
        <v>1</v>
      </c>
      <c r="AN463" s="139" t="b">
        <f>AND(COUNTA(E463)&gt;0,ISNUMBER(F463),OR(COUNT(G463:H463)=0,COUNT(G463:H463)=2,AND(ISNUMBER(G463),ISNUMBER(VALUE(LEFT(H463,SUM(LEN(H463)-LEN(SUBSTITUTE(H463,{"0","1","2","3","4","5","6","7","8","9","."},"")))))))),ISNUMBER(I463),ISTEXT(J463))</f>
        <v>0</v>
      </c>
      <c r="AO463" s="19" t="b">
        <f t="shared" si="525"/>
        <v>0</v>
      </c>
      <c r="AP463" s="19" t="b">
        <f t="shared" si="526"/>
        <v>1</v>
      </c>
      <c r="AQ463" s="19" t="b">
        <f>IF(AND(COUNTBLANK(E463:J463)=6,OR(AN464:AN$523)),NOT(AN463))</f>
        <v>0</v>
      </c>
      <c r="AR463" s="19" t="str">
        <f t="shared" si="527"/>
        <v/>
      </c>
      <c r="AS463" s="19" t="b">
        <f t="shared" si="528"/>
        <v>1</v>
      </c>
      <c r="AT463" s="19" t="str">
        <f t="shared" si="529"/>
        <v/>
      </c>
      <c r="AU463" s="19" t="b">
        <f t="shared" si="530"/>
        <v>1</v>
      </c>
      <c r="AV463" s="140" t="str">
        <f t="shared" si="570"/>
        <v/>
      </c>
      <c r="AW463" s="19" t="str">
        <f t="shared" si="531"/>
        <v/>
      </c>
      <c r="AX463" s="81">
        <f t="shared" si="532"/>
        <v>0</v>
      </c>
      <c r="AY463" s="81" t="str">
        <f t="shared" si="533"/>
        <v/>
      </c>
      <c r="AZ463" s="307" t="str">
        <f t="shared" si="563"/>
        <v/>
      </c>
      <c r="BA463" s="281" t="str">
        <f t="shared" si="571"/>
        <v/>
      </c>
      <c r="BB463" s="281" t="str">
        <f t="shared" si="572"/>
        <v/>
      </c>
      <c r="BC463" s="953"/>
      <c r="BD463" s="955"/>
      <c r="BE463" s="219" t="str">
        <f t="shared" si="534"/>
        <v>n/a</v>
      </c>
      <c r="BF463" s="215" t="b">
        <f t="shared" si="535"/>
        <v>0</v>
      </c>
      <c r="BG463" s="145" t="b">
        <f t="shared" si="536"/>
        <v>0</v>
      </c>
      <c r="BH463" s="145" t="b">
        <f t="shared" si="537"/>
        <v>0</v>
      </c>
      <c r="BI463" s="216" t="b">
        <f t="shared" si="538"/>
        <v>0</v>
      </c>
      <c r="BJ463" s="215" t="b">
        <f t="shared" si="539"/>
        <v>0</v>
      </c>
      <c r="BK463" s="145" t="b">
        <f t="shared" si="540"/>
        <v>0</v>
      </c>
      <c r="BL463" s="216" t="b">
        <f t="shared" si="541"/>
        <v>0</v>
      </c>
      <c r="BM463" s="217" t="str">
        <f t="shared" si="573"/>
        <v/>
      </c>
      <c r="BN463" s="146" t="str">
        <f t="shared" si="574"/>
        <v/>
      </c>
      <c r="BO463" s="147" t="str">
        <f t="shared" si="575"/>
        <v/>
      </c>
      <c r="BP463" s="148" t="str">
        <f t="shared" si="576"/>
        <v/>
      </c>
      <c r="BT463" s="50">
        <f t="shared" si="596"/>
        <v>440</v>
      </c>
      <c r="BU463" s="50" t="str">
        <f t="shared" si="592"/>
        <v>-</v>
      </c>
      <c r="BW463" s="333"/>
      <c r="BX463" s="333"/>
      <c r="BY463" s="333"/>
      <c r="BZ463" s="333"/>
      <c r="CA463" s="333"/>
      <c r="CB463" s="333"/>
      <c r="CC463" s="333"/>
      <c r="CD463" s="333"/>
      <c r="CE463" s="333"/>
      <c r="CF463" s="333"/>
      <c r="CG463" s="354">
        <f t="shared" si="542"/>
        <v>440</v>
      </c>
      <c r="CH463" s="613">
        <f t="shared" si="543"/>
        <v>0</v>
      </c>
      <c r="CI463" s="613">
        <f t="shared" si="544"/>
        <v>0</v>
      </c>
      <c r="CJ463" s="614" t="str">
        <f t="shared" si="545"/>
        <v/>
      </c>
      <c r="CK463" s="615" t="str">
        <f t="shared" si="546"/>
        <v/>
      </c>
      <c r="CL463" s="610" t="str">
        <f>IF(ISBLANK(H463),"",IF(AND(ISNUMBER(F463),ISNUMBER(G463),ISNUMBER(H463)),ROUND(F463/(H463*G463),2),ROUND(F463/(VALUE(LEFT(H463,SUM(LEN(H463)-LEN(SUBSTITUTE(H463,{"0","1","2","3","4","5","6","7","8","9","."},"")))))*G463),2)))</f>
        <v/>
      </c>
      <c r="CM463" s="616" t="str">
        <f t="shared" si="577"/>
        <v/>
      </c>
      <c r="CN463" s="616" t="str">
        <f>IF(ISNUMBER(P463),MAX('Adjustment factors'!$S$16,(0.2+0.8*P463)),IF(ISTEXT(N463),VLOOKUP(N463,Afactors,2,FALSE),""))</f>
        <v/>
      </c>
      <c r="CO463" s="616" t="str">
        <f>IF(ISNUMBER(S463),MAX('Adjustment factors'!$S$16,0.2+0.8*S463),IF(ISTEXT(Q463),VLOOKUP(Q463,Afactors,2,FALSE),""))</f>
        <v/>
      </c>
      <c r="CP463" s="611" t="str">
        <f t="shared" si="564"/>
        <v/>
      </c>
      <c r="CQ463" s="612" t="str">
        <f t="shared" si="565"/>
        <v/>
      </c>
      <c r="CR463" s="340"/>
      <c r="CS463" s="340"/>
      <c r="CT463" s="340"/>
      <c r="CU463" s="340"/>
      <c r="CV463" s="333"/>
      <c r="CW463" s="333"/>
      <c r="CX463" s="333"/>
      <c r="CY463" s="333"/>
      <c r="DA463" s="313" t="str">
        <f t="shared" si="547"/>
        <v>OK</v>
      </c>
      <c r="DB463" s="313" t="str">
        <f t="shared" si="548"/>
        <v>OK</v>
      </c>
      <c r="DC463" s="313" t="str">
        <f t="shared" si="549"/>
        <v>OK</v>
      </c>
      <c r="DD463" s="313" t="str">
        <f t="shared" si="550"/>
        <v>OK</v>
      </c>
      <c r="DE463" s="153" t="str">
        <f t="shared" si="551"/>
        <v>OK</v>
      </c>
      <c r="DF463" s="314" t="str">
        <f t="shared" si="552"/>
        <v>OK</v>
      </c>
      <c r="DG463" s="482" t="str">
        <f t="shared" si="566"/>
        <v>OK</v>
      </c>
      <c r="DH463" s="482" t="str">
        <f>IF(OR(AND(T463='Adjustment factors'!$R$28,'Class 3, 5-9'!U463='Adjustment factors'!$R$29),AND('Class 3, 5-9'!T463='Adjustment factors'!$R$29,'Class 3, 5-9'!U463='Adjustment factors'!$R$28)),"Invalid combination of adjustment factors",IF(AND(T463=U463,NOT(ISBLANK(T463)),NOT(ISBLANK(U463))),"Same colour factor selected twice","OK"))</f>
        <v>OK</v>
      </c>
      <c r="DI463" s="313" t="str">
        <f t="shared" si="553"/>
        <v>OK</v>
      </c>
      <c r="DJ463" s="153" t="str">
        <f t="shared" si="578"/>
        <v>OK</v>
      </c>
      <c r="DK463" s="153" t="str">
        <f t="shared" si="554"/>
        <v>OK</v>
      </c>
      <c r="DL463" s="313" t="str">
        <f t="shared" si="555"/>
        <v>OK</v>
      </c>
      <c r="DM463" s="153" t="str">
        <f t="shared" si="556"/>
        <v>OK</v>
      </c>
      <c r="DN463" s="153" t="str">
        <f t="shared" si="579"/>
        <v>OK</v>
      </c>
      <c r="DO463" s="154" t="str">
        <f t="shared" si="580"/>
        <v>OK</v>
      </c>
      <c r="DP463" s="153" t="str">
        <f t="shared" si="557"/>
        <v>OK</v>
      </c>
      <c r="DQ463" s="313" t="str">
        <f t="shared" si="558"/>
        <v>OK</v>
      </c>
      <c r="DR463" s="153" t="str">
        <f t="shared" si="581"/>
        <v>OK</v>
      </c>
      <c r="DS463" s="153" t="str">
        <f t="shared" si="559"/>
        <v>OK</v>
      </c>
      <c r="DT463" s="313" t="str">
        <f t="shared" si="594"/>
        <v>OK</v>
      </c>
      <c r="DU463" s="153" t="str">
        <f t="shared" si="560"/>
        <v>OK</v>
      </c>
      <c r="DV463" s="153" t="str">
        <f t="shared" si="582"/>
        <v>OK</v>
      </c>
      <c r="DW463" s="154" t="str">
        <f t="shared" si="583"/>
        <v>OK</v>
      </c>
      <c r="DX463" s="157">
        <f t="shared" si="584"/>
        <v>0</v>
      </c>
      <c r="DY463" s="156" t="str">
        <f t="shared" si="585"/>
        <v>OK</v>
      </c>
    </row>
    <row r="464" spans="1:129" ht="13" hidden="1" x14ac:dyDescent="0.3">
      <c r="A464" s="333"/>
      <c r="B464" s="333"/>
      <c r="C464" s="332" t="str">
        <f t="shared" si="593"/>
        <v>-</v>
      </c>
      <c r="D464" s="584">
        <f t="shared" si="597"/>
        <v>441</v>
      </c>
      <c r="E464" s="585"/>
      <c r="F464" s="586"/>
      <c r="G464" s="600"/>
      <c r="H464" s="587"/>
      <c r="I464" s="601"/>
      <c r="J464" s="585"/>
      <c r="K464" s="617"/>
      <c r="L464" s="602"/>
      <c r="M464" s="603"/>
      <c r="N464" s="588"/>
      <c r="O464" s="604"/>
      <c r="P464" s="605"/>
      <c r="Q464" s="588"/>
      <c r="R464" s="604"/>
      <c r="S464" s="605"/>
      <c r="T464" s="606"/>
      <c r="U464" s="606"/>
      <c r="V464" s="429" t="str">
        <f t="shared" si="590"/>
        <v/>
      </c>
      <c r="W464" s="430" t="str">
        <f t="shared" si="589"/>
        <v/>
      </c>
      <c r="X464" s="66" t="str">
        <f>IF(AND(ISNUMBER(P464),N464=FixedDim),MAX('Adjustment factors'!$S$16,0.2+0.8*P464),IF(ISTEXT(N464),VLOOKUP(N464,Afactors,2,TRUE),""))</f>
        <v/>
      </c>
      <c r="Y464" s="17" t="str">
        <f>IF(AND(ISNUMBER(S464),Q464=FixedDim),MAX('Adjustment factors'!$S$16,0.2+0.8*S464),IF(ISTEXT(Q464),VLOOKUP(Q464,Afactors,2,TRUE),""))</f>
        <v/>
      </c>
      <c r="Z464" s="297" t="str">
        <f>IF(ISBLANK(T464),"",VLOOKUP(T464,'Adjustment factors'!$R$27:$S$30,2,TRUE))</f>
        <v/>
      </c>
      <c r="AA464" s="297" t="str">
        <f>IF(ISBLANK(U464),"",VLOOKUP(U464,'Adjustment factors'!$R$27:$S$30,2,TRUE))</f>
        <v/>
      </c>
      <c r="AB464" s="480">
        <f t="shared" si="561"/>
        <v>1</v>
      </c>
      <c r="AC464" s="18" t="b">
        <f t="shared" si="518"/>
        <v>0</v>
      </c>
      <c r="AD464" s="18" t="b">
        <f t="shared" si="519"/>
        <v>0</v>
      </c>
      <c r="AE464" s="18" t="b">
        <f t="shared" si="586"/>
        <v>0</v>
      </c>
      <c r="AF464" s="17" t="str">
        <f t="shared" si="520"/>
        <v/>
      </c>
      <c r="AG464" s="18" t="str">
        <f t="shared" si="521"/>
        <v/>
      </c>
      <c r="AH464" s="17" t="str">
        <f t="shared" si="587"/>
        <v/>
      </c>
      <c r="AI464" s="297" t="e">
        <f t="shared" si="562"/>
        <v>#VALUE!</v>
      </c>
      <c r="AJ464" s="79" t="e">
        <f t="shared" si="522"/>
        <v>#VALUE!</v>
      </c>
      <c r="AK464" s="17" t="str">
        <f t="shared" si="588"/>
        <v/>
      </c>
      <c r="AL464" s="80" t="e">
        <f t="shared" si="523"/>
        <v>#VALUE!</v>
      </c>
      <c r="AM464" s="139" t="b">
        <f t="shared" si="524"/>
        <v>1</v>
      </c>
      <c r="AN464" s="139" t="b">
        <f>AND(COUNTA(E464)&gt;0,ISNUMBER(F464),OR(COUNT(G464:H464)=0,COUNT(G464:H464)=2,AND(ISNUMBER(G464),ISNUMBER(VALUE(LEFT(H464,SUM(LEN(H464)-LEN(SUBSTITUTE(H464,{"0","1","2","3","4","5","6","7","8","9","."},"")))))))),ISNUMBER(I464),ISTEXT(J464))</f>
        <v>0</v>
      </c>
      <c r="AO464" s="19" t="b">
        <f t="shared" si="525"/>
        <v>0</v>
      </c>
      <c r="AP464" s="19" t="b">
        <f t="shared" si="526"/>
        <v>1</v>
      </c>
      <c r="AQ464" s="19" t="b">
        <f>IF(AND(COUNTBLANK(E464:J464)=6,OR(AN465:AN$523)),NOT(AN464))</f>
        <v>0</v>
      </c>
      <c r="AR464" s="19" t="str">
        <f t="shared" si="527"/>
        <v/>
      </c>
      <c r="AS464" s="19" t="b">
        <f t="shared" si="528"/>
        <v>1</v>
      </c>
      <c r="AT464" s="19" t="str">
        <f t="shared" si="529"/>
        <v/>
      </c>
      <c r="AU464" s="19" t="b">
        <f t="shared" si="530"/>
        <v>1</v>
      </c>
      <c r="AV464" s="140" t="str">
        <f t="shared" si="570"/>
        <v/>
      </c>
      <c r="AW464" s="19" t="str">
        <f t="shared" si="531"/>
        <v/>
      </c>
      <c r="AX464" s="81">
        <f t="shared" si="532"/>
        <v>0</v>
      </c>
      <c r="AY464" s="81" t="str">
        <f t="shared" si="533"/>
        <v/>
      </c>
      <c r="AZ464" s="307" t="str">
        <f t="shared" si="563"/>
        <v/>
      </c>
      <c r="BA464" s="281" t="str">
        <f t="shared" si="571"/>
        <v/>
      </c>
      <c r="BB464" s="281" t="str">
        <f t="shared" si="572"/>
        <v/>
      </c>
      <c r="BC464" s="953"/>
      <c r="BD464" s="955"/>
      <c r="BE464" s="219" t="str">
        <f t="shared" si="534"/>
        <v>n/a</v>
      </c>
      <c r="BF464" s="215" t="b">
        <f t="shared" si="535"/>
        <v>0</v>
      </c>
      <c r="BG464" s="145" t="b">
        <f t="shared" si="536"/>
        <v>0</v>
      </c>
      <c r="BH464" s="145" t="b">
        <f t="shared" si="537"/>
        <v>0</v>
      </c>
      <c r="BI464" s="216" t="b">
        <f t="shared" si="538"/>
        <v>0</v>
      </c>
      <c r="BJ464" s="215" t="b">
        <f t="shared" si="539"/>
        <v>0</v>
      </c>
      <c r="BK464" s="145" t="b">
        <f t="shared" si="540"/>
        <v>0</v>
      </c>
      <c r="BL464" s="216" t="b">
        <f t="shared" si="541"/>
        <v>0</v>
      </c>
      <c r="BM464" s="217" t="str">
        <f t="shared" si="573"/>
        <v/>
      </c>
      <c r="BN464" s="146" t="str">
        <f t="shared" si="574"/>
        <v/>
      </c>
      <c r="BO464" s="147" t="str">
        <f t="shared" si="575"/>
        <v/>
      </c>
      <c r="BP464" s="148" t="str">
        <f t="shared" si="576"/>
        <v/>
      </c>
      <c r="BT464" s="50">
        <f t="shared" si="596"/>
        <v>441</v>
      </c>
      <c r="BU464" s="50" t="str">
        <f t="shared" si="592"/>
        <v>-</v>
      </c>
      <c r="BW464" s="340"/>
      <c r="BX464" s="333"/>
      <c r="BY464" s="333"/>
      <c r="BZ464" s="333"/>
      <c r="CA464" s="333"/>
      <c r="CB464" s="333"/>
      <c r="CC464" s="333"/>
      <c r="CD464" s="333"/>
      <c r="CE464" s="333"/>
      <c r="CF464" s="333"/>
      <c r="CG464" s="354">
        <f t="shared" si="542"/>
        <v>441</v>
      </c>
      <c r="CH464" s="613">
        <f t="shared" si="543"/>
        <v>0</v>
      </c>
      <c r="CI464" s="613">
        <f t="shared" si="544"/>
        <v>0</v>
      </c>
      <c r="CJ464" s="614" t="str">
        <f t="shared" si="545"/>
        <v/>
      </c>
      <c r="CK464" s="615" t="str">
        <f t="shared" si="546"/>
        <v/>
      </c>
      <c r="CL464" s="610" t="str">
        <f>IF(ISBLANK(H464),"",IF(AND(ISNUMBER(F464),ISNUMBER(G464),ISNUMBER(H464)),ROUND(F464/(H464*G464),2),ROUND(F464/(VALUE(LEFT(H464,SUM(LEN(H464)-LEN(SUBSTITUTE(H464,{"0","1","2","3","4","5","6","7","8","9","."},"")))))*G464),2)))</f>
        <v/>
      </c>
      <c r="CM464" s="616" t="str">
        <f t="shared" si="577"/>
        <v/>
      </c>
      <c r="CN464" s="616" t="str">
        <f>IF(ISNUMBER(P464),MAX('Adjustment factors'!$S$16,(0.2+0.8*P464)),IF(ISTEXT(N464),VLOOKUP(N464,Afactors,2,FALSE),""))</f>
        <v/>
      </c>
      <c r="CO464" s="616" t="str">
        <f>IF(ISNUMBER(S464),MAX('Adjustment factors'!$S$16,0.2+0.8*S464),IF(ISTEXT(Q464),VLOOKUP(Q464,Afactors,2,FALSE),""))</f>
        <v/>
      </c>
      <c r="CP464" s="611" t="str">
        <f t="shared" si="564"/>
        <v/>
      </c>
      <c r="CQ464" s="612" t="str">
        <f t="shared" si="565"/>
        <v/>
      </c>
      <c r="CR464" s="340"/>
      <c r="CS464" s="340"/>
      <c r="CT464" s="340"/>
      <c r="CU464" s="340"/>
      <c r="CV464" s="333"/>
      <c r="CW464" s="333"/>
      <c r="CX464" s="333"/>
      <c r="CY464" s="333"/>
      <c r="DA464" s="313" t="str">
        <f t="shared" si="547"/>
        <v>OK</v>
      </c>
      <c r="DB464" s="313" t="str">
        <f t="shared" si="548"/>
        <v>OK</v>
      </c>
      <c r="DC464" s="313" t="str">
        <f t="shared" si="549"/>
        <v>OK</v>
      </c>
      <c r="DD464" s="313" t="str">
        <f t="shared" si="550"/>
        <v>OK</v>
      </c>
      <c r="DE464" s="153" t="str">
        <f t="shared" si="551"/>
        <v>OK</v>
      </c>
      <c r="DF464" s="314" t="str">
        <f t="shared" si="552"/>
        <v>OK</v>
      </c>
      <c r="DG464" s="482" t="str">
        <f t="shared" si="566"/>
        <v>OK</v>
      </c>
      <c r="DH464" s="482" t="str">
        <f>IF(OR(AND(T464='Adjustment factors'!$R$28,'Class 3, 5-9'!U464='Adjustment factors'!$R$29),AND('Class 3, 5-9'!T464='Adjustment factors'!$R$29,'Class 3, 5-9'!U464='Adjustment factors'!$R$28)),"Invalid combination of adjustment factors",IF(AND(T464=U464,NOT(ISBLANK(T464)),NOT(ISBLANK(U464))),"Same colour factor selected twice","OK"))</f>
        <v>OK</v>
      </c>
      <c r="DI464" s="313" t="str">
        <f t="shared" si="553"/>
        <v>OK</v>
      </c>
      <c r="DJ464" s="153" t="str">
        <f t="shared" si="578"/>
        <v>OK</v>
      </c>
      <c r="DK464" s="153" t="str">
        <f t="shared" si="554"/>
        <v>OK</v>
      </c>
      <c r="DL464" s="313" t="str">
        <f t="shared" si="555"/>
        <v>OK</v>
      </c>
      <c r="DM464" s="153" t="str">
        <f t="shared" si="556"/>
        <v>OK</v>
      </c>
      <c r="DN464" s="153" t="str">
        <f t="shared" si="579"/>
        <v>OK</v>
      </c>
      <c r="DO464" s="154" t="str">
        <f t="shared" si="580"/>
        <v>OK</v>
      </c>
      <c r="DP464" s="153" t="str">
        <f t="shared" si="557"/>
        <v>OK</v>
      </c>
      <c r="DQ464" s="313" t="str">
        <f t="shared" si="558"/>
        <v>OK</v>
      </c>
      <c r="DR464" s="153" t="str">
        <f t="shared" si="581"/>
        <v>OK</v>
      </c>
      <c r="DS464" s="153" t="str">
        <f t="shared" si="559"/>
        <v>OK</v>
      </c>
      <c r="DT464" s="313" t="str">
        <f t="shared" si="594"/>
        <v>OK</v>
      </c>
      <c r="DU464" s="153" t="str">
        <f t="shared" si="560"/>
        <v>OK</v>
      </c>
      <c r="DV464" s="153" t="str">
        <f t="shared" si="582"/>
        <v>OK</v>
      </c>
      <c r="DW464" s="154" t="str">
        <f t="shared" si="583"/>
        <v>OK</v>
      </c>
      <c r="DX464" s="157">
        <f t="shared" si="584"/>
        <v>0</v>
      </c>
      <c r="DY464" s="156" t="str">
        <f t="shared" si="585"/>
        <v>OK</v>
      </c>
    </row>
    <row r="465" spans="1:129" ht="13" hidden="1" x14ac:dyDescent="0.3">
      <c r="A465" s="333"/>
      <c r="B465" s="333"/>
      <c r="C465" s="332" t="str">
        <f t="shared" si="593"/>
        <v>-</v>
      </c>
      <c r="D465" s="584">
        <f t="shared" si="597"/>
        <v>442</v>
      </c>
      <c r="E465" s="585"/>
      <c r="F465" s="586"/>
      <c r="G465" s="600"/>
      <c r="H465" s="587"/>
      <c r="I465" s="601"/>
      <c r="J465" s="585"/>
      <c r="K465" s="617"/>
      <c r="L465" s="602"/>
      <c r="M465" s="603"/>
      <c r="N465" s="588"/>
      <c r="O465" s="604"/>
      <c r="P465" s="605"/>
      <c r="Q465" s="588"/>
      <c r="R465" s="604"/>
      <c r="S465" s="605"/>
      <c r="T465" s="606"/>
      <c r="U465" s="606"/>
      <c r="V465" s="429" t="str">
        <f t="shared" si="590"/>
        <v/>
      </c>
      <c r="W465" s="430" t="str">
        <f t="shared" si="589"/>
        <v/>
      </c>
      <c r="X465" s="66" t="str">
        <f>IF(AND(ISNUMBER(P465),N465=FixedDim),MAX('Adjustment factors'!$S$16,0.2+0.8*P465),IF(ISTEXT(N465),VLOOKUP(N465,Afactors,2,TRUE),""))</f>
        <v/>
      </c>
      <c r="Y465" s="17" t="str">
        <f>IF(AND(ISNUMBER(S465),Q465=FixedDim),MAX('Adjustment factors'!$S$16,0.2+0.8*S465),IF(ISTEXT(Q465),VLOOKUP(Q465,Afactors,2,TRUE),""))</f>
        <v/>
      </c>
      <c r="Z465" s="297" t="str">
        <f>IF(ISBLANK(T465),"",VLOOKUP(T465,'Adjustment factors'!$R$27:$S$30,2,TRUE))</f>
        <v/>
      </c>
      <c r="AA465" s="297" t="str">
        <f>IF(ISBLANK(U465),"",VLOOKUP(U465,'Adjustment factors'!$R$27:$S$30,2,TRUE))</f>
        <v/>
      </c>
      <c r="AB465" s="480">
        <f t="shared" si="561"/>
        <v>1</v>
      </c>
      <c r="AC465" s="18" t="b">
        <f t="shared" si="518"/>
        <v>0</v>
      </c>
      <c r="AD465" s="18" t="b">
        <f t="shared" si="519"/>
        <v>0</v>
      </c>
      <c r="AE465" s="18" t="b">
        <f t="shared" si="586"/>
        <v>0</v>
      </c>
      <c r="AF465" s="17" t="str">
        <f t="shared" si="520"/>
        <v/>
      </c>
      <c r="AG465" s="18" t="str">
        <f t="shared" si="521"/>
        <v/>
      </c>
      <c r="AH465" s="17" t="str">
        <f t="shared" si="587"/>
        <v/>
      </c>
      <c r="AI465" s="297" t="e">
        <f t="shared" si="562"/>
        <v>#VALUE!</v>
      </c>
      <c r="AJ465" s="79" t="e">
        <f t="shared" si="522"/>
        <v>#VALUE!</v>
      </c>
      <c r="AK465" s="17" t="str">
        <f t="shared" si="588"/>
        <v/>
      </c>
      <c r="AL465" s="80" t="e">
        <f t="shared" si="523"/>
        <v>#VALUE!</v>
      </c>
      <c r="AM465" s="139" t="b">
        <f t="shared" si="524"/>
        <v>1</v>
      </c>
      <c r="AN465" s="139" t="b">
        <f>AND(COUNTA(E465)&gt;0,ISNUMBER(F465),OR(COUNT(G465:H465)=0,COUNT(G465:H465)=2,AND(ISNUMBER(G465),ISNUMBER(VALUE(LEFT(H465,SUM(LEN(H465)-LEN(SUBSTITUTE(H465,{"0","1","2","3","4","5","6","7","8","9","."},"")))))))),ISNUMBER(I465),ISTEXT(J465))</f>
        <v>0</v>
      </c>
      <c r="AO465" s="19" t="b">
        <f t="shared" si="525"/>
        <v>0</v>
      </c>
      <c r="AP465" s="19" t="b">
        <f t="shared" si="526"/>
        <v>1</v>
      </c>
      <c r="AQ465" s="19" t="b">
        <f>IF(AND(COUNTBLANK(E465:J465)=6,OR(AN466:AN$523)),NOT(AN465))</f>
        <v>0</v>
      </c>
      <c r="AR465" s="19" t="str">
        <f t="shared" si="527"/>
        <v/>
      </c>
      <c r="AS465" s="19" t="b">
        <f t="shared" si="528"/>
        <v>1</v>
      </c>
      <c r="AT465" s="19" t="str">
        <f t="shared" si="529"/>
        <v/>
      </c>
      <c r="AU465" s="19" t="b">
        <f t="shared" si="530"/>
        <v>1</v>
      </c>
      <c r="AV465" s="140" t="str">
        <f t="shared" si="570"/>
        <v/>
      </c>
      <c r="AW465" s="19" t="str">
        <f t="shared" si="531"/>
        <v/>
      </c>
      <c r="AX465" s="81">
        <f t="shared" si="532"/>
        <v>0</v>
      </c>
      <c r="AY465" s="81" t="str">
        <f t="shared" si="533"/>
        <v/>
      </c>
      <c r="AZ465" s="307" t="str">
        <f t="shared" si="563"/>
        <v/>
      </c>
      <c r="BA465" s="281" t="str">
        <f t="shared" si="571"/>
        <v/>
      </c>
      <c r="BB465" s="281" t="str">
        <f t="shared" si="572"/>
        <v/>
      </c>
      <c r="BC465" s="953"/>
      <c r="BD465" s="955"/>
      <c r="BE465" s="219" t="str">
        <f t="shared" si="534"/>
        <v>n/a</v>
      </c>
      <c r="BF465" s="215" t="b">
        <f t="shared" si="535"/>
        <v>0</v>
      </c>
      <c r="BG465" s="145" t="b">
        <f t="shared" si="536"/>
        <v>0</v>
      </c>
      <c r="BH465" s="145" t="b">
        <f t="shared" si="537"/>
        <v>0</v>
      </c>
      <c r="BI465" s="216" t="b">
        <f t="shared" si="538"/>
        <v>0</v>
      </c>
      <c r="BJ465" s="215" t="b">
        <f t="shared" si="539"/>
        <v>0</v>
      </c>
      <c r="BK465" s="145" t="b">
        <f t="shared" si="540"/>
        <v>0</v>
      </c>
      <c r="BL465" s="216" t="b">
        <f t="shared" si="541"/>
        <v>0</v>
      </c>
      <c r="BM465" s="217" t="str">
        <f t="shared" si="573"/>
        <v/>
      </c>
      <c r="BN465" s="146" t="str">
        <f t="shared" si="574"/>
        <v/>
      </c>
      <c r="BO465" s="147" t="str">
        <f t="shared" si="575"/>
        <v/>
      </c>
      <c r="BP465" s="148" t="str">
        <f t="shared" si="576"/>
        <v/>
      </c>
      <c r="BT465" s="50">
        <f t="shared" si="596"/>
        <v>442</v>
      </c>
      <c r="BU465" s="50" t="str">
        <f t="shared" si="592"/>
        <v>-</v>
      </c>
      <c r="BW465" s="340"/>
      <c r="BX465" s="333"/>
      <c r="BY465" s="333"/>
      <c r="BZ465" s="333"/>
      <c r="CA465" s="333"/>
      <c r="CB465" s="333"/>
      <c r="CC465" s="333"/>
      <c r="CD465" s="333"/>
      <c r="CE465" s="333"/>
      <c r="CF465" s="333"/>
      <c r="CG465" s="354">
        <f t="shared" si="542"/>
        <v>442</v>
      </c>
      <c r="CH465" s="613">
        <f t="shared" si="543"/>
        <v>0</v>
      </c>
      <c r="CI465" s="613">
        <f t="shared" si="544"/>
        <v>0</v>
      </c>
      <c r="CJ465" s="614" t="str">
        <f t="shared" si="545"/>
        <v/>
      </c>
      <c r="CK465" s="615" t="str">
        <f t="shared" si="546"/>
        <v/>
      </c>
      <c r="CL465" s="610" t="str">
        <f>IF(ISBLANK(H465),"",IF(AND(ISNUMBER(F465),ISNUMBER(G465),ISNUMBER(H465)),ROUND(F465/(H465*G465),2),ROUND(F465/(VALUE(LEFT(H465,SUM(LEN(H465)-LEN(SUBSTITUTE(H465,{"0","1","2","3","4","5","6","7","8","9","."},"")))))*G465),2)))</f>
        <v/>
      </c>
      <c r="CM465" s="616" t="str">
        <f t="shared" si="577"/>
        <v/>
      </c>
      <c r="CN465" s="616" t="str">
        <f>IF(ISNUMBER(P465),MAX('Adjustment factors'!$S$16,(0.2+0.8*P465)),IF(ISTEXT(N465),VLOOKUP(N465,Afactors,2,FALSE),""))</f>
        <v/>
      </c>
      <c r="CO465" s="616" t="str">
        <f>IF(ISNUMBER(S465),MAX('Adjustment factors'!$S$16,0.2+0.8*S465),IF(ISTEXT(Q465),VLOOKUP(Q465,Afactors,2,FALSE),""))</f>
        <v/>
      </c>
      <c r="CP465" s="611" t="str">
        <f t="shared" si="564"/>
        <v/>
      </c>
      <c r="CQ465" s="612" t="str">
        <f t="shared" si="565"/>
        <v/>
      </c>
      <c r="CR465" s="340"/>
      <c r="CS465" s="340"/>
      <c r="CT465" s="340"/>
      <c r="CU465" s="340"/>
      <c r="CV465" s="333"/>
      <c r="CW465" s="333"/>
      <c r="CX465" s="333"/>
      <c r="CY465" s="333"/>
      <c r="DA465" s="313" t="str">
        <f t="shared" si="547"/>
        <v>OK</v>
      </c>
      <c r="DB465" s="313" t="str">
        <f t="shared" si="548"/>
        <v>OK</v>
      </c>
      <c r="DC465" s="313" t="str">
        <f t="shared" si="549"/>
        <v>OK</v>
      </c>
      <c r="DD465" s="313" t="str">
        <f t="shared" si="550"/>
        <v>OK</v>
      </c>
      <c r="DE465" s="153" t="str">
        <f t="shared" si="551"/>
        <v>OK</v>
      </c>
      <c r="DF465" s="314" t="str">
        <f t="shared" si="552"/>
        <v>OK</v>
      </c>
      <c r="DG465" s="482" t="str">
        <f t="shared" si="566"/>
        <v>OK</v>
      </c>
      <c r="DH465" s="482" t="str">
        <f>IF(OR(AND(T465='Adjustment factors'!$R$28,'Class 3, 5-9'!U465='Adjustment factors'!$R$29),AND('Class 3, 5-9'!T465='Adjustment factors'!$R$29,'Class 3, 5-9'!U465='Adjustment factors'!$R$28)),"Invalid combination of adjustment factors",IF(AND(T465=U465,NOT(ISBLANK(T465)),NOT(ISBLANK(U465))),"Same colour factor selected twice","OK"))</f>
        <v>OK</v>
      </c>
      <c r="DI465" s="313" t="str">
        <f t="shared" si="553"/>
        <v>OK</v>
      </c>
      <c r="DJ465" s="153" t="str">
        <f t="shared" si="578"/>
        <v>OK</v>
      </c>
      <c r="DK465" s="153" t="str">
        <f t="shared" si="554"/>
        <v>OK</v>
      </c>
      <c r="DL465" s="313" t="str">
        <f t="shared" si="555"/>
        <v>OK</v>
      </c>
      <c r="DM465" s="153" t="str">
        <f t="shared" si="556"/>
        <v>OK</v>
      </c>
      <c r="DN465" s="153" t="str">
        <f t="shared" si="579"/>
        <v>OK</v>
      </c>
      <c r="DO465" s="154" t="str">
        <f t="shared" si="580"/>
        <v>OK</v>
      </c>
      <c r="DP465" s="153" t="str">
        <f t="shared" si="557"/>
        <v>OK</v>
      </c>
      <c r="DQ465" s="313" t="str">
        <f t="shared" si="558"/>
        <v>OK</v>
      </c>
      <c r="DR465" s="153" t="str">
        <f t="shared" si="581"/>
        <v>OK</v>
      </c>
      <c r="DS465" s="153" t="str">
        <f t="shared" si="559"/>
        <v>OK</v>
      </c>
      <c r="DT465" s="313" t="str">
        <f t="shared" si="594"/>
        <v>OK</v>
      </c>
      <c r="DU465" s="153" t="str">
        <f t="shared" si="560"/>
        <v>OK</v>
      </c>
      <c r="DV465" s="153" t="str">
        <f t="shared" si="582"/>
        <v>OK</v>
      </c>
      <c r="DW465" s="154" t="str">
        <f t="shared" si="583"/>
        <v>OK</v>
      </c>
      <c r="DX465" s="157">
        <f t="shared" si="584"/>
        <v>0</v>
      </c>
      <c r="DY465" s="156" t="str">
        <f t="shared" si="585"/>
        <v>OK</v>
      </c>
    </row>
    <row r="466" spans="1:129" ht="13" hidden="1" x14ac:dyDescent="0.3">
      <c r="A466" s="333"/>
      <c r="B466" s="333"/>
      <c r="C466" s="332" t="str">
        <f t="shared" si="593"/>
        <v>-</v>
      </c>
      <c r="D466" s="584">
        <f t="shared" si="597"/>
        <v>443</v>
      </c>
      <c r="E466" s="585"/>
      <c r="F466" s="586"/>
      <c r="G466" s="600"/>
      <c r="H466" s="587"/>
      <c r="I466" s="601"/>
      <c r="J466" s="585"/>
      <c r="K466" s="617"/>
      <c r="L466" s="602"/>
      <c r="M466" s="603"/>
      <c r="N466" s="588"/>
      <c r="O466" s="604"/>
      <c r="P466" s="605"/>
      <c r="Q466" s="588"/>
      <c r="R466" s="604"/>
      <c r="S466" s="605"/>
      <c r="T466" s="606"/>
      <c r="U466" s="606"/>
      <c r="V466" s="429" t="str">
        <f t="shared" si="590"/>
        <v/>
      </c>
      <c r="W466" s="430" t="str">
        <f t="shared" si="589"/>
        <v/>
      </c>
      <c r="X466" s="66" t="str">
        <f>IF(AND(ISNUMBER(P466),N466=FixedDim),MAX('Adjustment factors'!$S$16,0.2+0.8*P466),IF(ISTEXT(N466),VLOOKUP(N466,Afactors,2,TRUE),""))</f>
        <v/>
      </c>
      <c r="Y466" s="17" t="str">
        <f>IF(AND(ISNUMBER(S466),Q466=FixedDim),MAX('Adjustment factors'!$S$16,0.2+0.8*S466),IF(ISTEXT(Q466),VLOOKUP(Q466,Afactors,2,TRUE),""))</f>
        <v/>
      </c>
      <c r="Z466" s="297" t="str">
        <f>IF(ISBLANK(T466),"",VLOOKUP(T466,'Adjustment factors'!$R$27:$S$30,2,TRUE))</f>
        <v/>
      </c>
      <c r="AA466" s="297" t="str">
        <f>IF(ISBLANK(U466),"",VLOOKUP(U466,'Adjustment factors'!$R$27:$S$30,2,TRUE))</f>
        <v/>
      </c>
      <c r="AB466" s="480">
        <f t="shared" si="561"/>
        <v>1</v>
      </c>
      <c r="AC466" s="18" t="b">
        <f t="shared" si="518"/>
        <v>0</v>
      </c>
      <c r="AD466" s="18" t="b">
        <f t="shared" si="519"/>
        <v>0</v>
      </c>
      <c r="AE466" s="18" t="b">
        <f t="shared" si="586"/>
        <v>0</v>
      </c>
      <c r="AF466" s="17" t="str">
        <f t="shared" si="520"/>
        <v/>
      </c>
      <c r="AG466" s="18" t="str">
        <f t="shared" si="521"/>
        <v/>
      </c>
      <c r="AH466" s="17" t="str">
        <f t="shared" si="587"/>
        <v/>
      </c>
      <c r="AI466" s="297" t="e">
        <f t="shared" si="562"/>
        <v>#VALUE!</v>
      </c>
      <c r="AJ466" s="79" t="e">
        <f t="shared" si="522"/>
        <v>#VALUE!</v>
      </c>
      <c r="AK466" s="17" t="str">
        <f t="shared" si="588"/>
        <v/>
      </c>
      <c r="AL466" s="80" t="e">
        <f t="shared" si="523"/>
        <v>#VALUE!</v>
      </c>
      <c r="AM466" s="139" t="b">
        <f t="shared" si="524"/>
        <v>1</v>
      </c>
      <c r="AN466" s="139" t="b">
        <f>AND(COUNTA(E466)&gt;0,ISNUMBER(F466),OR(COUNT(G466:H466)=0,COUNT(G466:H466)=2,AND(ISNUMBER(G466),ISNUMBER(VALUE(LEFT(H466,SUM(LEN(H466)-LEN(SUBSTITUTE(H466,{"0","1","2","3","4","5","6","7","8","9","."},"")))))))),ISNUMBER(I466),ISTEXT(J466))</f>
        <v>0</v>
      </c>
      <c r="AO466" s="19" t="b">
        <f t="shared" si="525"/>
        <v>0</v>
      </c>
      <c r="AP466" s="19" t="b">
        <f t="shared" si="526"/>
        <v>1</v>
      </c>
      <c r="AQ466" s="19" t="b">
        <f>IF(AND(COUNTBLANK(E466:J466)=6,OR(AN467:AN$523)),NOT(AN466))</f>
        <v>0</v>
      </c>
      <c r="AR466" s="19" t="str">
        <f t="shared" si="527"/>
        <v/>
      </c>
      <c r="AS466" s="19" t="b">
        <f t="shared" si="528"/>
        <v>1</v>
      </c>
      <c r="AT466" s="19" t="str">
        <f t="shared" si="529"/>
        <v/>
      </c>
      <c r="AU466" s="19" t="b">
        <f t="shared" si="530"/>
        <v>1</v>
      </c>
      <c r="AV466" s="140" t="str">
        <f t="shared" si="570"/>
        <v/>
      </c>
      <c r="AW466" s="19" t="str">
        <f t="shared" si="531"/>
        <v/>
      </c>
      <c r="AX466" s="81">
        <f t="shared" si="532"/>
        <v>0</v>
      </c>
      <c r="AY466" s="81" t="str">
        <f t="shared" si="533"/>
        <v/>
      </c>
      <c r="AZ466" s="307" t="str">
        <f t="shared" si="563"/>
        <v/>
      </c>
      <c r="BA466" s="281" t="str">
        <f t="shared" si="571"/>
        <v/>
      </c>
      <c r="BB466" s="281" t="str">
        <f t="shared" si="572"/>
        <v/>
      </c>
      <c r="BC466" s="953"/>
      <c r="BD466" s="955"/>
      <c r="BE466" s="219" t="str">
        <f t="shared" si="534"/>
        <v>n/a</v>
      </c>
      <c r="BF466" s="215" t="b">
        <f t="shared" si="535"/>
        <v>0</v>
      </c>
      <c r="BG466" s="145" t="b">
        <f t="shared" si="536"/>
        <v>0</v>
      </c>
      <c r="BH466" s="145" t="b">
        <f t="shared" si="537"/>
        <v>0</v>
      </c>
      <c r="BI466" s="216" t="b">
        <f t="shared" si="538"/>
        <v>0</v>
      </c>
      <c r="BJ466" s="215" t="b">
        <f t="shared" si="539"/>
        <v>0</v>
      </c>
      <c r="BK466" s="145" t="b">
        <f t="shared" si="540"/>
        <v>0</v>
      </c>
      <c r="BL466" s="216" t="b">
        <f t="shared" si="541"/>
        <v>0</v>
      </c>
      <c r="BM466" s="217" t="str">
        <f t="shared" si="573"/>
        <v/>
      </c>
      <c r="BN466" s="146" t="str">
        <f t="shared" si="574"/>
        <v/>
      </c>
      <c r="BO466" s="147" t="str">
        <f t="shared" si="575"/>
        <v/>
      </c>
      <c r="BP466" s="148" t="str">
        <f t="shared" si="576"/>
        <v/>
      </c>
      <c r="BT466" s="50">
        <f t="shared" si="596"/>
        <v>443</v>
      </c>
      <c r="BU466" s="50" t="str">
        <f t="shared" si="592"/>
        <v>-</v>
      </c>
      <c r="BW466" s="340"/>
      <c r="BX466" s="333"/>
      <c r="BY466" s="333"/>
      <c r="BZ466" s="333"/>
      <c r="CA466" s="333"/>
      <c r="CB466" s="333"/>
      <c r="CC466" s="333"/>
      <c r="CD466" s="333"/>
      <c r="CE466" s="333"/>
      <c r="CF466" s="333"/>
      <c r="CG466" s="354">
        <f t="shared" si="542"/>
        <v>443</v>
      </c>
      <c r="CH466" s="613">
        <f t="shared" si="543"/>
        <v>0</v>
      </c>
      <c r="CI466" s="613">
        <f t="shared" si="544"/>
        <v>0</v>
      </c>
      <c r="CJ466" s="614" t="str">
        <f t="shared" si="545"/>
        <v/>
      </c>
      <c r="CK466" s="615" t="str">
        <f t="shared" si="546"/>
        <v/>
      </c>
      <c r="CL466" s="610" t="str">
        <f>IF(ISBLANK(H466),"",IF(AND(ISNUMBER(F466),ISNUMBER(G466),ISNUMBER(H466)),ROUND(F466/(H466*G466),2),ROUND(F466/(VALUE(LEFT(H466,SUM(LEN(H466)-LEN(SUBSTITUTE(H466,{"0","1","2","3","4","5","6","7","8","9","."},"")))))*G466),2)))</f>
        <v/>
      </c>
      <c r="CM466" s="616" t="str">
        <f t="shared" si="577"/>
        <v/>
      </c>
      <c r="CN466" s="616" t="str">
        <f>IF(ISNUMBER(P466),MAX('Adjustment factors'!$S$16,(0.2+0.8*P466)),IF(ISTEXT(N466),VLOOKUP(N466,Afactors,2,FALSE),""))</f>
        <v/>
      </c>
      <c r="CO466" s="616" t="str">
        <f>IF(ISNUMBER(S466),MAX('Adjustment factors'!$S$16,0.2+0.8*S466),IF(ISTEXT(Q466),VLOOKUP(Q466,Afactors,2,FALSE),""))</f>
        <v/>
      </c>
      <c r="CP466" s="611" t="str">
        <f t="shared" si="564"/>
        <v/>
      </c>
      <c r="CQ466" s="612" t="str">
        <f t="shared" si="565"/>
        <v/>
      </c>
      <c r="CR466" s="340"/>
      <c r="CS466" s="340"/>
      <c r="CT466" s="340"/>
      <c r="CU466" s="340"/>
      <c r="CV466" s="333"/>
      <c r="CW466" s="333"/>
      <c r="CX466" s="333"/>
      <c r="CY466" s="333"/>
      <c r="DA466" s="313" t="str">
        <f t="shared" si="547"/>
        <v>OK</v>
      </c>
      <c r="DB466" s="313" t="str">
        <f t="shared" si="548"/>
        <v>OK</v>
      </c>
      <c r="DC466" s="313" t="str">
        <f t="shared" si="549"/>
        <v>OK</v>
      </c>
      <c r="DD466" s="313" t="str">
        <f t="shared" si="550"/>
        <v>OK</v>
      </c>
      <c r="DE466" s="153" t="str">
        <f t="shared" si="551"/>
        <v>OK</v>
      </c>
      <c r="DF466" s="314" t="str">
        <f t="shared" si="552"/>
        <v>OK</v>
      </c>
      <c r="DG466" s="482" t="str">
        <f t="shared" si="566"/>
        <v>OK</v>
      </c>
      <c r="DH466" s="482" t="str">
        <f>IF(OR(AND(T466='Adjustment factors'!$R$28,'Class 3, 5-9'!U466='Adjustment factors'!$R$29),AND('Class 3, 5-9'!T466='Adjustment factors'!$R$29,'Class 3, 5-9'!U466='Adjustment factors'!$R$28)),"Invalid combination of adjustment factors",IF(AND(T466=U466,NOT(ISBLANK(T466)),NOT(ISBLANK(U466))),"Same colour factor selected twice","OK"))</f>
        <v>OK</v>
      </c>
      <c r="DI466" s="313" t="str">
        <f t="shared" si="553"/>
        <v>OK</v>
      </c>
      <c r="DJ466" s="153" t="str">
        <f t="shared" si="578"/>
        <v>OK</v>
      </c>
      <c r="DK466" s="153" t="str">
        <f t="shared" si="554"/>
        <v>OK</v>
      </c>
      <c r="DL466" s="313" t="str">
        <f t="shared" si="555"/>
        <v>OK</v>
      </c>
      <c r="DM466" s="153" t="str">
        <f t="shared" si="556"/>
        <v>OK</v>
      </c>
      <c r="DN466" s="153" t="str">
        <f t="shared" si="579"/>
        <v>OK</v>
      </c>
      <c r="DO466" s="154" t="str">
        <f t="shared" si="580"/>
        <v>OK</v>
      </c>
      <c r="DP466" s="153" t="str">
        <f t="shared" si="557"/>
        <v>OK</v>
      </c>
      <c r="DQ466" s="313" t="str">
        <f t="shared" si="558"/>
        <v>OK</v>
      </c>
      <c r="DR466" s="153" t="str">
        <f t="shared" si="581"/>
        <v>OK</v>
      </c>
      <c r="DS466" s="153" t="str">
        <f t="shared" si="559"/>
        <v>OK</v>
      </c>
      <c r="DT466" s="313" t="str">
        <f t="shared" si="594"/>
        <v>OK</v>
      </c>
      <c r="DU466" s="153" t="str">
        <f t="shared" si="560"/>
        <v>OK</v>
      </c>
      <c r="DV466" s="153" t="str">
        <f t="shared" si="582"/>
        <v>OK</v>
      </c>
      <c r="DW466" s="154" t="str">
        <f t="shared" si="583"/>
        <v>OK</v>
      </c>
      <c r="DX466" s="157">
        <f t="shared" si="584"/>
        <v>0</v>
      </c>
      <c r="DY466" s="156" t="str">
        <f t="shared" si="585"/>
        <v>OK</v>
      </c>
    </row>
    <row r="467" spans="1:129" ht="13" hidden="1" x14ac:dyDescent="0.3">
      <c r="A467" s="333"/>
      <c r="B467" s="333"/>
      <c r="C467" s="332" t="str">
        <f t="shared" si="593"/>
        <v>-</v>
      </c>
      <c r="D467" s="584">
        <f t="shared" si="597"/>
        <v>444</v>
      </c>
      <c r="E467" s="585"/>
      <c r="F467" s="586"/>
      <c r="G467" s="600"/>
      <c r="H467" s="587"/>
      <c r="I467" s="601"/>
      <c r="J467" s="585"/>
      <c r="K467" s="617"/>
      <c r="L467" s="602"/>
      <c r="M467" s="603"/>
      <c r="N467" s="588"/>
      <c r="O467" s="604"/>
      <c r="P467" s="605"/>
      <c r="Q467" s="588"/>
      <c r="R467" s="604"/>
      <c r="S467" s="605"/>
      <c r="T467" s="606"/>
      <c r="U467" s="606"/>
      <c r="V467" s="429" t="str">
        <f t="shared" si="590"/>
        <v/>
      </c>
      <c r="W467" s="430" t="str">
        <f t="shared" si="589"/>
        <v/>
      </c>
      <c r="X467" s="66" t="str">
        <f>IF(AND(ISNUMBER(P467),N467=FixedDim),MAX('Adjustment factors'!$S$16,0.2+0.8*P467),IF(ISTEXT(N467),VLOOKUP(N467,Afactors,2,TRUE),""))</f>
        <v/>
      </c>
      <c r="Y467" s="17" t="str">
        <f>IF(AND(ISNUMBER(S467),Q467=FixedDim),MAX('Adjustment factors'!$S$16,0.2+0.8*S467),IF(ISTEXT(Q467),VLOOKUP(Q467,Afactors,2,TRUE),""))</f>
        <v/>
      </c>
      <c r="Z467" s="297" t="str">
        <f>IF(ISBLANK(T467),"",VLOOKUP(T467,'Adjustment factors'!$R$27:$S$30,2,TRUE))</f>
        <v/>
      </c>
      <c r="AA467" s="297" t="str">
        <f>IF(ISBLANK(U467),"",VLOOKUP(U467,'Adjustment factors'!$R$27:$S$30,2,TRUE))</f>
        <v/>
      </c>
      <c r="AB467" s="480">
        <f t="shared" si="561"/>
        <v>1</v>
      </c>
      <c r="AC467" s="18" t="b">
        <f t="shared" si="518"/>
        <v>0</v>
      </c>
      <c r="AD467" s="18" t="b">
        <f t="shared" si="519"/>
        <v>0</v>
      </c>
      <c r="AE467" s="18" t="b">
        <f t="shared" si="586"/>
        <v>0</v>
      </c>
      <c r="AF467" s="17" t="str">
        <f t="shared" si="520"/>
        <v/>
      </c>
      <c r="AG467" s="18" t="str">
        <f t="shared" si="521"/>
        <v/>
      </c>
      <c r="AH467" s="17" t="str">
        <f t="shared" si="587"/>
        <v/>
      </c>
      <c r="AI467" s="297" t="e">
        <f t="shared" si="562"/>
        <v>#VALUE!</v>
      </c>
      <c r="AJ467" s="79" t="e">
        <f t="shared" si="522"/>
        <v>#VALUE!</v>
      </c>
      <c r="AK467" s="17" t="str">
        <f t="shared" si="588"/>
        <v/>
      </c>
      <c r="AL467" s="80" t="e">
        <f t="shared" si="523"/>
        <v>#VALUE!</v>
      </c>
      <c r="AM467" s="139" t="b">
        <f t="shared" si="524"/>
        <v>1</v>
      </c>
      <c r="AN467" s="139" t="b">
        <f>AND(COUNTA(E467)&gt;0,ISNUMBER(F467),OR(COUNT(G467:H467)=0,COUNT(G467:H467)=2,AND(ISNUMBER(G467),ISNUMBER(VALUE(LEFT(H467,SUM(LEN(H467)-LEN(SUBSTITUTE(H467,{"0","1","2","3","4","5","6","7","8","9","."},"")))))))),ISNUMBER(I467),ISTEXT(J467))</f>
        <v>0</v>
      </c>
      <c r="AO467" s="19" t="b">
        <f t="shared" si="525"/>
        <v>0</v>
      </c>
      <c r="AP467" s="19" t="b">
        <f t="shared" si="526"/>
        <v>1</v>
      </c>
      <c r="AQ467" s="19" t="b">
        <f>IF(AND(COUNTBLANK(E467:J467)=6,OR(AN468:AN$523)),NOT(AN467))</f>
        <v>0</v>
      </c>
      <c r="AR467" s="19" t="str">
        <f t="shared" si="527"/>
        <v/>
      </c>
      <c r="AS467" s="19" t="b">
        <f t="shared" si="528"/>
        <v>1</v>
      </c>
      <c r="AT467" s="19" t="str">
        <f t="shared" si="529"/>
        <v/>
      </c>
      <c r="AU467" s="19" t="b">
        <f t="shared" si="530"/>
        <v>1</v>
      </c>
      <c r="AV467" s="140" t="str">
        <f t="shared" si="570"/>
        <v/>
      </c>
      <c r="AW467" s="19" t="str">
        <f t="shared" si="531"/>
        <v/>
      </c>
      <c r="AX467" s="81">
        <f t="shared" si="532"/>
        <v>0</v>
      </c>
      <c r="AY467" s="81" t="str">
        <f t="shared" si="533"/>
        <v/>
      </c>
      <c r="AZ467" s="307" t="str">
        <f t="shared" si="563"/>
        <v/>
      </c>
      <c r="BA467" s="281" t="str">
        <f t="shared" si="571"/>
        <v/>
      </c>
      <c r="BB467" s="281" t="str">
        <f t="shared" si="572"/>
        <v/>
      </c>
      <c r="BC467" s="953"/>
      <c r="BD467" s="955"/>
      <c r="BE467" s="219" t="str">
        <f t="shared" si="534"/>
        <v>n/a</v>
      </c>
      <c r="BF467" s="215" t="b">
        <f t="shared" si="535"/>
        <v>0</v>
      </c>
      <c r="BG467" s="145" t="b">
        <f t="shared" si="536"/>
        <v>0</v>
      </c>
      <c r="BH467" s="145" t="b">
        <f t="shared" si="537"/>
        <v>0</v>
      </c>
      <c r="BI467" s="216" t="b">
        <f t="shared" si="538"/>
        <v>0</v>
      </c>
      <c r="BJ467" s="215" t="b">
        <f t="shared" si="539"/>
        <v>0</v>
      </c>
      <c r="BK467" s="145" t="b">
        <f t="shared" si="540"/>
        <v>0</v>
      </c>
      <c r="BL467" s="216" t="b">
        <f t="shared" si="541"/>
        <v>0</v>
      </c>
      <c r="BM467" s="217" t="str">
        <f t="shared" si="573"/>
        <v/>
      </c>
      <c r="BN467" s="146" t="str">
        <f t="shared" si="574"/>
        <v/>
      </c>
      <c r="BO467" s="147" t="str">
        <f t="shared" si="575"/>
        <v/>
      </c>
      <c r="BP467" s="148" t="str">
        <f t="shared" si="576"/>
        <v/>
      </c>
      <c r="BT467" s="50">
        <f t="shared" si="596"/>
        <v>444</v>
      </c>
      <c r="BU467" s="50" t="str">
        <f t="shared" si="592"/>
        <v>-</v>
      </c>
      <c r="BW467" s="340"/>
      <c r="BX467" s="333"/>
      <c r="BY467" s="333"/>
      <c r="BZ467" s="333"/>
      <c r="CA467" s="333"/>
      <c r="CB467" s="333"/>
      <c r="CC467" s="333"/>
      <c r="CD467" s="333"/>
      <c r="CE467" s="333"/>
      <c r="CF467" s="333"/>
      <c r="CG467" s="354">
        <f t="shared" si="542"/>
        <v>444</v>
      </c>
      <c r="CH467" s="613">
        <f t="shared" si="543"/>
        <v>0</v>
      </c>
      <c r="CI467" s="613">
        <f t="shared" si="544"/>
        <v>0</v>
      </c>
      <c r="CJ467" s="614" t="str">
        <f t="shared" si="545"/>
        <v/>
      </c>
      <c r="CK467" s="615" t="str">
        <f t="shared" si="546"/>
        <v/>
      </c>
      <c r="CL467" s="610" t="str">
        <f>IF(ISBLANK(H467),"",IF(AND(ISNUMBER(F467),ISNUMBER(G467),ISNUMBER(H467)),ROUND(F467/(H467*G467),2),ROUND(F467/(VALUE(LEFT(H467,SUM(LEN(H467)-LEN(SUBSTITUTE(H467,{"0","1","2","3","4","5","6","7","8","9","."},"")))))*G467),2)))</f>
        <v/>
      </c>
      <c r="CM467" s="616" t="str">
        <f t="shared" si="577"/>
        <v/>
      </c>
      <c r="CN467" s="616" t="str">
        <f>IF(ISNUMBER(P467),MAX('Adjustment factors'!$S$16,(0.2+0.8*P467)),IF(ISTEXT(N467),VLOOKUP(N467,Afactors,2,FALSE),""))</f>
        <v/>
      </c>
      <c r="CO467" s="616" t="str">
        <f>IF(ISNUMBER(S467),MAX('Adjustment factors'!$S$16,0.2+0.8*S467),IF(ISTEXT(Q467),VLOOKUP(Q467,Afactors,2,FALSE),""))</f>
        <v/>
      </c>
      <c r="CP467" s="611" t="str">
        <f t="shared" si="564"/>
        <v/>
      </c>
      <c r="CQ467" s="612" t="str">
        <f t="shared" si="565"/>
        <v/>
      </c>
      <c r="CR467" s="340"/>
      <c r="CS467" s="340"/>
      <c r="CT467" s="340"/>
      <c r="CU467" s="340"/>
      <c r="CV467" s="333"/>
      <c r="CW467" s="333"/>
      <c r="CX467" s="333"/>
      <c r="CY467" s="333"/>
      <c r="DA467" s="313" t="str">
        <f t="shared" si="547"/>
        <v>OK</v>
      </c>
      <c r="DB467" s="313" t="str">
        <f t="shared" si="548"/>
        <v>OK</v>
      </c>
      <c r="DC467" s="313" t="str">
        <f t="shared" si="549"/>
        <v>OK</v>
      </c>
      <c r="DD467" s="313" t="str">
        <f t="shared" si="550"/>
        <v>OK</v>
      </c>
      <c r="DE467" s="153" t="str">
        <f t="shared" si="551"/>
        <v>OK</v>
      </c>
      <c r="DF467" s="314" t="str">
        <f t="shared" si="552"/>
        <v>OK</v>
      </c>
      <c r="DG467" s="482" t="str">
        <f t="shared" si="566"/>
        <v>OK</v>
      </c>
      <c r="DH467" s="482" t="str">
        <f>IF(OR(AND(T467='Adjustment factors'!$R$28,'Class 3, 5-9'!U467='Adjustment factors'!$R$29),AND('Class 3, 5-9'!T467='Adjustment factors'!$R$29,'Class 3, 5-9'!U467='Adjustment factors'!$R$28)),"Invalid combination of adjustment factors",IF(AND(T467=U467,NOT(ISBLANK(T467)),NOT(ISBLANK(U467))),"Same colour factor selected twice","OK"))</f>
        <v>OK</v>
      </c>
      <c r="DI467" s="313" t="str">
        <f t="shared" si="553"/>
        <v>OK</v>
      </c>
      <c r="DJ467" s="153" t="str">
        <f t="shared" si="578"/>
        <v>OK</v>
      </c>
      <c r="DK467" s="153" t="str">
        <f t="shared" si="554"/>
        <v>OK</v>
      </c>
      <c r="DL467" s="313" t="str">
        <f t="shared" si="555"/>
        <v>OK</v>
      </c>
      <c r="DM467" s="153" t="str">
        <f t="shared" si="556"/>
        <v>OK</v>
      </c>
      <c r="DN467" s="153" t="str">
        <f t="shared" si="579"/>
        <v>OK</v>
      </c>
      <c r="DO467" s="154" t="str">
        <f t="shared" si="580"/>
        <v>OK</v>
      </c>
      <c r="DP467" s="153" t="str">
        <f t="shared" si="557"/>
        <v>OK</v>
      </c>
      <c r="DQ467" s="313" t="str">
        <f t="shared" si="558"/>
        <v>OK</v>
      </c>
      <c r="DR467" s="153" t="str">
        <f t="shared" si="581"/>
        <v>OK</v>
      </c>
      <c r="DS467" s="153" t="str">
        <f t="shared" si="559"/>
        <v>OK</v>
      </c>
      <c r="DT467" s="313" t="str">
        <f t="shared" si="594"/>
        <v>OK</v>
      </c>
      <c r="DU467" s="153" t="str">
        <f t="shared" si="560"/>
        <v>OK</v>
      </c>
      <c r="DV467" s="153" t="str">
        <f t="shared" si="582"/>
        <v>OK</v>
      </c>
      <c r="DW467" s="154" t="str">
        <f t="shared" si="583"/>
        <v>OK</v>
      </c>
      <c r="DX467" s="157">
        <f t="shared" si="584"/>
        <v>0</v>
      </c>
      <c r="DY467" s="156" t="str">
        <f t="shared" si="585"/>
        <v>OK</v>
      </c>
    </row>
    <row r="468" spans="1:129" ht="13" hidden="1" x14ac:dyDescent="0.3">
      <c r="A468" s="333"/>
      <c r="B468" s="333"/>
      <c r="C468" s="332" t="str">
        <f t="shared" si="593"/>
        <v>-</v>
      </c>
      <c r="D468" s="584">
        <f t="shared" si="597"/>
        <v>445</v>
      </c>
      <c r="E468" s="585"/>
      <c r="F468" s="586"/>
      <c r="G468" s="600"/>
      <c r="H468" s="587"/>
      <c r="I468" s="601"/>
      <c r="J468" s="585"/>
      <c r="K468" s="617"/>
      <c r="L468" s="602"/>
      <c r="M468" s="603"/>
      <c r="N468" s="588"/>
      <c r="O468" s="604"/>
      <c r="P468" s="605"/>
      <c r="Q468" s="588"/>
      <c r="R468" s="604"/>
      <c r="S468" s="605"/>
      <c r="T468" s="606"/>
      <c r="U468" s="606"/>
      <c r="V468" s="429" t="str">
        <f t="shared" si="590"/>
        <v/>
      </c>
      <c r="W468" s="430" t="str">
        <f t="shared" si="589"/>
        <v/>
      </c>
      <c r="X468" s="66" t="str">
        <f>IF(AND(ISNUMBER(P468),N468=FixedDim),MAX('Adjustment factors'!$S$16,0.2+0.8*P468),IF(ISTEXT(N468),VLOOKUP(N468,Afactors,2,TRUE),""))</f>
        <v/>
      </c>
      <c r="Y468" s="17" t="str">
        <f>IF(AND(ISNUMBER(S468),Q468=FixedDim),MAX('Adjustment factors'!$S$16,0.2+0.8*S468),IF(ISTEXT(Q468),VLOOKUP(Q468,Afactors,2,TRUE),""))</f>
        <v/>
      </c>
      <c r="Z468" s="297" t="str">
        <f>IF(ISBLANK(T468),"",VLOOKUP(T468,'Adjustment factors'!$R$27:$S$30,2,TRUE))</f>
        <v/>
      </c>
      <c r="AA468" s="297" t="str">
        <f>IF(ISBLANK(U468),"",VLOOKUP(U468,'Adjustment factors'!$R$27:$S$30,2,TRUE))</f>
        <v/>
      </c>
      <c r="AB468" s="480">
        <f t="shared" si="561"/>
        <v>1</v>
      </c>
      <c r="AC468" s="18" t="b">
        <f t="shared" si="518"/>
        <v>0</v>
      </c>
      <c r="AD468" s="18" t="b">
        <f t="shared" si="519"/>
        <v>0</v>
      </c>
      <c r="AE468" s="18" t="b">
        <f t="shared" si="586"/>
        <v>0</v>
      </c>
      <c r="AF468" s="17" t="str">
        <f t="shared" si="520"/>
        <v/>
      </c>
      <c r="AG468" s="18" t="str">
        <f t="shared" si="521"/>
        <v/>
      </c>
      <c r="AH468" s="17" t="str">
        <f t="shared" si="587"/>
        <v/>
      </c>
      <c r="AI468" s="297" t="e">
        <f t="shared" si="562"/>
        <v>#VALUE!</v>
      </c>
      <c r="AJ468" s="79" t="e">
        <f t="shared" si="522"/>
        <v>#VALUE!</v>
      </c>
      <c r="AK468" s="17" t="str">
        <f t="shared" si="588"/>
        <v/>
      </c>
      <c r="AL468" s="80" t="e">
        <f t="shared" si="523"/>
        <v>#VALUE!</v>
      </c>
      <c r="AM468" s="139" t="b">
        <f t="shared" si="524"/>
        <v>1</v>
      </c>
      <c r="AN468" s="139" t="b">
        <f>AND(COUNTA(E468)&gt;0,ISNUMBER(F468),OR(COUNT(G468:H468)=0,COUNT(G468:H468)=2,AND(ISNUMBER(G468),ISNUMBER(VALUE(LEFT(H468,SUM(LEN(H468)-LEN(SUBSTITUTE(H468,{"0","1","2","3","4","5","6","7","8","9","."},"")))))))),ISNUMBER(I468),ISTEXT(J468))</f>
        <v>0</v>
      </c>
      <c r="AO468" s="19" t="b">
        <f t="shared" si="525"/>
        <v>0</v>
      </c>
      <c r="AP468" s="19" t="b">
        <f t="shared" si="526"/>
        <v>1</v>
      </c>
      <c r="AQ468" s="19" t="b">
        <f>IF(AND(COUNTBLANK(E468:J468)=6,OR(AN469:AN$523)),NOT(AN468))</f>
        <v>0</v>
      </c>
      <c r="AR468" s="19" t="str">
        <f t="shared" si="527"/>
        <v/>
      </c>
      <c r="AS468" s="19" t="b">
        <f t="shared" si="528"/>
        <v>1</v>
      </c>
      <c r="AT468" s="19" t="str">
        <f t="shared" si="529"/>
        <v/>
      </c>
      <c r="AU468" s="19" t="b">
        <f t="shared" si="530"/>
        <v>1</v>
      </c>
      <c r="AV468" s="140" t="str">
        <f t="shared" si="570"/>
        <v/>
      </c>
      <c r="AW468" s="19" t="str">
        <f t="shared" si="531"/>
        <v/>
      </c>
      <c r="AX468" s="81">
        <f t="shared" si="532"/>
        <v>0</v>
      </c>
      <c r="AY468" s="81" t="str">
        <f t="shared" si="533"/>
        <v/>
      </c>
      <c r="AZ468" s="307" t="str">
        <f t="shared" si="563"/>
        <v/>
      </c>
      <c r="BA468" s="281" t="str">
        <f t="shared" si="571"/>
        <v/>
      </c>
      <c r="BB468" s="281" t="str">
        <f t="shared" si="572"/>
        <v/>
      </c>
      <c r="BC468" s="953"/>
      <c r="BD468" s="955"/>
      <c r="BE468" s="219" t="str">
        <f t="shared" si="534"/>
        <v>n/a</v>
      </c>
      <c r="BF468" s="215" t="b">
        <f t="shared" si="535"/>
        <v>0</v>
      </c>
      <c r="BG468" s="145" t="b">
        <f t="shared" si="536"/>
        <v>0</v>
      </c>
      <c r="BH468" s="145" t="b">
        <f t="shared" si="537"/>
        <v>0</v>
      </c>
      <c r="BI468" s="216" t="b">
        <f t="shared" si="538"/>
        <v>0</v>
      </c>
      <c r="BJ468" s="215" t="b">
        <f t="shared" si="539"/>
        <v>0</v>
      </c>
      <c r="BK468" s="145" t="b">
        <f t="shared" si="540"/>
        <v>0</v>
      </c>
      <c r="BL468" s="216" t="b">
        <f t="shared" si="541"/>
        <v>0</v>
      </c>
      <c r="BM468" s="217" t="str">
        <f t="shared" si="573"/>
        <v/>
      </c>
      <c r="BN468" s="146" t="str">
        <f t="shared" si="574"/>
        <v/>
      </c>
      <c r="BO468" s="147" t="str">
        <f t="shared" si="575"/>
        <v/>
      </c>
      <c r="BP468" s="148" t="str">
        <f t="shared" si="576"/>
        <v/>
      </c>
      <c r="BT468" s="50">
        <f t="shared" si="596"/>
        <v>445</v>
      </c>
      <c r="BU468" s="50" t="str">
        <f t="shared" si="592"/>
        <v>-</v>
      </c>
      <c r="BW468" s="340"/>
      <c r="BX468" s="333"/>
      <c r="BY468" s="333"/>
      <c r="BZ468" s="333"/>
      <c r="CA468" s="333"/>
      <c r="CB468" s="333"/>
      <c r="CC468" s="333"/>
      <c r="CD468" s="333"/>
      <c r="CE468" s="333"/>
      <c r="CF468" s="333"/>
      <c r="CG468" s="354">
        <f t="shared" si="542"/>
        <v>445</v>
      </c>
      <c r="CH468" s="613">
        <f t="shared" si="543"/>
        <v>0</v>
      </c>
      <c r="CI468" s="613">
        <f t="shared" si="544"/>
        <v>0</v>
      </c>
      <c r="CJ468" s="614" t="str">
        <f t="shared" si="545"/>
        <v/>
      </c>
      <c r="CK468" s="615" t="str">
        <f t="shared" si="546"/>
        <v/>
      </c>
      <c r="CL468" s="610" t="str">
        <f>IF(ISBLANK(H468),"",IF(AND(ISNUMBER(F468),ISNUMBER(G468),ISNUMBER(H468)),ROUND(F468/(H468*G468),2),ROUND(F468/(VALUE(LEFT(H468,SUM(LEN(H468)-LEN(SUBSTITUTE(H468,{"0","1","2","3","4","5","6","7","8","9","."},"")))))*G468),2)))</f>
        <v/>
      </c>
      <c r="CM468" s="616" t="str">
        <f t="shared" si="577"/>
        <v/>
      </c>
      <c r="CN468" s="616" t="str">
        <f>IF(ISNUMBER(P468),MAX('Adjustment factors'!$S$16,(0.2+0.8*P468)),IF(ISTEXT(N468),VLOOKUP(N468,Afactors,2,FALSE),""))</f>
        <v/>
      </c>
      <c r="CO468" s="616" t="str">
        <f>IF(ISNUMBER(S468),MAX('Adjustment factors'!$S$16,0.2+0.8*S468),IF(ISTEXT(Q468),VLOOKUP(Q468,Afactors,2,FALSE),""))</f>
        <v/>
      </c>
      <c r="CP468" s="611" t="str">
        <f t="shared" si="564"/>
        <v/>
      </c>
      <c r="CQ468" s="612" t="str">
        <f t="shared" si="565"/>
        <v/>
      </c>
      <c r="CR468" s="340"/>
      <c r="CS468" s="340"/>
      <c r="CT468" s="340"/>
      <c r="CU468" s="340"/>
      <c r="CV468" s="333"/>
      <c r="CW468" s="333"/>
      <c r="CX468" s="333"/>
      <c r="CY468" s="333"/>
      <c r="DA468" s="313" t="str">
        <f t="shared" si="547"/>
        <v>OK</v>
      </c>
      <c r="DB468" s="313" t="str">
        <f t="shared" si="548"/>
        <v>OK</v>
      </c>
      <c r="DC468" s="313" t="str">
        <f t="shared" si="549"/>
        <v>OK</v>
      </c>
      <c r="DD468" s="313" t="str">
        <f t="shared" si="550"/>
        <v>OK</v>
      </c>
      <c r="DE468" s="153" t="str">
        <f t="shared" si="551"/>
        <v>OK</v>
      </c>
      <c r="DF468" s="314" t="str">
        <f t="shared" si="552"/>
        <v>OK</v>
      </c>
      <c r="DG468" s="482" t="str">
        <f t="shared" si="566"/>
        <v>OK</v>
      </c>
      <c r="DH468" s="482" t="str">
        <f>IF(OR(AND(T468='Adjustment factors'!$R$28,'Class 3, 5-9'!U468='Adjustment factors'!$R$29),AND('Class 3, 5-9'!T468='Adjustment factors'!$R$29,'Class 3, 5-9'!U468='Adjustment factors'!$R$28)),"Invalid combination of adjustment factors",IF(AND(T468=U468,NOT(ISBLANK(T468)),NOT(ISBLANK(U468))),"Same colour factor selected twice","OK"))</f>
        <v>OK</v>
      </c>
      <c r="DI468" s="313" t="str">
        <f t="shared" si="553"/>
        <v>OK</v>
      </c>
      <c r="DJ468" s="153" t="str">
        <f t="shared" si="578"/>
        <v>OK</v>
      </c>
      <c r="DK468" s="153" t="str">
        <f t="shared" si="554"/>
        <v>OK</v>
      </c>
      <c r="DL468" s="313" t="str">
        <f t="shared" si="555"/>
        <v>OK</v>
      </c>
      <c r="DM468" s="153" t="str">
        <f t="shared" si="556"/>
        <v>OK</v>
      </c>
      <c r="DN468" s="153" t="str">
        <f t="shared" si="579"/>
        <v>OK</v>
      </c>
      <c r="DO468" s="154" t="str">
        <f t="shared" si="580"/>
        <v>OK</v>
      </c>
      <c r="DP468" s="153" t="str">
        <f t="shared" si="557"/>
        <v>OK</v>
      </c>
      <c r="DQ468" s="313" t="str">
        <f t="shared" si="558"/>
        <v>OK</v>
      </c>
      <c r="DR468" s="153" t="str">
        <f t="shared" si="581"/>
        <v>OK</v>
      </c>
      <c r="DS468" s="153" t="str">
        <f t="shared" si="559"/>
        <v>OK</v>
      </c>
      <c r="DT468" s="313" t="str">
        <f t="shared" si="594"/>
        <v>OK</v>
      </c>
      <c r="DU468" s="153" t="str">
        <f t="shared" si="560"/>
        <v>OK</v>
      </c>
      <c r="DV468" s="153" t="str">
        <f t="shared" si="582"/>
        <v>OK</v>
      </c>
      <c r="DW468" s="154" t="str">
        <f t="shared" si="583"/>
        <v>OK</v>
      </c>
      <c r="DX468" s="157">
        <f t="shared" si="584"/>
        <v>0</v>
      </c>
      <c r="DY468" s="156" t="str">
        <f t="shared" si="585"/>
        <v>OK</v>
      </c>
    </row>
    <row r="469" spans="1:129" ht="13" hidden="1" x14ac:dyDescent="0.3">
      <c r="A469" s="333"/>
      <c r="B469" s="333"/>
      <c r="C469" s="332" t="str">
        <f t="shared" si="593"/>
        <v>-</v>
      </c>
      <c r="D469" s="584">
        <f t="shared" si="597"/>
        <v>446</v>
      </c>
      <c r="E469" s="585"/>
      <c r="F469" s="586"/>
      <c r="G469" s="600"/>
      <c r="H469" s="587"/>
      <c r="I469" s="601"/>
      <c r="J469" s="585"/>
      <c r="K469" s="617"/>
      <c r="L469" s="602"/>
      <c r="M469" s="603"/>
      <c r="N469" s="588"/>
      <c r="O469" s="604"/>
      <c r="P469" s="605"/>
      <c r="Q469" s="588"/>
      <c r="R469" s="604"/>
      <c r="S469" s="605"/>
      <c r="T469" s="606"/>
      <c r="U469" s="606"/>
      <c r="V469" s="429" t="str">
        <f t="shared" si="590"/>
        <v/>
      </c>
      <c r="W469" s="430" t="str">
        <f t="shared" si="589"/>
        <v/>
      </c>
      <c r="X469" s="66" t="str">
        <f>IF(AND(ISNUMBER(P469),N469=FixedDim),MAX('Adjustment factors'!$S$16,0.2+0.8*P469),IF(ISTEXT(N469),VLOOKUP(N469,Afactors,2,TRUE),""))</f>
        <v/>
      </c>
      <c r="Y469" s="17" t="str">
        <f>IF(AND(ISNUMBER(S469),Q469=FixedDim),MAX('Adjustment factors'!$S$16,0.2+0.8*S469),IF(ISTEXT(Q469),VLOOKUP(Q469,Afactors,2,TRUE),""))</f>
        <v/>
      </c>
      <c r="Z469" s="297" t="str">
        <f>IF(ISBLANK(T469),"",VLOOKUP(T469,'Adjustment factors'!$R$27:$S$30,2,TRUE))</f>
        <v/>
      </c>
      <c r="AA469" s="297" t="str">
        <f>IF(ISBLANK(U469),"",VLOOKUP(U469,'Adjustment factors'!$R$27:$S$30,2,TRUE))</f>
        <v/>
      </c>
      <c r="AB469" s="480">
        <f t="shared" si="561"/>
        <v>1</v>
      </c>
      <c r="AC469" s="18" t="b">
        <f t="shared" si="518"/>
        <v>0</v>
      </c>
      <c r="AD469" s="18" t="b">
        <f t="shared" si="519"/>
        <v>0</v>
      </c>
      <c r="AE469" s="18" t="b">
        <f t="shared" si="586"/>
        <v>0</v>
      </c>
      <c r="AF469" s="17" t="str">
        <f t="shared" si="520"/>
        <v/>
      </c>
      <c r="AG469" s="18" t="str">
        <f t="shared" si="521"/>
        <v/>
      </c>
      <c r="AH469" s="17" t="str">
        <f t="shared" si="587"/>
        <v/>
      </c>
      <c r="AI469" s="297" t="e">
        <f t="shared" si="562"/>
        <v>#VALUE!</v>
      </c>
      <c r="AJ469" s="79" t="e">
        <f t="shared" si="522"/>
        <v>#VALUE!</v>
      </c>
      <c r="AK469" s="17" t="str">
        <f t="shared" si="588"/>
        <v/>
      </c>
      <c r="AL469" s="80" t="e">
        <f t="shared" si="523"/>
        <v>#VALUE!</v>
      </c>
      <c r="AM469" s="139" t="b">
        <f t="shared" si="524"/>
        <v>1</v>
      </c>
      <c r="AN469" s="139" t="b">
        <f>AND(COUNTA(E469)&gt;0,ISNUMBER(F469),OR(COUNT(G469:H469)=0,COUNT(G469:H469)=2,AND(ISNUMBER(G469),ISNUMBER(VALUE(LEFT(H469,SUM(LEN(H469)-LEN(SUBSTITUTE(H469,{"0","1","2","3","4","5","6","7","8","9","."},"")))))))),ISNUMBER(I469),ISTEXT(J469))</f>
        <v>0</v>
      </c>
      <c r="AO469" s="19" t="b">
        <f t="shared" si="525"/>
        <v>0</v>
      </c>
      <c r="AP469" s="19" t="b">
        <f t="shared" si="526"/>
        <v>1</v>
      </c>
      <c r="AQ469" s="19" t="b">
        <f>IF(AND(COUNTBLANK(E469:J469)=6,OR(AN470:AN$523)),NOT(AN469))</f>
        <v>0</v>
      </c>
      <c r="AR469" s="19" t="str">
        <f t="shared" si="527"/>
        <v/>
      </c>
      <c r="AS469" s="19" t="b">
        <f t="shared" si="528"/>
        <v>1</v>
      </c>
      <c r="AT469" s="19" t="str">
        <f t="shared" si="529"/>
        <v/>
      </c>
      <c r="AU469" s="19" t="b">
        <f t="shared" si="530"/>
        <v>1</v>
      </c>
      <c r="AV469" s="140" t="str">
        <f t="shared" si="570"/>
        <v/>
      </c>
      <c r="AW469" s="19" t="str">
        <f t="shared" si="531"/>
        <v/>
      </c>
      <c r="AX469" s="81">
        <f t="shared" si="532"/>
        <v>0</v>
      </c>
      <c r="AY469" s="81" t="str">
        <f t="shared" si="533"/>
        <v/>
      </c>
      <c r="AZ469" s="307" t="str">
        <f t="shared" si="563"/>
        <v/>
      </c>
      <c r="BA469" s="281" t="str">
        <f t="shared" si="571"/>
        <v/>
      </c>
      <c r="BB469" s="281" t="str">
        <f t="shared" si="572"/>
        <v/>
      </c>
      <c r="BC469" s="953"/>
      <c r="BD469" s="955"/>
      <c r="BE469" s="219" t="str">
        <f t="shared" si="534"/>
        <v>n/a</v>
      </c>
      <c r="BF469" s="215" t="b">
        <f t="shared" si="535"/>
        <v>0</v>
      </c>
      <c r="BG469" s="145" t="b">
        <f t="shared" si="536"/>
        <v>0</v>
      </c>
      <c r="BH469" s="145" t="b">
        <f t="shared" si="537"/>
        <v>0</v>
      </c>
      <c r="BI469" s="216" t="b">
        <f t="shared" si="538"/>
        <v>0</v>
      </c>
      <c r="BJ469" s="215" t="b">
        <f t="shared" si="539"/>
        <v>0</v>
      </c>
      <c r="BK469" s="145" t="b">
        <f t="shared" si="540"/>
        <v>0</v>
      </c>
      <c r="BL469" s="216" t="b">
        <f t="shared" si="541"/>
        <v>0</v>
      </c>
      <c r="BM469" s="217" t="str">
        <f t="shared" si="573"/>
        <v/>
      </c>
      <c r="BN469" s="146" t="str">
        <f t="shared" si="574"/>
        <v/>
      </c>
      <c r="BO469" s="147" t="str">
        <f t="shared" si="575"/>
        <v/>
      </c>
      <c r="BP469" s="148" t="str">
        <f t="shared" si="576"/>
        <v/>
      </c>
      <c r="BT469" s="50">
        <f t="shared" si="596"/>
        <v>446</v>
      </c>
      <c r="BU469" s="50" t="str">
        <f t="shared" si="592"/>
        <v>-</v>
      </c>
      <c r="BW469" s="340"/>
      <c r="BX469" s="333"/>
      <c r="BY469" s="333"/>
      <c r="BZ469" s="333"/>
      <c r="CA469" s="333"/>
      <c r="CB469" s="333"/>
      <c r="CC469" s="333"/>
      <c r="CD469" s="333"/>
      <c r="CE469" s="333"/>
      <c r="CF469" s="333"/>
      <c r="CG469" s="354">
        <f t="shared" si="542"/>
        <v>446</v>
      </c>
      <c r="CH469" s="613">
        <f t="shared" si="543"/>
        <v>0</v>
      </c>
      <c r="CI469" s="613">
        <f t="shared" si="544"/>
        <v>0</v>
      </c>
      <c r="CJ469" s="614" t="str">
        <f t="shared" si="545"/>
        <v/>
      </c>
      <c r="CK469" s="615" t="str">
        <f t="shared" si="546"/>
        <v/>
      </c>
      <c r="CL469" s="610" t="str">
        <f>IF(ISBLANK(H469),"",IF(AND(ISNUMBER(F469),ISNUMBER(G469),ISNUMBER(H469)),ROUND(F469/(H469*G469),2),ROUND(F469/(VALUE(LEFT(H469,SUM(LEN(H469)-LEN(SUBSTITUTE(H469,{"0","1","2","3","4","5","6","7","8","9","."},"")))))*G469),2)))</f>
        <v/>
      </c>
      <c r="CM469" s="616" t="str">
        <f t="shared" si="577"/>
        <v/>
      </c>
      <c r="CN469" s="616" t="str">
        <f>IF(ISNUMBER(P469),MAX('Adjustment factors'!$S$16,(0.2+0.8*P469)),IF(ISTEXT(N469),VLOOKUP(N469,Afactors,2,FALSE),""))</f>
        <v/>
      </c>
      <c r="CO469" s="616" t="str">
        <f>IF(ISNUMBER(S469),MAX('Adjustment factors'!$S$16,0.2+0.8*S469),IF(ISTEXT(Q469),VLOOKUP(Q469,Afactors,2,FALSE),""))</f>
        <v/>
      </c>
      <c r="CP469" s="611" t="str">
        <f t="shared" si="564"/>
        <v/>
      </c>
      <c r="CQ469" s="612" t="str">
        <f t="shared" si="565"/>
        <v/>
      </c>
      <c r="CR469" s="340"/>
      <c r="CS469" s="340"/>
      <c r="CT469" s="340"/>
      <c r="CU469" s="340"/>
      <c r="CV469" s="333"/>
      <c r="CW469" s="333"/>
      <c r="CX469" s="333"/>
      <c r="CY469" s="333"/>
      <c r="DA469" s="313" t="str">
        <f t="shared" si="547"/>
        <v>OK</v>
      </c>
      <c r="DB469" s="313" t="str">
        <f t="shared" si="548"/>
        <v>OK</v>
      </c>
      <c r="DC469" s="313" t="str">
        <f t="shared" si="549"/>
        <v>OK</v>
      </c>
      <c r="DD469" s="313" t="str">
        <f t="shared" si="550"/>
        <v>OK</v>
      </c>
      <c r="DE469" s="153" t="str">
        <f t="shared" si="551"/>
        <v>OK</v>
      </c>
      <c r="DF469" s="314" t="str">
        <f t="shared" si="552"/>
        <v>OK</v>
      </c>
      <c r="DG469" s="482" t="str">
        <f t="shared" si="566"/>
        <v>OK</v>
      </c>
      <c r="DH469" s="482" t="str">
        <f>IF(OR(AND(T469='Adjustment factors'!$R$28,'Class 3, 5-9'!U469='Adjustment factors'!$R$29),AND('Class 3, 5-9'!T469='Adjustment factors'!$R$29,'Class 3, 5-9'!U469='Adjustment factors'!$R$28)),"Invalid combination of adjustment factors",IF(AND(T469=U469,NOT(ISBLANK(T469)),NOT(ISBLANK(U469))),"Same colour factor selected twice","OK"))</f>
        <v>OK</v>
      </c>
      <c r="DI469" s="313" t="str">
        <f t="shared" si="553"/>
        <v>OK</v>
      </c>
      <c r="DJ469" s="153" t="str">
        <f t="shared" si="578"/>
        <v>OK</v>
      </c>
      <c r="DK469" s="153" t="str">
        <f t="shared" si="554"/>
        <v>OK</v>
      </c>
      <c r="DL469" s="313" t="str">
        <f t="shared" si="555"/>
        <v>OK</v>
      </c>
      <c r="DM469" s="153" t="str">
        <f t="shared" si="556"/>
        <v>OK</v>
      </c>
      <c r="DN469" s="153" t="str">
        <f t="shared" si="579"/>
        <v>OK</v>
      </c>
      <c r="DO469" s="154" t="str">
        <f t="shared" si="580"/>
        <v>OK</v>
      </c>
      <c r="DP469" s="153" t="str">
        <f t="shared" si="557"/>
        <v>OK</v>
      </c>
      <c r="DQ469" s="313" t="str">
        <f t="shared" si="558"/>
        <v>OK</v>
      </c>
      <c r="DR469" s="153" t="str">
        <f t="shared" si="581"/>
        <v>OK</v>
      </c>
      <c r="DS469" s="153" t="str">
        <f t="shared" si="559"/>
        <v>OK</v>
      </c>
      <c r="DT469" s="313" t="str">
        <f t="shared" si="594"/>
        <v>OK</v>
      </c>
      <c r="DU469" s="153" t="str">
        <f t="shared" si="560"/>
        <v>OK</v>
      </c>
      <c r="DV469" s="153" t="str">
        <f t="shared" si="582"/>
        <v>OK</v>
      </c>
      <c r="DW469" s="154" t="str">
        <f t="shared" si="583"/>
        <v>OK</v>
      </c>
      <c r="DX469" s="157">
        <f t="shared" si="584"/>
        <v>0</v>
      </c>
      <c r="DY469" s="156" t="str">
        <f t="shared" si="585"/>
        <v>OK</v>
      </c>
    </row>
    <row r="470" spans="1:129" ht="13" hidden="1" x14ac:dyDescent="0.3">
      <c r="A470" s="333"/>
      <c r="B470" s="333"/>
      <c r="C470" s="332" t="str">
        <f t="shared" si="593"/>
        <v>-</v>
      </c>
      <c r="D470" s="584">
        <f t="shared" si="597"/>
        <v>447</v>
      </c>
      <c r="E470" s="585"/>
      <c r="F470" s="586"/>
      <c r="G470" s="600"/>
      <c r="H470" s="587"/>
      <c r="I470" s="601"/>
      <c r="J470" s="585"/>
      <c r="K470" s="617"/>
      <c r="L470" s="602"/>
      <c r="M470" s="603"/>
      <c r="N470" s="588"/>
      <c r="O470" s="604"/>
      <c r="P470" s="605"/>
      <c r="Q470" s="588"/>
      <c r="R470" s="604"/>
      <c r="S470" s="605"/>
      <c r="T470" s="606"/>
      <c r="U470" s="606"/>
      <c r="V470" s="429" t="str">
        <f t="shared" si="590"/>
        <v/>
      </c>
      <c r="W470" s="430" t="str">
        <f t="shared" si="589"/>
        <v/>
      </c>
      <c r="X470" s="66" t="str">
        <f>IF(AND(ISNUMBER(P470),N470=FixedDim),MAX('Adjustment factors'!$S$16,0.2+0.8*P470),IF(ISTEXT(N470),VLOOKUP(N470,Afactors,2,TRUE),""))</f>
        <v/>
      </c>
      <c r="Y470" s="17" t="str">
        <f>IF(AND(ISNUMBER(S470),Q470=FixedDim),MAX('Adjustment factors'!$S$16,0.2+0.8*S470),IF(ISTEXT(Q470),VLOOKUP(Q470,Afactors,2,TRUE),""))</f>
        <v/>
      </c>
      <c r="Z470" s="297" t="str">
        <f>IF(ISBLANK(T470),"",VLOOKUP(T470,'Adjustment factors'!$R$27:$S$30,2,TRUE))</f>
        <v/>
      </c>
      <c r="AA470" s="297" t="str">
        <f>IF(ISBLANK(U470),"",VLOOKUP(U470,'Adjustment factors'!$R$27:$S$30,2,TRUE))</f>
        <v/>
      </c>
      <c r="AB470" s="480">
        <f t="shared" si="561"/>
        <v>1</v>
      </c>
      <c r="AC470" s="18" t="b">
        <f t="shared" si="518"/>
        <v>0</v>
      </c>
      <c r="AD470" s="18" t="b">
        <f t="shared" si="519"/>
        <v>0</v>
      </c>
      <c r="AE470" s="18" t="b">
        <f t="shared" si="586"/>
        <v>0</v>
      </c>
      <c r="AF470" s="17" t="str">
        <f t="shared" si="520"/>
        <v/>
      </c>
      <c r="AG470" s="18" t="str">
        <f t="shared" si="521"/>
        <v/>
      </c>
      <c r="AH470" s="17" t="str">
        <f t="shared" si="587"/>
        <v/>
      </c>
      <c r="AI470" s="297" t="e">
        <f t="shared" si="562"/>
        <v>#VALUE!</v>
      </c>
      <c r="AJ470" s="79" t="e">
        <f t="shared" si="522"/>
        <v>#VALUE!</v>
      </c>
      <c r="AK470" s="17" t="str">
        <f t="shared" si="588"/>
        <v/>
      </c>
      <c r="AL470" s="80" t="e">
        <f t="shared" si="523"/>
        <v>#VALUE!</v>
      </c>
      <c r="AM470" s="139" t="b">
        <f t="shared" si="524"/>
        <v>1</v>
      </c>
      <c r="AN470" s="139" t="b">
        <f>AND(COUNTA(E470)&gt;0,ISNUMBER(F470),OR(COUNT(G470:H470)=0,COUNT(G470:H470)=2,AND(ISNUMBER(G470),ISNUMBER(VALUE(LEFT(H470,SUM(LEN(H470)-LEN(SUBSTITUTE(H470,{"0","1","2","3","4","5","6","7","8","9","."},"")))))))),ISNUMBER(I470),ISTEXT(J470))</f>
        <v>0</v>
      </c>
      <c r="AO470" s="19" t="b">
        <f t="shared" si="525"/>
        <v>0</v>
      </c>
      <c r="AP470" s="19" t="b">
        <f t="shared" si="526"/>
        <v>1</v>
      </c>
      <c r="AQ470" s="19" t="b">
        <f>IF(AND(COUNTBLANK(E470:J470)=6,OR(AN471:AN$523)),NOT(AN470))</f>
        <v>0</v>
      </c>
      <c r="AR470" s="19" t="str">
        <f t="shared" si="527"/>
        <v/>
      </c>
      <c r="AS470" s="19" t="b">
        <f t="shared" si="528"/>
        <v>1</v>
      </c>
      <c r="AT470" s="19" t="str">
        <f t="shared" si="529"/>
        <v/>
      </c>
      <c r="AU470" s="19" t="b">
        <f t="shared" si="530"/>
        <v>1</v>
      </c>
      <c r="AV470" s="140" t="str">
        <f t="shared" si="570"/>
        <v/>
      </c>
      <c r="AW470" s="19" t="str">
        <f t="shared" si="531"/>
        <v/>
      </c>
      <c r="AX470" s="81">
        <f t="shared" si="532"/>
        <v>0</v>
      </c>
      <c r="AY470" s="81" t="str">
        <f t="shared" si="533"/>
        <v/>
      </c>
      <c r="AZ470" s="307" t="str">
        <f t="shared" si="563"/>
        <v/>
      </c>
      <c r="BA470" s="281" t="str">
        <f t="shared" si="571"/>
        <v/>
      </c>
      <c r="BB470" s="281" t="str">
        <f t="shared" si="572"/>
        <v/>
      </c>
      <c r="BC470" s="953"/>
      <c r="BD470" s="955"/>
      <c r="BE470" s="219" t="str">
        <f t="shared" si="534"/>
        <v>n/a</v>
      </c>
      <c r="BF470" s="215" t="b">
        <f t="shared" si="535"/>
        <v>0</v>
      </c>
      <c r="BG470" s="145" t="b">
        <f t="shared" si="536"/>
        <v>0</v>
      </c>
      <c r="BH470" s="145" t="b">
        <f t="shared" si="537"/>
        <v>0</v>
      </c>
      <c r="BI470" s="216" t="b">
        <f t="shared" si="538"/>
        <v>0</v>
      </c>
      <c r="BJ470" s="215" t="b">
        <f t="shared" si="539"/>
        <v>0</v>
      </c>
      <c r="BK470" s="145" t="b">
        <f t="shared" si="540"/>
        <v>0</v>
      </c>
      <c r="BL470" s="216" t="b">
        <f t="shared" si="541"/>
        <v>0</v>
      </c>
      <c r="BM470" s="217" t="str">
        <f t="shared" si="573"/>
        <v/>
      </c>
      <c r="BN470" s="146" t="str">
        <f t="shared" si="574"/>
        <v/>
      </c>
      <c r="BO470" s="147" t="str">
        <f t="shared" si="575"/>
        <v/>
      </c>
      <c r="BP470" s="148" t="str">
        <f t="shared" si="576"/>
        <v/>
      </c>
      <c r="BT470" s="50">
        <f t="shared" si="596"/>
        <v>447</v>
      </c>
      <c r="BU470" s="50" t="str">
        <f t="shared" si="592"/>
        <v>-</v>
      </c>
      <c r="BW470" s="340"/>
      <c r="BX470" s="333"/>
      <c r="BY470" s="333"/>
      <c r="BZ470" s="333"/>
      <c r="CA470" s="333"/>
      <c r="CB470" s="333"/>
      <c r="CC470" s="333"/>
      <c r="CD470" s="333"/>
      <c r="CE470" s="333"/>
      <c r="CF470" s="333"/>
      <c r="CG470" s="354">
        <f t="shared" si="542"/>
        <v>447</v>
      </c>
      <c r="CH470" s="613">
        <f t="shared" si="543"/>
        <v>0</v>
      </c>
      <c r="CI470" s="613">
        <f t="shared" si="544"/>
        <v>0</v>
      </c>
      <c r="CJ470" s="614" t="str">
        <f t="shared" si="545"/>
        <v/>
      </c>
      <c r="CK470" s="615" t="str">
        <f t="shared" si="546"/>
        <v/>
      </c>
      <c r="CL470" s="610" t="str">
        <f>IF(ISBLANK(H470),"",IF(AND(ISNUMBER(F470),ISNUMBER(G470),ISNUMBER(H470)),ROUND(F470/(H470*G470),2),ROUND(F470/(VALUE(LEFT(H470,SUM(LEN(H470)-LEN(SUBSTITUTE(H470,{"0","1","2","3","4","5","6","7","8","9","."},"")))))*G470),2)))</f>
        <v/>
      </c>
      <c r="CM470" s="616" t="str">
        <f t="shared" si="577"/>
        <v/>
      </c>
      <c r="CN470" s="616" t="str">
        <f>IF(ISNUMBER(P470),MAX('Adjustment factors'!$S$16,(0.2+0.8*P470)),IF(ISTEXT(N470),VLOOKUP(N470,Afactors,2,FALSE),""))</f>
        <v/>
      </c>
      <c r="CO470" s="616" t="str">
        <f>IF(ISNUMBER(S470),MAX('Adjustment factors'!$S$16,0.2+0.8*S470),IF(ISTEXT(Q470),VLOOKUP(Q470,Afactors,2,FALSE),""))</f>
        <v/>
      </c>
      <c r="CP470" s="611" t="str">
        <f t="shared" si="564"/>
        <v/>
      </c>
      <c r="CQ470" s="612" t="str">
        <f t="shared" si="565"/>
        <v/>
      </c>
      <c r="CR470" s="340"/>
      <c r="CS470" s="340"/>
      <c r="CT470" s="340"/>
      <c r="CU470" s="340"/>
      <c r="CV470" s="333"/>
      <c r="CW470" s="333"/>
      <c r="CX470" s="333"/>
      <c r="CY470" s="333"/>
      <c r="DA470" s="313" t="str">
        <f t="shared" si="547"/>
        <v>OK</v>
      </c>
      <c r="DB470" s="313" t="str">
        <f t="shared" si="548"/>
        <v>OK</v>
      </c>
      <c r="DC470" s="313" t="str">
        <f t="shared" si="549"/>
        <v>OK</v>
      </c>
      <c r="DD470" s="313" t="str">
        <f t="shared" si="550"/>
        <v>OK</v>
      </c>
      <c r="DE470" s="153" t="str">
        <f t="shared" si="551"/>
        <v>OK</v>
      </c>
      <c r="DF470" s="314" t="str">
        <f t="shared" si="552"/>
        <v>OK</v>
      </c>
      <c r="DG470" s="482" t="str">
        <f t="shared" si="566"/>
        <v>OK</v>
      </c>
      <c r="DH470" s="482" t="str">
        <f>IF(OR(AND(T470='Adjustment factors'!$R$28,'Class 3, 5-9'!U470='Adjustment factors'!$R$29),AND('Class 3, 5-9'!T470='Adjustment factors'!$R$29,'Class 3, 5-9'!U470='Adjustment factors'!$R$28)),"Invalid combination of adjustment factors",IF(AND(T470=U470,NOT(ISBLANK(T470)),NOT(ISBLANK(U470))),"Same colour factor selected twice","OK"))</f>
        <v>OK</v>
      </c>
      <c r="DI470" s="313" t="str">
        <f t="shared" si="553"/>
        <v>OK</v>
      </c>
      <c r="DJ470" s="153" t="str">
        <f t="shared" si="578"/>
        <v>OK</v>
      </c>
      <c r="DK470" s="153" t="str">
        <f t="shared" si="554"/>
        <v>OK</v>
      </c>
      <c r="DL470" s="313" t="str">
        <f t="shared" si="555"/>
        <v>OK</v>
      </c>
      <c r="DM470" s="153" t="str">
        <f t="shared" si="556"/>
        <v>OK</v>
      </c>
      <c r="DN470" s="153" t="str">
        <f t="shared" si="579"/>
        <v>OK</v>
      </c>
      <c r="DO470" s="154" t="str">
        <f t="shared" si="580"/>
        <v>OK</v>
      </c>
      <c r="DP470" s="153" t="str">
        <f t="shared" si="557"/>
        <v>OK</v>
      </c>
      <c r="DQ470" s="313" t="str">
        <f t="shared" si="558"/>
        <v>OK</v>
      </c>
      <c r="DR470" s="153" t="str">
        <f t="shared" si="581"/>
        <v>OK</v>
      </c>
      <c r="DS470" s="153" t="str">
        <f t="shared" si="559"/>
        <v>OK</v>
      </c>
      <c r="DT470" s="313" t="str">
        <f t="shared" si="594"/>
        <v>OK</v>
      </c>
      <c r="DU470" s="153" t="str">
        <f t="shared" si="560"/>
        <v>OK</v>
      </c>
      <c r="DV470" s="153" t="str">
        <f t="shared" si="582"/>
        <v>OK</v>
      </c>
      <c r="DW470" s="154" t="str">
        <f t="shared" si="583"/>
        <v>OK</v>
      </c>
      <c r="DX470" s="157">
        <f t="shared" si="584"/>
        <v>0</v>
      </c>
      <c r="DY470" s="156" t="str">
        <f t="shared" si="585"/>
        <v>OK</v>
      </c>
    </row>
    <row r="471" spans="1:129" ht="13" hidden="1" x14ac:dyDescent="0.3">
      <c r="A471" s="333"/>
      <c r="B471" s="333"/>
      <c r="C471" s="332" t="str">
        <f t="shared" si="593"/>
        <v>-</v>
      </c>
      <c r="D471" s="584">
        <f t="shared" si="597"/>
        <v>448</v>
      </c>
      <c r="E471" s="585"/>
      <c r="F471" s="586"/>
      <c r="G471" s="600"/>
      <c r="H471" s="587"/>
      <c r="I471" s="601"/>
      <c r="J471" s="585"/>
      <c r="K471" s="617"/>
      <c r="L471" s="602"/>
      <c r="M471" s="603"/>
      <c r="N471" s="588"/>
      <c r="O471" s="604"/>
      <c r="P471" s="605"/>
      <c r="Q471" s="588"/>
      <c r="R471" s="604"/>
      <c r="S471" s="605"/>
      <c r="T471" s="606"/>
      <c r="U471" s="606"/>
      <c r="V471" s="429" t="str">
        <f t="shared" si="590"/>
        <v/>
      </c>
      <c r="W471" s="430" t="str">
        <f t="shared" si="589"/>
        <v/>
      </c>
      <c r="X471" s="66" t="str">
        <f>IF(AND(ISNUMBER(P471),N471=FixedDim),MAX('Adjustment factors'!$S$16,0.2+0.8*P471),IF(ISTEXT(N471),VLOOKUP(N471,Afactors,2,TRUE),""))</f>
        <v/>
      </c>
      <c r="Y471" s="17" t="str">
        <f>IF(AND(ISNUMBER(S471),Q471=FixedDim),MAX('Adjustment factors'!$S$16,0.2+0.8*S471),IF(ISTEXT(Q471),VLOOKUP(Q471,Afactors,2,TRUE),""))</f>
        <v/>
      </c>
      <c r="Z471" s="297" t="str">
        <f>IF(ISBLANK(T471),"",VLOOKUP(T471,'Adjustment factors'!$R$27:$S$30,2,TRUE))</f>
        <v/>
      </c>
      <c r="AA471" s="297" t="str">
        <f>IF(ISBLANK(U471),"",VLOOKUP(U471,'Adjustment factors'!$R$27:$S$30,2,TRUE))</f>
        <v/>
      </c>
      <c r="AB471" s="480">
        <f t="shared" si="561"/>
        <v>1</v>
      </c>
      <c r="AC471" s="18" t="b">
        <f t="shared" si="518"/>
        <v>0</v>
      </c>
      <c r="AD471" s="18" t="b">
        <f t="shared" si="519"/>
        <v>0</v>
      </c>
      <c r="AE471" s="18" t="b">
        <f t="shared" si="586"/>
        <v>0</v>
      </c>
      <c r="AF471" s="17" t="str">
        <f t="shared" si="520"/>
        <v/>
      </c>
      <c r="AG471" s="18" t="str">
        <f t="shared" si="521"/>
        <v/>
      </c>
      <c r="AH471" s="17" t="str">
        <f t="shared" si="587"/>
        <v/>
      </c>
      <c r="AI471" s="297" t="e">
        <f t="shared" si="562"/>
        <v>#VALUE!</v>
      </c>
      <c r="AJ471" s="79" t="e">
        <f t="shared" si="522"/>
        <v>#VALUE!</v>
      </c>
      <c r="AK471" s="17" t="str">
        <f t="shared" si="588"/>
        <v/>
      </c>
      <c r="AL471" s="80" t="e">
        <f t="shared" si="523"/>
        <v>#VALUE!</v>
      </c>
      <c r="AM471" s="139" t="b">
        <f t="shared" si="524"/>
        <v>1</v>
      </c>
      <c r="AN471" s="139" t="b">
        <f>AND(COUNTA(E471)&gt;0,ISNUMBER(F471),OR(COUNT(G471:H471)=0,COUNT(G471:H471)=2,AND(ISNUMBER(G471),ISNUMBER(VALUE(LEFT(H471,SUM(LEN(H471)-LEN(SUBSTITUTE(H471,{"0","1","2","3","4","5","6","7","8","9","."},"")))))))),ISNUMBER(I471),ISTEXT(J471))</f>
        <v>0</v>
      </c>
      <c r="AO471" s="19" t="b">
        <f t="shared" si="525"/>
        <v>0</v>
      </c>
      <c r="AP471" s="19" t="b">
        <f t="shared" si="526"/>
        <v>1</v>
      </c>
      <c r="AQ471" s="19" t="b">
        <f>IF(AND(COUNTBLANK(E471:J471)=6,OR(AN472:AN$523)),NOT(AN471))</f>
        <v>0</v>
      </c>
      <c r="AR471" s="19" t="str">
        <f t="shared" si="527"/>
        <v/>
      </c>
      <c r="AS471" s="19" t="b">
        <f t="shared" si="528"/>
        <v>1</v>
      </c>
      <c r="AT471" s="19" t="str">
        <f t="shared" si="529"/>
        <v/>
      </c>
      <c r="AU471" s="19" t="b">
        <f t="shared" si="530"/>
        <v>1</v>
      </c>
      <c r="AV471" s="140" t="str">
        <f t="shared" si="570"/>
        <v/>
      </c>
      <c r="AW471" s="19" t="str">
        <f t="shared" si="531"/>
        <v/>
      </c>
      <c r="AX471" s="81">
        <f t="shared" si="532"/>
        <v>0</v>
      </c>
      <c r="AY471" s="81" t="str">
        <f t="shared" si="533"/>
        <v/>
      </c>
      <c r="AZ471" s="307" t="str">
        <f t="shared" si="563"/>
        <v/>
      </c>
      <c r="BA471" s="281" t="str">
        <f t="shared" si="571"/>
        <v/>
      </c>
      <c r="BB471" s="281" t="str">
        <f t="shared" si="572"/>
        <v/>
      </c>
      <c r="BC471" s="953"/>
      <c r="BD471" s="955"/>
      <c r="BE471" s="219" t="str">
        <f t="shared" si="534"/>
        <v>n/a</v>
      </c>
      <c r="BF471" s="215" t="b">
        <f t="shared" si="535"/>
        <v>0</v>
      </c>
      <c r="BG471" s="145" t="b">
        <f t="shared" si="536"/>
        <v>0</v>
      </c>
      <c r="BH471" s="145" t="b">
        <f t="shared" si="537"/>
        <v>0</v>
      </c>
      <c r="BI471" s="216" t="b">
        <f t="shared" si="538"/>
        <v>0</v>
      </c>
      <c r="BJ471" s="215" t="b">
        <f t="shared" si="539"/>
        <v>0</v>
      </c>
      <c r="BK471" s="145" t="b">
        <f t="shared" si="540"/>
        <v>0</v>
      </c>
      <c r="BL471" s="216" t="b">
        <f t="shared" si="541"/>
        <v>0</v>
      </c>
      <c r="BM471" s="217" t="str">
        <f t="shared" si="573"/>
        <v/>
      </c>
      <c r="BN471" s="146" t="str">
        <f t="shared" si="574"/>
        <v/>
      </c>
      <c r="BO471" s="147" t="str">
        <f t="shared" si="575"/>
        <v/>
      </c>
      <c r="BP471" s="148" t="str">
        <f t="shared" si="576"/>
        <v/>
      </c>
      <c r="BT471" s="50">
        <f t="shared" si="596"/>
        <v>448</v>
      </c>
      <c r="BU471" s="50" t="str">
        <f t="shared" si="592"/>
        <v>-</v>
      </c>
      <c r="BW471" s="340"/>
      <c r="BX471" s="333"/>
      <c r="BY471" s="333"/>
      <c r="BZ471" s="333"/>
      <c r="CA471" s="333"/>
      <c r="CB471" s="333"/>
      <c r="CC471" s="333"/>
      <c r="CD471" s="333"/>
      <c r="CE471" s="333"/>
      <c r="CF471" s="333"/>
      <c r="CG471" s="354">
        <f t="shared" si="542"/>
        <v>448</v>
      </c>
      <c r="CH471" s="613">
        <f t="shared" si="543"/>
        <v>0</v>
      </c>
      <c r="CI471" s="613">
        <f t="shared" si="544"/>
        <v>0</v>
      </c>
      <c r="CJ471" s="614" t="str">
        <f t="shared" si="545"/>
        <v/>
      </c>
      <c r="CK471" s="615" t="str">
        <f t="shared" si="546"/>
        <v/>
      </c>
      <c r="CL471" s="610" t="str">
        <f>IF(ISBLANK(H471),"",IF(AND(ISNUMBER(F471),ISNUMBER(G471),ISNUMBER(H471)),ROUND(F471/(H471*G471),2),ROUND(F471/(VALUE(LEFT(H471,SUM(LEN(H471)-LEN(SUBSTITUTE(H471,{"0","1","2","3","4","5","6","7","8","9","."},"")))))*G471),2)))</f>
        <v/>
      </c>
      <c r="CM471" s="616" t="str">
        <f t="shared" si="577"/>
        <v/>
      </c>
      <c r="CN471" s="616" t="str">
        <f>IF(ISNUMBER(P471),MAX('Adjustment factors'!$S$16,(0.2+0.8*P471)),IF(ISTEXT(N471),VLOOKUP(N471,Afactors,2,FALSE),""))</f>
        <v/>
      </c>
      <c r="CO471" s="616" t="str">
        <f>IF(ISNUMBER(S471),MAX('Adjustment factors'!$S$16,0.2+0.8*S471),IF(ISTEXT(Q471),VLOOKUP(Q471,Afactors,2,FALSE),""))</f>
        <v/>
      </c>
      <c r="CP471" s="611" t="str">
        <f t="shared" si="564"/>
        <v/>
      </c>
      <c r="CQ471" s="612" t="str">
        <f t="shared" si="565"/>
        <v/>
      </c>
      <c r="CR471" s="340"/>
      <c r="CS471" s="340"/>
      <c r="CT471" s="340"/>
      <c r="CU471" s="340"/>
      <c r="CV471" s="333"/>
      <c r="CW471" s="333"/>
      <c r="CX471" s="333"/>
      <c r="CY471" s="333"/>
      <c r="DA471" s="313" t="str">
        <f t="shared" si="547"/>
        <v>OK</v>
      </c>
      <c r="DB471" s="313" t="str">
        <f t="shared" si="548"/>
        <v>OK</v>
      </c>
      <c r="DC471" s="313" t="str">
        <f t="shared" si="549"/>
        <v>OK</v>
      </c>
      <c r="DD471" s="313" t="str">
        <f t="shared" si="550"/>
        <v>OK</v>
      </c>
      <c r="DE471" s="153" t="str">
        <f t="shared" si="551"/>
        <v>OK</v>
      </c>
      <c r="DF471" s="314" t="str">
        <f t="shared" si="552"/>
        <v>OK</v>
      </c>
      <c r="DG471" s="482" t="str">
        <f t="shared" si="566"/>
        <v>OK</v>
      </c>
      <c r="DH471" s="482" t="str">
        <f>IF(OR(AND(T471='Adjustment factors'!$R$28,'Class 3, 5-9'!U471='Adjustment factors'!$R$29),AND('Class 3, 5-9'!T471='Adjustment factors'!$R$29,'Class 3, 5-9'!U471='Adjustment factors'!$R$28)),"Invalid combination of adjustment factors",IF(AND(T471=U471,NOT(ISBLANK(T471)),NOT(ISBLANK(U471))),"Same colour factor selected twice","OK"))</f>
        <v>OK</v>
      </c>
      <c r="DI471" s="313" t="str">
        <f t="shared" si="553"/>
        <v>OK</v>
      </c>
      <c r="DJ471" s="153" t="str">
        <f t="shared" si="578"/>
        <v>OK</v>
      </c>
      <c r="DK471" s="153" t="str">
        <f t="shared" si="554"/>
        <v>OK</v>
      </c>
      <c r="DL471" s="313" t="str">
        <f t="shared" si="555"/>
        <v>OK</v>
      </c>
      <c r="DM471" s="153" t="str">
        <f t="shared" si="556"/>
        <v>OK</v>
      </c>
      <c r="DN471" s="153" t="str">
        <f t="shared" si="579"/>
        <v>OK</v>
      </c>
      <c r="DO471" s="154" t="str">
        <f t="shared" si="580"/>
        <v>OK</v>
      </c>
      <c r="DP471" s="153" t="str">
        <f t="shared" si="557"/>
        <v>OK</v>
      </c>
      <c r="DQ471" s="313" t="str">
        <f t="shared" si="558"/>
        <v>OK</v>
      </c>
      <c r="DR471" s="153" t="str">
        <f t="shared" si="581"/>
        <v>OK</v>
      </c>
      <c r="DS471" s="153" t="str">
        <f t="shared" si="559"/>
        <v>OK</v>
      </c>
      <c r="DT471" s="313" t="str">
        <f t="shared" ref="DT471:DT502" si="598">IF(AND(ISNUMBER(S471),Q471&lt;&gt;FixedDim),"Select fixed dimming with an illuminance factor","OK")</f>
        <v>OK</v>
      </c>
      <c r="DU471" s="153" t="str">
        <f t="shared" si="560"/>
        <v>OK</v>
      </c>
      <c r="DV471" s="153" t="str">
        <f t="shared" si="582"/>
        <v>OK</v>
      </c>
      <c r="DW471" s="154" t="str">
        <f t="shared" si="583"/>
        <v>OK</v>
      </c>
      <c r="DX471" s="157">
        <f t="shared" si="584"/>
        <v>0</v>
      </c>
      <c r="DY471" s="156" t="str">
        <f t="shared" si="585"/>
        <v>OK</v>
      </c>
    </row>
    <row r="472" spans="1:129" ht="13" hidden="1" x14ac:dyDescent="0.3">
      <c r="A472" s="333"/>
      <c r="B472" s="333"/>
      <c r="C472" s="332" t="str">
        <f t="shared" si="593"/>
        <v>-</v>
      </c>
      <c r="D472" s="584">
        <f t="shared" si="597"/>
        <v>449</v>
      </c>
      <c r="E472" s="585"/>
      <c r="F472" s="586"/>
      <c r="G472" s="600"/>
      <c r="H472" s="587"/>
      <c r="I472" s="601"/>
      <c r="J472" s="585"/>
      <c r="K472" s="617"/>
      <c r="L472" s="602"/>
      <c r="M472" s="603"/>
      <c r="N472" s="588"/>
      <c r="O472" s="604"/>
      <c r="P472" s="605"/>
      <c r="Q472" s="588"/>
      <c r="R472" s="604"/>
      <c r="S472" s="605"/>
      <c r="T472" s="606"/>
      <c r="U472" s="606"/>
      <c r="V472" s="429" t="str">
        <f t="shared" si="590"/>
        <v/>
      </c>
      <c r="W472" s="430" t="str">
        <f t="shared" si="589"/>
        <v/>
      </c>
      <c r="X472" s="66" t="str">
        <f>IF(AND(ISNUMBER(P472),N472=FixedDim),MAX('Adjustment factors'!$S$16,0.2+0.8*P472),IF(ISTEXT(N472),VLOOKUP(N472,Afactors,2,TRUE),""))</f>
        <v/>
      </c>
      <c r="Y472" s="17" t="str">
        <f>IF(AND(ISNUMBER(S472),Q472=FixedDim),MAX('Adjustment factors'!$S$16,0.2+0.8*S472),IF(ISTEXT(Q472),VLOOKUP(Q472,Afactors,2,TRUE),""))</f>
        <v/>
      </c>
      <c r="Z472" s="297" t="str">
        <f>IF(ISBLANK(T472),"",VLOOKUP(T472,'Adjustment factors'!$R$27:$S$30,2,TRUE))</f>
        <v/>
      </c>
      <c r="AA472" s="297" t="str">
        <f>IF(ISBLANK(U472),"",VLOOKUP(U472,'Adjustment factors'!$R$27:$S$30,2,TRUE))</f>
        <v/>
      </c>
      <c r="AB472" s="480">
        <f t="shared" si="561"/>
        <v>1</v>
      </c>
      <c r="AC472" s="18" t="b">
        <f t="shared" ref="AC472:AC523" si="599">OR(ISNUMBER(X472),ISNUMBER(Y472))</f>
        <v>0</v>
      </c>
      <c r="AD472" s="18" t="b">
        <f t="shared" ref="AD472:AD523" si="600">AND(ISNUMBER(X472),ISNUMBER(Y472))</f>
        <v>0</v>
      </c>
      <c r="AE472" s="18" t="b">
        <f t="shared" si="586"/>
        <v>0</v>
      </c>
      <c r="AF472" s="17" t="str">
        <f t="shared" ref="AF472:AF523" si="601">IF(OR(ISNUMBER(X472),ISNUMBER(Y472)),SMALL(X472:Y472,1),"")</f>
        <v/>
      </c>
      <c r="AG472" s="18" t="str">
        <f t="shared" ref="AG472:AG523" si="602">IF(AD472,SMALL(X472:Y472,2),"")</f>
        <v/>
      </c>
      <c r="AH472" s="17" t="str">
        <f t="shared" si="587"/>
        <v/>
      </c>
      <c r="AI472" s="297" t="e">
        <f t="shared" si="562"/>
        <v>#VALUE!</v>
      </c>
      <c r="AJ472" s="79" t="e">
        <f t="shared" ref="AJ472:AJ523" si="603">IF(AND(AC472,AE472,AR472),AI472/X472,IF(AE472,AI472,IF(AND(AC472,AR472),AI472/X472,IF(AND(NOT(AC472),NOT(AE472)),CK472/AB472,""))))</f>
        <v>#VALUE!</v>
      </c>
      <c r="AK472" s="17" t="str">
        <f t="shared" si="588"/>
        <v/>
      </c>
      <c r="AL472" s="80" t="e">
        <f t="shared" ref="AL472:AL523" si="604">IF(AND(AD472,AE472),IF(Q472=FixedDim,IF(ISNUMBER(S472),AI472/AK472,""),AI472/AK472),IF(AND(AD472,Q472=FixedDim,ISNUMBER(S472)),CK472/AK472,IF(AND(AD472,Q472=FixedDim,ISBLANK(S472)),"",CK472/(AK472*AB472))))</f>
        <v>#VALUE!</v>
      </c>
      <c r="AM472" s="139" t="b">
        <f t="shared" ref="AM472:AM523" si="605">OR(AND(NOT(ISBLANK(E472)),AN472),COUNTA(E472:J472)+COUNTA(N472:S472)=0)</f>
        <v>1</v>
      </c>
      <c r="AN472" s="139" t="b">
        <f>AND(COUNTA(E472)&gt;0,ISNUMBER(F472),OR(COUNT(G472:H472)=0,COUNT(G472:H472)=2,AND(ISNUMBER(G472),ISNUMBER(VALUE(LEFT(H472,SUM(LEN(H472)-LEN(SUBSTITUTE(H472,{"0","1","2","3","4","5","6","7","8","9","."},"")))))))),ISNUMBER(I472),ISTEXT(J472))</f>
        <v>0</v>
      </c>
      <c r="AO472" s="19" t="b">
        <f t="shared" ref="AO472:AO523" si="606">NOT(COUNTBLANK(E472:J472)=6)</f>
        <v>0</v>
      </c>
      <c r="AP472" s="19" t="b">
        <f t="shared" ref="AP472:AP523" si="607">COUNTBLANK(E472:J472)=6</f>
        <v>1</v>
      </c>
      <c r="AQ472" s="19" t="b">
        <f>IF(AND(COUNTBLANK(E472:J472)=6,OR(AN473:AN$523)),NOT(AN472))</f>
        <v>0</v>
      </c>
      <c r="AR472" s="19" t="str">
        <f t="shared" ref="AR472:AR523" si="608">IF(COUNTBLANK(N472)&lt;=0,OR(AND(VLOOKUP(N472,Afactors,3,TRUE),NOT(ISNUMBER(O472)),NOT(ISNUMBER(P472))),AND(N472=FixedDim,NOT(ISNUMBER(O472)),(ISNUMBER(P472))),AND(N472=ProgDim,NOT(ISNUMBER(P472)),(ISNUMBER(O472)),O472&gt;=0.75)),IF(AS472,"",FALSE))</f>
        <v/>
      </c>
      <c r="AS472" s="19" t="b">
        <f t="shared" ref="AS472:AS523" si="609">AND(ISBLANK(O472),ISBLANK(P472))</f>
        <v>1</v>
      </c>
      <c r="AT472" s="19" t="str">
        <f t="shared" ref="AT472:AT523" si="610">IF(COUNTBLANK(Q472)&lt;=0,OR(AND(VLOOKUP(Q472,Afactors,3,TRUE),NOT(ISNUMBER(R472)),NOT(ISNUMBER(S472))),AND(Q472=FixedDim,NOT(ISNUMBER(R472)),(ISNUMBER(S472))),AND(Q472=ProgDim,NOT(ISNUMBER(S472)),(ISNUMBER(R472)),R472&gt;=0.75)),IF(AU472,"",FALSE))</f>
        <v/>
      </c>
      <c r="AU472" s="19" t="b">
        <f t="shared" ref="AU472:AU523" si="611">AND(ISBLANK(R472),ISBLANK(S472))</f>
        <v>1</v>
      </c>
      <c r="AV472" s="140" t="str">
        <f t="shared" si="570"/>
        <v/>
      </c>
      <c r="AW472" s="19" t="str">
        <f t="shared" ref="AW472:AW523" si="612">IF(AND(AM472,AN472,AR472,AT472),BP472,"")</f>
        <v/>
      </c>
      <c r="AX472" s="81">
        <f t="shared" ref="AX472:AX523" si="613">I472</f>
        <v>0</v>
      </c>
      <c r="AY472" s="81" t="str">
        <f t="shared" ref="AY472:AY523" si="614">V472</f>
        <v/>
      </c>
      <c r="AZ472" s="307" t="str">
        <f t="shared" si="563"/>
        <v/>
      </c>
      <c r="BA472" s="281" t="str">
        <f t="shared" si="571"/>
        <v/>
      </c>
      <c r="BB472" s="281" t="str">
        <f t="shared" si="572"/>
        <v/>
      </c>
      <c r="BC472" s="953"/>
      <c r="BD472" s="955"/>
      <c r="BE472" s="219" t="str">
        <f t="shared" ref="BE472:BE523" si="615">IF(G472=0,"n/a",G472&gt;=2*PI()*(F472/PI())^0.5)</f>
        <v>n/a</v>
      </c>
      <c r="BF472" s="215" t="b">
        <f t="shared" ref="BF472:BF523" si="616">AND(AM472,AN472,I472&gt;CQ472,Passcheck,InputIssuesOne=0,TopInputsOKOne)</f>
        <v>0</v>
      </c>
      <c r="BG472" s="145" t="b">
        <f t="shared" ref="BG472:BG523" si="617">AND(AM472,AN472,AR472,AT472,I472&lt;=CQ472,Passcheck,InputIssuesOne=0,TopInputsOKOne)</f>
        <v>0</v>
      </c>
      <c r="BH472" s="145" t="b">
        <f t="shared" ref="BH472:BH523" si="618">AND(AM472,AN472,AR472,AT472,I472&gt;CQ472,FailCheck,InputIssuesOne=0,TopInputsOKOne)</f>
        <v>0</v>
      </c>
      <c r="BI472" s="216" t="b">
        <f t="shared" ref="BI472:BI523" si="619">AND(AM472,AN472,I472&lt;=CQ472,InputIssuesOne=0,TopInputsOKOne)</f>
        <v>0</v>
      </c>
      <c r="BJ472" s="215" t="b">
        <f t="shared" ref="BJ472:BJ523" si="620">AND(AM472,AN472,AR472,AT472,Passcheck,InputIssuesOne=0,TopInputsOKOne)</f>
        <v>0</v>
      </c>
      <c r="BK472" s="145" t="b">
        <f t="shared" ref="BK472:BK523" si="621">AND(AM472,AN472,AR472,AT472,FailCheck,InputIssuesOne=0,TopInputsOKOne)</f>
        <v>0</v>
      </c>
      <c r="BL472" s="216" t="b">
        <f t="shared" ref="BL472:BL523" si="622">DX472&gt;0</f>
        <v>0</v>
      </c>
      <c r="BM472" s="217" t="str">
        <f t="shared" si="573"/>
        <v/>
      </c>
      <c r="BN472" s="146" t="str">
        <f t="shared" si="574"/>
        <v/>
      </c>
      <c r="BO472" s="147" t="str">
        <f t="shared" si="575"/>
        <v/>
      </c>
      <c r="BP472" s="148" t="str">
        <f t="shared" si="576"/>
        <v/>
      </c>
      <c r="BT472" s="50">
        <f t="shared" si="596"/>
        <v>449</v>
      </c>
      <c r="BU472" s="50" t="str">
        <f t="shared" si="592"/>
        <v>-</v>
      </c>
      <c r="BW472" s="340"/>
      <c r="BX472" s="333"/>
      <c r="BY472" s="333"/>
      <c r="BZ472" s="333"/>
      <c r="CA472" s="333"/>
      <c r="CB472" s="333"/>
      <c r="CC472" s="333"/>
      <c r="CD472" s="333"/>
      <c r="CE472" s="333"/>
      <c r="CF472" s="333"/>
      <c r="CG472" s="354">
        <f t="shared" ref="CG472:CG523" si="623">D472</f>
        <v>449</v>
      </c>
      <c r="CH472" s="613">
        <f t="shared" ref="CH472:CH523" si="624">E472</f>
        <v>0</v>
      </c>
      <c r="CI472" s="613">
        <f t="shared" ref="CI472:CI523" si="625">J472</f>
        <v>0</v>
      </c>
      <c r="CJ472" s="614" t="str">
        <f t="shared" ref="CJ472:CJ523" si="626">IF(ISBLANK(J472),"",VLOOKUP(J472,SpaceS1,5,FALSE))</f>
        <v/>
      </c>
      <c r="CK472" s="615" t="str">
        <f t="shared" ref="CK472:CK523" si="627">IF(ISBLANK(J472),"",ROUND(VLOOKUP(J472,SpaceS1,5,FALSE)*F472,0))</f>
        <v/>
      </c>
      <c r="CL472" s="610" t="str">
        <f>IF(ISBLANK(H472),"",IF(AND(ISNUMBER(F472),ISNUMBER(G472),ISNUMBER(H472)),ROUND(F472/(H472*G472),2),ROUND(F472/(VALUE(LEFT(H472,SUM(LEN(H472)-LEN(SUBSTITUTE(H472,{"0","1","2","3","4","5","6","7","8","9","."},"")))))*G472),2)))</f>
        <v/>
      </c>
      <c r="CM472" s="616" t="str">
        <f t="shared" si="577"/>
        <v/>
      </c>
      <c r="CN472" s="616" t="str">
        <f>IF(ISNUMBER(P472),MAX('Adjustment factors'!$S$16,(0.2+0.8*P472)),IF(ISTEXT(N472),VLOOKUP(N472,Afactors,2,FALSE),""))</f>
        <v/>
      </c>
      <c r="CO472" s="616" t="str">
        <f>IF(ISNUMBER(S472),MAX('Adjustment factors'!$S$16,0.2+0.8*S472),IF(ISTEXT(Q472),VLOOKUP(Q472,Afactors,2,FALSE),""))</f>
        <v/>
      </c>
      <c r="CP472" s="611" t="str">
        <f t="shared" si="564"/>
        <v/>
      </c>
      <c r="CQ472" s="612" t="str">
        <f t="shared" si="565"/>
        <v/>
      </c>
      <c r="CR472" s="340"/>
      <c r="CS472" s="340"/>
      <c r="CT472" s="340"/>
      <c r="CU472" s="340"/>
      <c r="CV472" s="333"/>
      <c r="CW472" s="333"/>
      <c r="CX472" s="333"/>
      <c r="CY472" s="333"/>
      <c r="DA472" s="313" t="str">
        <f t="shared" ref="DA472:DA523" si="628">IF(AND(COUNTA(DescriptionOne,ClassificationOne)=2,ISBLANK(E472),COUNTA(F472:J472)+COUNTA(N472:S472)&gt;0),"Enter Description","OK")</f>
        <v>OK</v>
      </c>
      <c r="DB472" s="313" t="str">
        <f t="shared" ref="DB472:DB523" si="629">IF(AND(COUNTA(DescriptionOne,ClassificationOne)=2,COUNTA(E472:J472)+COUNTA(N472:S472)&gt;0,ISBLANK(F472)),"Enter Floor area of the space","OK")</f>
        <v>OK</v>
      </c>
      <c r="DC472" s="313" t="str">
        <f t="shared" ref="DC472:DC523" si="630">IF(AND(COUNTA(DescriptionOne,ClassificationOne)=2,COUNTA(E472:J472)+COUNTA(N472:S472)&gt;0,ISBLANK(G472),H472&gt;0),"Enter Perimeter or clear height","OK")</f>
        <v>OK</v>
      </c>
      <c r="DD472" s="313" t="str">
        <f t="shared" ref="DD472:DD523" si="631">IF(AND(COUNTA(DescriptionOne,ClassificationOne)=2,COUNTA(E472:J472)+COUNTA(N472:S472)&gt;0,G472&gt;0,ISBLANK(H472)),"Enter Floor to ceiling height","OK")</f>
        <v>OK</v>
      </c>
      <c r="DE472" s="153" t="str">
        <f t="shared" ref="DE472:DE523" si="632">IF(AND(COUNTA(DescriptionOne,ClassificationOne)=2,COUNTA(E472:H472)&gt;1,ISBLANK(I472)),"Enter Design Illumination Power","OK")</f>
        <v>OK</v>
      </c>
      <c r="DF472" s="314" t="str">
        <f t="shared" ref="DF472:DF523" si="633">IF(AND(COUNTA(DescriptionOne,ClassificationOne)=2,COUNTA(E472:J472)+COUNTA(N472:S472)&gt;0,ISBLANK(J472)),"Enter Space","OK")</f>
        <v>OK</v>
      </c>
      <c r="DG472" s="482" t="str">
        <f t="shared" si="566"/>
        <v>OK</v>
      </c>
      <c r="DH472" s="482" t="str">
        <f>IF(OR(AND(T472='Adjustment factors'!$R$28,'Class 3, 5-9'!U472='Adjustment factors'!$R$29),AND('Class 3, 5-9'!T472='Adjustment factors'!$R$29,'Class 3, 5-9'!U472='Adjustment factors'!$R$28)),"Invalid combination of adjustment factors",IF(AND(T472=U472,NOT(ISBLANK(T472)),NOT(ISBLANK(U472))),"Same colour factor selected twice","OK"))</f>
        <v>OK</v>
      </c>
      <c r="DI472" s="313" t="str">
        <f t="shared" ref="DI472:DI523" si="634">IF(AND(COUNTA(DescriptionOne,ClassificationOne)=2,COUNTA(E472:J472)+COUNTA(N472:S472)&gt;0,OR(N472=ProgDim),ISBLANK(O472)),"Enter % of floor area controlled","OK")</f>
        <v>OK</v>
      </c>
      <c r="DJ472" s="153" t="str">
        <f t="shared" si="578"/>
        <v>OK</v>
      </c>
      <c r="DK472" s="153" t="str">
        <f t="shared" ref="DK472:DK523" si="635">IF(AND(COUNTA(O472)&gt;0, NOT(OR(N472=ProgDim))), "Adjustment factor is missing", "OK")</f>
        <v>OK</v>
      </c>
      <c r="DL472" s="313" t="str">
        <f t="shared" ref="DL472:DL523" si="636">IF(AND(ISNUMBER(P472),N472&lt;&gt;FixedDim),"Illuminance turndown is only valid for Fixed Dimming","OK")</f>
        <v>OK</v>
      </c>
      <c r="DM472" s="153" t="str">
        <f t="shared" ref="DM472:DM523" si="637">IF(AND(NOT(ISNUMBER(P472)),N472=FixedDim),"Enter an illuminance factor","OK")</f>
        <v>OK</v>
      </c>
      <c r="DN472" s="153" t="str">
        <f t="shared" si="579"/>
        <v>OK</v>
      </c>
      <c r="DO472" s="154" t="str">
        <f t="shared" si="580"/>
        <v>OK</v>
      </c>
      <c r="DP472" s="153" t="str">
        <f t="shared" ref="DP472:DP523" si="638">IF(AND(ISTEXT(Q472),NOT(ISTEXT(N472))),"Adjustment Factor 1 is missing","OK")</f>
        <v>OK</v>
      </c>
      <c r="DQ472" s="313" t="str">
        <f t="shared" ref="DQ472:DQ523" si="639">IF(AND(COUNTA(DescriptionOne,ClassificationOne)=2,COUNTA(E472:J472)+COUNTA(N472:S472)&gt;0,OR(Q472=ProgDim),ISBLANK(R472)),"Enter % of floor area controlled","OK")</f>
        <v>OK</v>
      </c>
      <c r="DR472" s="153" t="str">
        <f t="shared" si="581"/>
        <v>OK</v>
      </c>
      <c r="DS472" s="153" t="str">
        <f t="shared" ref="DS472:DS523" si="640">IF(AND(COUNTA(R472)&gt;0, NOT(OR(Q472=ProgDim))), "Adjustment factor is missing", "OK")</f>
        <v>OK</v>
      </c>
      <c r="DT472" s="313" t="str">
        <f t="shared" si="598"/>
        <v>OK</v>
      </c>
      <c r="DU472" s="153" t="str">
        <f t="shared" ref="DU472:DU523" si="641">IF(AND(NOT(ISNUMBER(S472)),Q472=FixedDim),"Enter an illuminance factor","OK")</f>
        <v>OK</v>
      </c>
      <c r="DV472" s="153" t="str">
        <f t="shared" si="582"/>
        <v>OK</v>
      </c>
      <c r="DW472" s="154" t="str">
        <f t="shared" si="583"/>
        <v>OK</v>
      </c>
      <c r="DX472" s="157">
        <f t="shared" si="584"/>
        <v>0</v>
      </c>
      <c r="DY472" s="156" t="str">
        <f t="shared" si="585"/>
        <v>OK</v>
      </c>
    </row>
    <row r="473" spans="1:129" ht="13" hidden="1" x14ac:dyDescent="0.3">
      <c r="A473" s="333"/>
      <c r="B473" s="333"/>
      <c r="C473" s="332" t="str">
        <f t="shared" si="593"/>
        <v>-</v>
      </c>
      <c r="D473" s="584">
        <f t="shared" si="597"/>
        <v>450</v>
      </c>
      <c r="E473" s="585"/>
      <c r="F473" s="586"/>
      <c r="G473" s="600"/>
      <c r="H473" s="587"/>
      <c r="I473" s="601"/>
      <c r="J473" s="585"/>
      <c r="K473" s="617"/>
      <c r="L473" s="602"/>
      <c r="M473" s="603"/>
      <c r="N473" s="588"/>
      <c r="O473" s="604"/>
      <c r="P473" s="605"/>
      <c r="Q473" s="588"/>
      <c r="R473" s="604"/>
      <c r="S473" s="605"/>
      <c r="T473" s="606"/>
      <c r="U473" s="606"/>
      <c r="V473" s="429" t="str">
        <f t="shared" si="590"/>
        <v/>
      </c>
      <c r="W473" s="430" t="str">
        <f t="shared" si="589"/>
        <v/>
      </c>
      <c r="X473" s="66" t="str">
        <f>IF(AND(ISNUMBER(P473),N473=FixedDim),MAX('Adjustment factors'!$S$16,0.2+0.8*P473),IF(ISTEXT(N473),VLOOKUP(N473,Afactors,2,TRUE),""))</f>
        <v/>
      </c>
      <c r="Y473" s="17" t="str">
        <f>IF(AND(ISNUMBER(S473),Q473=FixedDim),MAX('Adjustment factors'!$S$16,0.2+0.8*S473),IF(ISTEXT(Q473),VLOOKUP(Q473,Afactors,2,TRUE),""))</f>
        <v/>
      </c>
      <c r="Z473" s="297" t="str">
        <f>IF(ISBLANK(T473),"",VLOOKUP(T473,'Adjustment factors'!$R$27:$S$30,2,TRUE))</f>
        <v/>
      </c>
      <c r="AA473" s="297" t="str">
        <f>IF(ISBLANK(U473),"",VLOOKUP(U473,'Adjustment factors'!$R$27:$S$30,2,TRUE))</f>
        <v/>
      </c>
      <c r="AB473" s="480">
        <f t="shared" ref="AB473:AB523" si="642">IF(Z473="",1,IF(AA473="",Z473,Z473*AA473))</f>
        <v>1</v>
      </c>
      <c r="AC473" s="18" t="b">
        <f t="shared" si="599"/>
        <v>0</v>
      </c>
      <c r="AD473" s="18" t="b">
        <f t="shared" si="600"/>
        <v>0</v>
      </c>
      <c r="AE473" s="18" t="b">
        <f t="shared" si="586"/>
        <v>0</v>
      </c>
      <c r="AF473" s="17" t="str">
        <f t="shared" si="601"/>
        <v/>
      </c>
      <c r="AG473" s="18" t="str">
        <f t="shared" si="602"/>
        <v/>
      </c>
      <c r="AH473" s="17" t="str">
        <f t="shared" si="587"/>
        <v/>
      </c>
      <c r="AI473" s="297" t="e">
        <f t="shared" ref="AI473:AI523" si="643">IF(AND(ISNUMBER(AB473),ISNUMBER(AH473)),AH473/AB473,CK473/AB473)</f>
        <v>#VALUE!</v>
      </c>
      <c r="AJ473" s="79" t="e">
        <f t="shared" si="603"/>
        <v>#VALUE!</v>
      </c>
      <c r="AK473" s="17" t="str">
        <f t="shared" si="588"/>
        <v/>
      </c>
      <c r="AL473" s="80" t="e">
        <f t="shared" si="604"/>
        <v>#VALUE!</v>
      </c>
      <c r="AM473" s="139" t="b">
        <f t="shared" si="605"/>
        <v>1</v>
      </c>
      <c r="AN473" s="139" t="b">
        <f>AND(COUNTA(E473)&gt;0,ISNUMBER(F473),OR(COUNT(G473:H473)=0,COUNT(G473:H473)=2,AND(ISNUMBER(G473),ISNUMBER(VALUE(LEFT(H473,SUM(LEN(H473)-LEN(SUBSTITUTE(H473,{"0","1","2","3","4","5","6","7","8","9","."},"")))))))),ISNUMBER(I473),ISTEXT(J473))</f>
        <v>0</v>
      </c>
      <c r="AO473" s="19" t="b">
        <f t="shared" si="606"/>
        <v>0</v>
      </c>
      <c r="AP473" s="19" t="b">
        <f t="shared" si="607"/>
        <v>1</v>
      </c>
      <c r="AQ473" s="19" t="b">
        <f>IF(AND(COUNTBLANK(E473:J473)=6,OR(AN474:AN$523)),NOT(AN473))</f>
        <v>0</v>
      </c>
      <c r="AR473" s="19" t="str">
        <f t="shared" si="608"/>
        <v/>
      </c>
      <c r="AS473" s="19" t="b">
        <f t="shared" si="609"/>
        <v>1</v>
      </c>
      <c r="AT473" s="19" t="str">
        <f t="shared" si="610"/>
        <v/>
      </c>
      <c r="AU473" s="19" t="b">
        <f t="shared" si="611"/>
        <v>1</v>
      </c>
      <c r="AV473" s="140" t="str">
        <f t="shared" si="570"/>
        <v/>
      </c>
      <c r="AW473" s="19" t="str">
        <f t="shared" si="612"/>
        <v/>
      </c>
      <c r="AX473" s="81">
        <f t="shared" si="613"/>
        <v>0</v>
      </c>
      <c r="AY473" s="81" t="str">
        <f t="shared" si="614"/>
        <v/>
      </c>
      <c r="AZ473" s="307" t="str">
        <f t="shared" ref="AZ473:AZ523" si="644">IF(DA473&lt;&gt;"OK",DA473,IF(DB473&lt;&gt;"OK",DB473,IF(DC473&lt;&gt;"OK",DC473,IF(DD473&lt;&gt;"OK",DD473,IF(DE473&lt;&gt;"OK",DE473,IF(DF473&lt;&gt;"OK",DF473,IF(DG473&lt;&gt;"OK",DG473,IF(DH473&lt;&gt;"OK",DH473,BA473))))))))</f>
        <v/>
      </c>
      <c r="BA473" s="281" t="str">
        <f t="shared" si="571"/>
        <v/>
      </c>
      <c r="BB473" s="281" t="str">
        <f t="shared" si="572"/>
        <v/>
      </c>
      <c r="BC473" s="953"/>
      <c r="BD473" s="955"/>
      <c r="BE473" s="219" t="str">
        <f t="shared" si="615"/>
        <v>n/a</v>
      </c>
      <c r="BF473" s="215" t="b">
        <f t="shared" si="616"/>
        <v>0</v>
      </c>
      <c r="BG473" s="145" t="b">
        <f t="shared" si="617"/>
        <v>0</v>
      </c>
      <c r="BH473" s="145" t="b">
        <f t="shared" si="618"/>
        <v>0</v>
      </c>
      <c r="BI473" s="216" t="b">
        <f t="shared" si="619"/>
        <v>0</v>
      </c>
      <c r="BJ473" s="215" t="b">
        <f t="shared" si="620"/>
        <v>0</v>
      </c>
      <c r="BK473" s="145" t="b">
        <f t="shared" si="621"/>
        <v>0</v>
      </c>
      <c r="BL473" s="216" t="b">
        <f t="shared" si="622"/>
        <v>0</v>
      </c>
      <c r="BM473" s="217" t="str">
        <f t="shared" si="573"/>
        <v/>
      </c>
      <c r="BN473" s="146" t="str">
        <f t="shared" si="574"/>
        <v/>
      </c>
      <c r="BO473" s="147" t="str">
        <f t="shared" si="575"/>
        <v/>
      </c>
      <c r="BP473" s="148" t="str">
        <f t="shared" si="576"/>
        <v/>
      </c>
      <c r="BT473" s="50">
        <f t="shared" si="596"/>
        <v>450</v>
      </c>
      <c r="BU473" s="50" t="str">
        <f t="shared" si="592"/>
        <v>-</v>
      </c>
      <c r="BW473" s="340"/>
      <c r="BX473" s="333"/>
      <c r="BY473" s="333"/>
      <c r="BZ473" s="333"/>
      <c r="CA473" s="333"/>
      <c r="CB473" s="333"/>
      <c r="CC473" s="333"/>
      <c r="CD473" s="333"/>
      <c r="CE473" s="333"/>
      <c r="CF473" s="333"/>
      <c r="CG473" s="354">
        <f t="shared" si="623"/>
        <v>450</v>
      </c>
      <c r="CH473" s="613">
        <f t="shared" si="624"/>
        <v>0</v>
      </c>
      <c r="CI473" s="613">
        <f t="shared" si="625"/>
        <v>0</v>
      </c>
      <c r="CJ473" s="614" t="str">
        <f t="shared" si="626"/>
        <v/>
      </c>
      <c r="CK473" s="615" t="str">
        <f t="shared" si="627"/>
        <v/>
      </c>
      <c r="CL473" s="610" t="str">
        <f>IF(ISBLANK(H473),"",IF(AND(ISNUMBER(F473),ISNUMBER(G473),ISNUMBER(H473)),ROUND(F473/(H473*G473),2),ROUND(F473/(VALUE(LEFT(H473,SUM(LEN(H473)-LEN(SUBSTITUTE(H473,{"0","1","2","3","4","5","6","7","8","9","."},"")))))*G473),2)))</f>
        <v/>
      </c>
      <c r="CM473" s="616" t="str">
        <f t="shared" si="577"/>
        <v/>
      </c>
      <c r="CN473" s="616" t="str">
        <f>IF(ISNUMBER(P473),MAX('Adjustment factors'!$S$16,(0.2+0.8*P473)),IF(ISTEXT(N473),VLOOKUP(N473,Afactors,2,FALSE),""))</f>
        <v/>
      </c>
      <c r="CO473" s="616" t="str">
        <f>IF(ISNUMBER(S473),MAX('Adjustment factors'!$S$16,0.2+0.8*S473),IF(ISTEXT(Q473),VLOOKUP(Q473,Afactors,2,FALSE),""))</f>
        <v/>
      </c>
      <c r="CP473" s="611" t="str">
        <f t="shared" ref="CP473:CP523" si="645">IF(AB473&lt;&gt;1,AB473,"")</f>
        <v/>
      </c>
      <c r="CQ473" s="612" t="str">
        <f t="shared" ref="CQ473:CQ523" si="646">IFERROR(IF(AO473=TRUE,IF(ISNUMBER(AG473),ROUND(AL473,0),ROUND(AJ473,0)),""),"")</f>
        <v/>
      </c>
      <c r="CR473" s="340"/>
      <c r="CS473" s="340"/>
      <c r="CT473" s="340"/>
      <c r="CU473" s="340"/>
      <c r="CV473" s="333"/>
      <c r="CW473" s="333"/>
      <c r="CX473" s="333"/>
      <c r="CY473" s="333"/>
      <c r="DA473" s="313" t="str">
        <f t="shared" si="628"/>
        <v>OK</v>
      </c>
      <c r="DB473" s="313" t="str">
        <f t="shared" si="629"/>
        <v>OK</v>
      </c>
      <c r="DC473" s="313" t="str">
        <f t="shared" si="630"/>
        <v>OK</v>
      </c>
      <c r="DD473" s="313" t="str">
        <f t="shared" si="631"/>
        <v>OK</v>
      </c>
      <c r="DE473" s="153" t="str">
        <f t="shared" si="632"/>
        <v>OK</v>
      </c>
      <c r="DF473" s="314" t="str">
        <f t="shared" si="633"/>
        <v>OK</v>
      </c>
      <c r="DG473" s="482" t="str">
        <f t="shared" ref="DG473:DG523" si="647">IF(AND(COUNTBLANK(T473)=1,COUNTBLANK(U473)=0),"Second Colour Factor entered without First","OK")</f>
        <v>OK</v>
      </c>
      <c r="DH473" s="482" t="str">
        <f>IF(OR(AND(T473='Adjustment factors'!$R$28,'Class 3, 5-9'!U473='Adjustment factors'!$R$29),AND('Class 3, 5-9'!T473='Adjustment factors'!$R$29,'Class 3, 5-9'!U473='Adjustment factors'!$R$28)),"Invalid combination of adjustment factors",IF(AND(T473=U473,NOT(ISBLANK(T473)),NOT(ISBLANK(U473))),"Same colour factor selected twice","OK"))</f>
        <v>OK</v>
      </c>
      <c r="DI473" s="313" t="str">
        <f t="shared" si="634"/>
        <v>OK</v>
      </c>
      <c r="DJ473" s="153" t="str">
        <f t="shared" si="578"/>
        <v>OK</v>
      </c>
      <c r="DK473" s="153" t="str">
        <f t="shared" si="635"/>
        <v>OK</v>
      </c>
      <c r="DL473" s="313" t="str">
        <f t="shared" si="636"/>
        <v>OK</v>
      </c>
      <c r="DM473" s="153" t="str">
        <f t="shared" si="637"/>
        <v>OK</v>
      </c>
      <c r="DN473" s="153" t="str">
        <f t="shared" si="579"/>
        <v>OK</v>
      </c>
      <c r="DO473" s="154" t="str">
        <f t="shared" si="580"/>
        <v>OK</v>
      </c>
      <c r="DP473" s="153" t="str">
        <f t="shared" si="638"/>
        <v>OK</v>
      </c>
      <c r="DQ473" s="313" t="str">
        <f t="shared" si="639"/>
        <v>OK</v>
      </c>
      <c r="DR473" s="153" t="str">
        <f t="shared" si="581"/>
        <v>OK</v>
      </c>
      <c r="DS473" s="153" t="str">
        <f t="shared" si="640"/>
        <v>OK</v>
      </c>
      <c r="DT473" s="313" t="str">
        <f t="shared" si="598"/>
        <v>OK</v>
      </c>
      <c r="DU473" s="153" t="str">
        <f t="shared" si="641"/>
        <v>OK</v>
      </c>
      <c r="DV473" s="153" t="str">
        <f t="shared" si="582"/>
        <v>OK</v>
      </c>
      <c r="DW473" s="154" t="str">
        <f t="shared" si="583"/>
        <v>OK</v>
      </c>
      <c r="DX473" s="157">
        <f t="shared" si="584"/>
        <v>0</v>
      </c>
      <c r="DY473" s="156" t="str">
        <f t="shared" si="585"/>
        <v>OK</v>
      </c>
    </row>
    <row r="474" spans="1:129" ht="13" hidden="1" x14ac:dyDescent="0.3">
      <c r="A474" s="333"/>
      <c r="B474" s="333"/>
      <c r="C474" s="332" t="str">
        <f t="shared" si="593"/>
        <v>-</v>
      </c>
      <c r="D474" s="584">
        <f t="shared" si="597"/>
        <v>451</v>
      </c>
      <c r="E474" s="585"/>
      <c r="F474" s="586"/>
      <c r="G474" s="600"/>
      <c r="H474" s="587"/>
      <c r="I474" s="601"/>
      <c r="J474" s="585"/>
      <c r="K474" s="617"/>
      <c r="L474" s="602"/>
      <c r="M474" s="603"/>
      <c r="N474" s="588"/>
      <c r="O474" s="604"/>
      <c r="P474" s="605"/>
      <c r="Q474" s="588"/>
      <c r="R474" s="604"/>
      <c r="S474" s="605"/>
      <c r="T474" s="606"/>
      <c r="U474" s="606"/>
      <c r="V474" s="429" t="str">
        <f t="shared" si="590"/>
        <v/>
      </c>
      <c r="W474" s="430" t="str">
        <f t="shared" si="589"/>
        <v/>
      </c>
      <c r="X474" s="66" t="str">
        <f>IF(AND(ISNUMBER(P474),N474=FixedDim),MAX('Adjustment factors'!$S$16,0.2+0.8*P474),IF(ISTEXT(N474),VLOOKUP(N474,Afactors,2,TRUE),""))</f>
        <v/>
      </c>
      <c r="Y474" s="17" t="str">
        <f>IF(AND(ISNUMBER(S474),Q474=FixedDim),MAX('Adjustment factors'!$S$16,0.2+0.8*S474),IF(ISTEXT(Q474),VLOOKUP(Q474,Afactors,2,TRUE),""))</f>
        <v/>
      </c>
      <c r="Z474" s="297" t="str">
        <f>IF(ISBLANK(T474),"",VLOOKUP(T474,'Adjustment factors'!$R$27:$S$30,2,TRUE))</f>
        <v/>
      </c>
      <c r="AA474" s="297" t="str">
        <f>IF(ISBLANK(U474),"",VLOOKUP(U474,'Adjustment factors'!$R$27:$S$30,2,TRUE))</f>
        <v/>
      </c>
      <c r="AB474" s="480">
        <f t="shared" si="642"/>
        <v>1</v>
      </c>
      <c r="AC474" s="18" t="b">
        <f t="shared" si="599"/>
        <v>0</v>
      </c>
      <c r="AD474" s="18" t="b">
        <f t="shared" si="600"/>
        <v>0</v>
      </c>
      <c r="AE474" s="18" t="b">
        <f t="shared" si="586"/>
        <v>0</v>
      </c>
      <c r="AF474" s="17" t="str">
        <f t="shared" si="601"/>
        <v/>
      </c>
      <c r="AG474" s="18" t="str">
        <f t="shared" si="602"/>
        <v/>
      </c>
      <c r="AH474" s="17" t="str">
        <f t="shared" si="587"/>
        <v/>
      </c>
      <c r="AI474" s="297" t="e">
        <f t="shared" si="643"/>
        <v>#VALUE!</v>
      </c>
      <c r="AJ474" s="79" t="e">
        <f t="shared" si="603"/>
        <v>#VALUE!</v>
      </c>
      <c r="AK474" s="17" t="str">
        <f t="shared" si="588"/>
        <v/>
      </c>
      <c r="AL474" s="80" t="e">
        <f t="shared" si="604"/>
        <v>#VALUE!</v>
      </c>
      <c r="AM474" s="139" t="b">
        <f t="shared" si="605"/>
        <v>1</v>
      </c>
      <c r="AN474" s="139" t="b">
        <f>AND(COUNTA(E474)&gt;0,ISNUMBER(F474),OR(COUNT(G474:H474)=0,COUNT(G474:H474)=2,AND(ISNUMBER(G474),ISNUMBER(VALUE(LEFT(H474,SUM(LEN(H474)-LEN(SUBSTITUTE(H474,{"0","1","2","3","4","5","6","7","8","9","."},"")))))))),ISNUMBER(I474),ISTEXT(J474))</f>
        <v>0</v>
      </c>
      <c r="AO474" s="19" t="b">
        <f t="shared" si="606"/>
        <v>0</v>
      </c>
      <c r="AP474" s="19" t="b">
        <f t="shared" si="607"/>
        <v>1</v>
      </c>
      <c r="AQ474" s="19" t="b">
        <f>IF(AND(COUNTBLANK(E474:J474)=6,OR(AN475:AN$523)),NOT(AN474))</f>
        <v>0</v>
      </c>
      <c r="AR474" s="19" t="str">
        <f t="shared" si="608"/>
        <v/>
      </c>
      <c r="AS474" s="19" t="b">
        <f t="shared" si="609"/>
        <v>1</v>
      </c>
      <c r="AT474" s="19" t="str">
        <f t="shared" si="610"/>
        <v/>
      </c>
      <c r="AU474" s="19" t="b">
        <f t="shared" si="611"/>
        <v>1</v>
      </c>
      <c r="AV474" s="140" t="str">
        <f t="shared" si="570"/>
        <v/>
      </c>
      <c r="AW474" s="19" t="str">
        <f t="shared" si="612"/>
        <v/>
      </c>
      <c r="AX474" s="81">
        <f t="shared" si="613"/>
        <v>0</v>
      </c>
      <c r="AY474" s="81" t="str">
        <f t="shared" si="614"/>
        <v/>
      </c>
      <c r="AZ474" s="307" t="str">
        <f t="shared" si="644"/>
        <v/>
      </c>
      <c r="BA474" s="281" t="str">
        <f t="shared" si="571"/>
        <v/>
      </c>
      <c r="BB474" s="281" t="str">
        <f t="shared" si="572"/>
        <v/>
      </c>
      <c r="BC474" s="953"/>
      <c r="BD474" s="955"/>
      <c r="BE474" s="219" t="str">
        <f t="shared" si="615"/>
        <v>n/a</v>
      </c>
      <c r="BF474" s="215" t="b">
        <f t="shared" si="616"/>
        <v>0</v>
      </c>
      <c r="BG474" s="145" t="b">
        <f t="shared" si="617"/>
        <v>0</v>
      </c>
      <c r="BH474" s="145" t="b">
        <f t="shared" si="618"/>
        <v>0</v>
      </c>
      <c r="BI474" s="216" t="b">
        <f t="shared" si="619"/>
        <v>0</v>
      </c>
      <c r="BJ474" s="215" t="b">
        <f t="shared" si="620"/>
        <v>0</v>
      </c>
      <c r="BK474" s="145" t="b">
        <f t="shared" si="621"/>
        <v>0</v>
      </c>
      <c r="BL474" s="216" t="b">
        <f t="shared" si="622"/>
        <v>0</v>
      </c>
      <c r="BM474" s="217" t="str">
        <f t="shared" si="573"/>
        <v/>
      </c>
      <c r="BN474" s="146" t="str">
        <f t="shared" si="574"/>
        <v/>
      </c>
      <c r="BO474" s="147" t="str">
        <f t="shared" si="575"/>
        <v/>
      </c>
      <c r="BP474" s="148" t="str">
        <f t="shared" si="576"/>
        <v/>
      </c>
      <c r="BT474" s="50">
        <f t="shared" si="596"/>
        <v>451</v>
      </c>
      <c r="BU474" s="50" t="str">
        <f t="shared" si="592"/>
        <v>-</v>
      </c>
      <c r="BW474" s="340"/>
      <c r="BX474" s="333"/>
      <c r="BY474" s="333"/>
      <c r="BZ474" s="333"/>
      <c r="CA474" s="333"/>
      <c r="CB474" s="333"/>
      <c r="CC474" s="333"/>
      <c r="CD474" s="333"/>
      <c r="CE474" s="333"/>
      <c r="CF474" s="333"/>
      <c r="CG474" s="354">
        <f t="shared" si="623"/>
        <v>451</v>
      </c>
      <c r="CH474" s="613">
        <f t="shared" si="624"/>
        <v>0</v>
      </c>
      <c r="CI474" s="613">
        <f t="shared" si="625"/>
        <v>0</v>
      </c>
      <c r="CJ474" s="614" t="str">
        <f t="shared" si="626"/>
        <v/>
      </c>
      <c r="CK474" s="615" t="str">
        <f t="shared" si="627"/>
        <v/>
      </c>
      <c r="CL474" s="610" t="str">
        <f>IF(ISBLANK(H474),"",IF(AND(ISNUMBER(F474),ISNUMBER(G474),ISNUMBER(H474)),ROUND(F474/(H474*G474),2),ROUND(F474/(VALUE(LEFT(H474,SUM(LEN(H474)-LEN(SUBSTITUTE(H474,{"0","1","2","3","4","5","6","7","8","9","."},"")))))*G474),2)))</f>
        <v/>
      </c>
      <c r="CM474" s="616" t="str">
        <f t="shared" si="577"/>
        <v/>
      </c>
      <c r="CN474" s="616" t="str">
        <f>IF(ISNUMBER(P474),MAX('Adjustment factors'!$S$16,(0.2+0.8*P474)),IF(ISTEXT(N474),VLOOKUP(N474,Afactors,2,FALSE),""))</f>
        <v/>
      </c>
      <c r="CO474" s="616" t="str">
        <f>IF(ISNUMBER(S474),MAX('Adjustment factors'!$S$16,0.2+0.8*S474),IF(ISTEXT(Q474),VLOOKUP(Q474,Afactors,2,FALSE),""))</f>
        <v/>
      </c>
      <c r="CP474" s="611" t="str">
        <f t="shared" si="645"/>
        <v/>
      </c>
      <c r="CQ474" s="612" t="str">
        <f t="shared" si="646"/>
        <v/>
      </c>
      <c r="CR474" s="340"/>
      <c r="CS474" s="340"/>
      <c r="CT474" s="340"/>
      <c r="CU474" s="340"/>
      <c r="CV474" s="333"/>
      <c r="CW474" s="333"/>
      <c r="CX474" s="333"/>
      <c r="CY474" s="333"/>
      <c r="DA474" s="313" t="str">
        <f t="shared" si="628"/>
        <v>OK</v>
      </c>
      <c r="DB474" s="313" t="str">
        <f t="shared" si="629"/>
        <v>OK</v>
      </c>
      <c r="DC474" s="313" t="str">
        <f t="shared" si="630"/>
        <v>OK</v>
      </c>
      <c r="DD474" s="313" t="str">
        <f t="shared" si="631"/>
        <v>OK</v>
      </c>
      <c r="DE474" s="153" t="str">
        <f t="shared" si="632"/>
        <v>OK</v>
      </c>
      <c r="DF474" s="314" t="str">
        <f t="shared" si="633"/>
        <v>OK</v>
      </c>
      <c r="DG474" s="482" t="str">
        <f t="shared" si="647"/>
        <v>OK</v>
      </c>
      <c r="DH474" s="482" t="str">
        <f>IF(OR(AND(T474='Adjustment factors'!$R$28,'Class 3, 5-9'!U474='Adjustment factors'!$R$29),AND('Class 3, 5-9'!T474='Adjustment factors'!$R$29,'Class 3, 5-9'!U474='Adjustment factors'!$R$28)),"Invalid combination of adjustment factors",IF(AND(T474=U474,NOT(ISBLANK(T474)),NOT(ISBLANK(U474))),"Same colour factor selected twice","OK"))</f>
        <v>OK</v>
      </c>
      <c r="DI474" s="313" t="str">
        <f t="shared" si="634"/>
        <v>OK</v>
      </c>
      <c r="DJ474" s="153" t="str">
        <f t="shared" si="578"/>
        <v>OK</v>
      </c>
      <c r="DK474" s="153" t="str">
        <f t="shared" si="635"/>
        <v>OK</v>
      </c>
      <c r="DL474" s="313" t="str">
        <f t="shared" si="636"/>
        <v>OK</v>
      </c>
      <c r="DM474" s="153" t="str">
        <f t="shared" si="637"/>
        <v>OK</v>
      </c>
      <c r="DN474" s="153" t="str">
        <f t="shared" si="579"/>
        <v>OK</v>
      </c>
      <c r="DO474" s="154" t="str">
        <f t="shared" si="580"/>
        <v>OK</v>
      </c>
      <c r="DP474" s="153" t="str">
        <f t="shared" si="638"/>
        <v>OK</v>
      </c>
      <c r="DQ474" s="313" t="str">
        <f t="shared" si="639"/>
        <v>OK</v>
      </c>
      <c r="DR474" s="153" t="str">
        <f t="shared" si="581"/>
        <v>OK</v>
      </c>
      <c r="DS474" s="153" t="str">
        <f t="shared" si="640"/>
        <v>OK</v>
      </c>
      <c r="DT474" s="313" t="str">
        <f t="shared" si="598"/>
        <v>OK</v>
      </c>
      <c r="DU474" s="153" t="str">
        <f t="shared" si="641"/>
        <v>OK</v>
      </c>
      <c r="DV474" s="153" t="str">
        <f t="shared" si="582"/>
        <v>OK</v>
      </c>
      <c r="DW474" s="154" t="str">
        <f t="shared" si="583"/>
        <v>OK</v>
      </c>
      <c r="DX474" s="157">
        <f t="shared" si="584"/>
        <v>0</v>
      </c>
      <c r="DY474" s="156" t="str">
        <f t="shared" si="585"/>
        <v>OK</v>
      </c>
    </row>
    <row r="475" spans="1:129" ht="13" hidden="1" x14ac:dyDescent="0.3">
      <c r="A475" s="333"/>
      <c r="B475" s="333"/>
      <c r="C475" s="332" t="str">
        <f t="shared" si="593"/>
        <v>-</v>
      </c>
      <c r="D475" s="584">
        <f t="shared" si="597"/>
        <v>452</v>
      </c>
      <c r="E475" s="585"/>
      <c r="F475" s="586"/>
      <c r="G475" s="600"/>
      <c r="H475" s="587"/>
      <c r="I475" s="601"/>
      <c r="J475" s="585"/>
      <c r="K475" s="617"/>
      <c r="L475" s="602"/>
      <c r="M475" s="603"/>
      <c r="N475" s="588"/>
      <c r="O475" s="604"/>
      <c r="P475" s="605"/>
      <c r="Q475" s="588"/>
      <c r="R475" s="604"/>
      <c r="S475" s="605"/>
      <c r="T475" s="606"/>
      <c r="U475" s="606"/>
      <c r="V475" s="429" t="str">
        <f t="shared" si="590"/>
        <v/>
      </c>
      <c r="W475" s="430" t="str">
        <f t="shared" si="589"/>
        <v/>
      </c>
      <c r="X475" s="66" t="str">
        <f>IF(AND(ISNUMBER(P475),N475=FixedDim),MAX('Adjustment factors'!$S$16,0.2+0.8*P475),IF(ISTEXT(N475),VLOOKUP(N475,Afactors,2,TRUE),""))</f>
        <v/>
      </c>
      <c r="Y475" s="17" t="str">
        <f>IF(AND(ISNUMBER(S475),Q475=FixedDim),MAX('Adjustment factors'!$S$16,0.2+0.8*S475),IF(ISTEXT(Q475),VLOOKUP(Q475,Afactors,2,TRUE),""))</f>
        <v/>
      </c>
      <c r="Z475" s="297" t="str">
        <f>IF(ISBLANK(T475),"",VLOOKUP(T475,'Adjustment factors'!$R$27:$S$30,2,TRUE))</f>
        <v/>
      </c>
      <c r="AA475" s="297" t="str">
        <f>IF(ISBLANK(U475),"",VLOOKUP(U475,'Adjustment factors'!$R$27:$S$30,2,TRUE))</f>
        <v/>
      </c>
      <c r="AB475" s="480">
        <f t="shared" si="642"/>
        <v>1</v>
      </c>
      <c r="AC475" s="18" t="b">
        <f t="shared" si="599"/>
        <v>0</v>
      </c>
      <c r="AD475" s="18" t="b">
        <f t="shared" si="600"/>
        <v>0</v>
      </c>
      <c r="AE475" s="18" t="b">
        <f t="shared" si="586"/>
        <v>0</v>
      </c>
      <c r="AF475" s="17" t="str">
        <f t="shared" si="601"/>
        <v/>
      </c>
      <c r="AG475" s="18" t="str">
        <f t="shared" si="602"/>
        <v/>
      </c>
      <c r="AH475" s="17" t="str">
        <f t="shared" si="587"/>
        <v/>
      </c>
      <c r="AI475" s="297" t="e">
        <f t="shared" si="643"/>
        <v>#VALUE!</v>
      </c>
      <c r="AJ475" s="79" t="e">
        <f t="shared" si="603"/>
        <v>#VALUE!</v>
      </c>
      <c r="AK475" s="17" t="str">
        <f t="shared" si="588"/>
        <v/>
      </c>
      <c r="AL475" s="80" t="e">
        <f t="shared" si="604"/>
        <v>#VALUE!</v>
      </c>
      <c r="AM475" s="139" t="b">
        <f t="shared" si="605"/>
        <v>1</v>
      </c>
      <c r="AN475" s="139" t="b">
        <f>AND(COUNTA(E475)&gt;0,ISNUMBER(F475),OR(COUNT(G475:H475)=0,COUNT(G475:H475)=2,AND(ISNUMBER(G475),ISNUMBER(VALUE(LEFT(H475,SUM(LEN(H475)-LEN(SUBSTITUTE(H475,{"0","1","2","3","4","5","6","7","8","9","."},"")))))))),ISNUMBER(I475),ISTEXT(J475))</f>
        <v>0</v>
      </c>
      <c r="AO475" s="19" t="b">
        <f t="shared" si="606"/>
        <v>0</v>
      </c>
      <c r="AP475" s="19" t="b">
        <f t="shared" si="607"/>
        <v>1</v>
      </c>
      <c r="AQ475" s="19" t="b">
        <f>IF(AND(COUNTBLANK(E475:J475)=6,OR(AN476:AN$523)),NOT(AN475))</f>
        <v>0</v>
      </c>
      <c r="AR475" s="19" t="str">
        <f t="shared" si="608"/>
        <v/>
      </c>
      <c r="AS475" s="19" t="b">
        <f t="shared" si="609"/>
        <v>1</v>
      </c>
      <c r="AT475" s="19" t="str">
        <f t="shared" si="610"/>
        <v/>
      </c>
      <c r="AU475" s="19" t="b">
        <f t="shared" si="611"/>
        <v>1</v>
      </c>
      <c r="AV475" s="140" t="str">
        <f t="shared" si="570"/>
        <v/>
      </c>
      <c r="AW475" s="19" t="str">
        <f t="shared" si="612"/>
        <v/>
      </c>
      <c r="AX475" s="81">
        <f t="shared" si="613"/>
        <v>0</v>
      </c>
      <c r="AY475" s="81" t="str">
        <f t="shared" si="614"/>
        <v/>
      </c>
      <c r="AZ475" s="307" t="str">
        <f t="shared" si="644"/>
        <v/>
      </c>
      <c r="BA475" s="281" t="str">
        <f t="shared" si="571"/>
        <v/>
      </c>
      <c r="BB475" s="281" t="str">
        <f t="shared" si="572"/>
        <v/>
      </c>
      <c r="BC475" s="953"/>
      <c r="BD475" s="955"/>
      <c r="BE475" s="219" t="str">
        <f t="shared" si="615"/>
        <v>n/a</v>
      </c>
      <c r="BF475" s="215" t="b">
        <f t="shared" si="616"/>
        <v>0</v>
      </c>
      <c r="BG475" s="145" t="b">
        <f t="shared" si="617"/>
        <v>0</v>
      </c>
      <c r="BH475" s="145" t="b">
        <f t="shared" si="618"/>
        <v>0</v>
      </c>
      <c r="BI475" s="216" t="b">
        <f t="shared" si="619"/>
        <v>0</v>
      </c>
      <c r="BJ475" s="215" t="b">
        <f t="shared" si="620"/>
        <v>0</v>
      </c>
      <c r="BK475" s="145" t="b">
        <f t="shared" si="621"/>
        <v>0</v>
      </c>
      <c r="BL475" s="216" t="b">
        <f t="shared" si="622"/>
        <v>0</v>
      </c>
      <c r="BM475" s="217" t="str">
        <f t="shared" si="573"/>
        <v/>
      </c>
      <c r="BN475" s="146" t="str">
        <f t="shared" si="574"/>
        <v/>
      </c>
      <c r="BO475" s="147" t="str">
        <f t="shared" si="575"/>
        <v/>
      </c>
      <c r="BP475" s="148" t="str">
        <f t="shared" si="576"/>
        <v/>
      </c>
      <c r="BT475" s="50">
        <f t="shared" si="596"/>
        <v>452</v>
      </c>
      <c r="BU475" s="50" t="str">
        <f t="shared" si="592"/>
        <v>-</v>
      </c>
      <c r="BW475" s="340"/>
      <c r="BX475" s="333"/>
      <c r="BY475" s="333"/>
      <c r="BZ475" s="333"/>
      <c r="CA475" s="333"/>
      <c r="CB475" s="333"/>
      <c r="CC475" s="333"/>
      <c r="CD475" s="333"/>
      <c r="CE475" s="333"/>
      <c r="CF475" s="333"/>
      <c r="CG475" s="354">
        <f t="shared" si="623"/>
        <v>452</v>
      </c>
      <c r="CH475" s="613">
        <f t="shared" si="624"/>
        <v>0</v>
      </c>
      <c r="CI475" s="613">
        <f t="shared" si="625"/>
        <v>0</v>
      </c>
      <c r="CJ475" s="614" t="str">
        <f t="shared" si="626"/>
        <v/>
      </c>
      <c r="CK475" s="615" t="str">
        <f t="shared" si="627"/>
        <v/>
      </c>
      <c r="CL475" s="610" t="str">
        <f>IF(ISBLANK(H475),"",IF(AND(ISNUMBER(F475),ISNUMBER(G475),ISNUMBER(H475)),ROUND(F475/(H475*G475),2),ROUND(F475/(VALUE(LEFT(H475,SUM(LEN(H475)-LEN(SUBSTITUTE(H475,{"0","1","2","3","4","5","6","7","8","9","."},"")))))*G475),2)))</f>
        <v/>
      </c>
      <c r="CM475" s="616" t="str">
        <f t="shared" si="577"/>
        <v/>
      </c>
      <c r="CN475" s="616" t="str">
        <f>IF(ISNUMBER(P475),MAX('Adjustment factors'!$S$16,(0.2+0.8*P475)),IF(ISTEXT(N475),VLOOKUP(N475,Afactors,2,FALSE),""))</f>
        <v/>
      </c>
      <c r="CO475" s="616" t="str">
        <f>IF(ISNUMBER(S475),MAX('Adjustment factors'!$S$16,0.2+0.8*S475),IF(ISTEXT(Q475),VLOOKUP(Q475,Afactors,2,FALSE),""))</f>
        <v/>
      </c>
      <c r="CP475" s="611" t="str">
        <f t="shared" si="645"/>
        <v/>
      </c>
      <c r="CQ475" s="612" t="str">
        <f t="shared" si="646"/>
        <v/>
      </c>
      <c r="CR475" s="340"/>
      <c r="CS475" s="340"/>
      <c r="CT475" s="340"/>
      <c r="CU475" s="340"/>
      <c r="CV475" s="333"/>
      <c r="CW475" s="333"/>
      <c r="CX475" s="333"/>
      <c r="CY475" s="333"/>
      <c r="DA475" s="313" t="str">
        <f t="shared" si="628"/>
        <v>OK</v>
      </c>
      <c r="DB475" s="313" t="str">
        <f t="shared" si="629"/>
        <v>OK</v>
      </c>
      <c r="DC475" s="313" t="str">
        <f t="shared" si="630"/>
        <v>OK</v>
      </c>
      <c r="DD475" s="313" t="str">
        <f t="shared" si="631"/>
        <v>OK</v>
      </c>
      <c r="DE475" s="153" t="str">
        <f t="shared" si="632"/>
        <v>OK</v>
      </c>
      <c r="DF475" s="314" t="str">
        <f t="shared" si="633"/>
        <v>OK</v>
      </c>
      <c r="DG475" s="482" t="str">
        <f t="shared" si="647"/>
        <v>OK</v>
      </c>
      <c r="DH475" s="482" t="str">
        <f>IF(OR(AND(T475='Adjustment factors'!$R$28,'Class 3, 5-9'!U475='Adjustment factors'!$R$29),AND('Class 3, 5-9'!T475='Adjustment factors'!$R$29,'Class 3, 5-9'!U475='Adjustment factors'!$R$28)),"Invalid combination of adjustment factors",IF(AND(T475=U475,NOT(ISBLANK(T475)),NOT(ISBLANK(U475))),"Same colour factor selected twice","OK"))</f>
        <v>OK</v>
      </c>
      <c r="DI475" s="313" t="str">
        <f t="shared" si="634"/>
        <v>OK</v>
      </c>
      <c r="DJ475" s="153" t="str">
        <f t="shared" si="578"/>
        <v>OK</v>
      </c>
      <c r="DK475" s="153" t="str">
        <f t="shared" si="635"/>
        <v>OK</v>
      </c>
      <c r="DL475" s="313" t="str">
        <f t="shared" si="636"/>
        <v>OK</v>
      </c>
      <c r="DM475" s="153" t="str">
        <f t="shared" si="637"/>
        <v>OK</v>
      </c>
      <c r="DN475" s="153" t="str">
        <f t="shared" si="579"/>
        <v>OK</v>
      </c>
      <c r="DO475" s="154" t="str">
        <f t="shared" si="580"/>
        <v>OK</v>
      </c>
      <c r="DP475" s="153" t="str">
        <f t="shared" si="638"/>
        <v>OK</v>
      </c>
      <c r="DQ475" s="313" t="str">
        <f t="shared" si="639"/>
        <v>OK</v>
      </c>
      <c r="DR475" s="153" t="str">
        <f t="shared" si="581"/>
        <v>OK</v>
      </c>
      <c r="DS475" s="153" t="str">
        <f t="shared" si="640"/>
        <v>OK</v>
      </c>
      <c r="DT475" s="313" t="str">
        <f t="shared" si="598"/>
        <v>OK</v>
      </c>
      <c r="DU475" s="153" t="str">
        <f t="shared" si="641"/>
        <v>OK</v>
      </c>
      <c r="DV475" s="153" t="str">
        <f t="shared" si="582"/>
        <v>OK</v>
      </c>
      <c r="DW475" s="154" t="str">
        <f t="shared" si="583"/>
        <v>OK</v>
      </c>
      <c r="DX475" s="157">
        <f t="shared" si="584"/>
        <v>0</v>
      </c>
      <c r="DY475" s="156" t="str">
        <f t="shared" si="585"/>
        <v>OK</v>
      </c>
    </row>
    <row r="476" spans="1:129" ht="13" hidden="1" x14ac:dyDescent="0.3">
      <c r="A476" s="333"/>
      <c r="B476" s="333"/>
      <c r="C476" s="332" t="str">
        <f t="shared" si="593"/>
        <v>-</v>
      </c>
      <c r="D476" s="584">
        <f t="shared" si="597"/>
        <v>453</v>
      </c>
      <c r="E476" s="585"/>
      <c r="F476" s="586"/>
      <c r="G476" s="600"/>
      <c r="H476" s="587"/>
      <c r="I476" s="601"/>
      <c r="J476" s="585"/>
      <c r="K476" s="617"/>
      <c r="L476" s="602"/>
      <c r="M476" s="603"/>
      <c r="N476" s="588"/>
      <c r="O476" s="604"/>
      <c r="P476" s="605"/>
      <c r="Q476" s="588"/>
      <c r="R476" s="604"/>
      <c r="S476" s="605"/>
      <c r="T476" s="606"/>
      <c r="U476" s="606"/>
      <c r="V476" s="429" t="str">
        <f t="shared" si="590"/>
        <v/>
      </c>
      <c r="W476" s="430" t="str">
        <f t="shared" si="589"/>
        <v/>
      </c>
      <c r="X476" s="66" t="str">
        <f>IF(AND(ISNUMBER(P476),N476=FixedDim),MAX('Adjustment factors'!$S$16,0.2+0.8*P476),IF(ISTEXT(N476),VLOOKUP(N476,Afactors,2,TRUE),""))</f>
        <v/>
      </c>
      <c r="Y476" s="17" t="str">
        <f>IF(AND(ISNUMBER(S476),Q476=FixedDim),MAX('Adjustment factors'!$S$16,0.2+0.8*S476),IF(ISTEXT(Q476),VLOOKUP(Q476,Afactors,2,TRUE),""))</f>
        <v/>
      </c>
      <c r="Z476" s="297" t="str">
        <f>IF(ISBLANK(T476),"",VLOOKUP(T476,'Adjustment factors'!$R$27:$S$30,2,TRUE))</f>
        <v/>
      </c>
      <c r="AA476" s="297" t="str">
        <f>IF(ISBLANK(U476),"",VLOOKUP(U476,'Adjustment factors'!$R$27:$S$30,2,TRUE))</f>
        <v/>
      </c>
      <c r="AB476" s="480">
        <f t="shared" si="642"/>
        <v>1</v>
      </c>
      <c r="AC476" s="18" t="b">
        <f t="shared" si="599"/>
        <v>0</v>
      </c>
      <c r="AD476" s="18" t="b">
        <f t="shared" si="600"/>
        <v>0</v>
      </c>
      <c r="AE476" s="18" t="b">
        <f t="shared" si="586"/>
        <v>0</v>
      </c>
      <c r="AF476" s="17" t="str">
        <f t="shared" si="601"/>
        <v/>
      </c>
      <c r="AG476" s="18" t="str">
        <f t="shared" si="602"/>
        <v/>
      </c>
      <c r="AH476" s="17" t="str">
        <f t="shared" si="587"/>
        <v/>
      </c>
      <c r="AI476" s="297" t="e">
        <f t="shared" si="643"/>
        <v>#VALUE!</v>
      </c>
      <c r="AJ476" s="79" t="e">
        <f t="shared" si="603"/>
        <v>#VALUE!</v>
      </c>
      <c r="AK476" s="17" t="str">
        <f t="shared" si="588"/>
        <v/>
      </c>
      <c r="AL476" s="80" t="e">
        <f t="shared" si="604"/>
        <v>#VALUE!</v>
      </c>
      <c r="AM476" s="139" t="b">
        <f t="shared" si="605"/>
        <v>1</v>
      </c>
      <c r="AN476" s="139" t="b">
        <f>AND(COUNTA(E476)&gt;0,ISNUMBER(F476),OR(COUNT(G476:H476)=0,COUNT(G476:H476)=2,AND(ISNUMBER(G476),ISNUMBER(VALUE(LEFT(H476,SUM(LEN(H476)-LEN(SUBSTITUTE(H476,{"0","1","2","3","4","5","6","7","8","9","."},"")))))))),ISNUMBER(I476),ISTEXT(J476))</f>
        <v>0</v>
      </c>
      <c r="AO476" s="19" t="b">
        <f t="shared" si="606"/>
        <v>0</v>
      </c>
      <c r="AP476" s="19" t="b">
        <f t="shared" si="607"/>
        <v>1</v>
      </c>
      <c r="AQ476" s="19" t="b">
        <f>IF(AND(COUNTBLANK(E476:J476)=6,OR(AN477:AN$523)),NOT(AN476))</f>
        <v>0</v>
      </c>
      <c r="AR476" s="19" t="str">
        <f t="shared" si="608"/>
        <v/>
      </c>
      <c r="AS476" s="19" t="b">
        <f t="shared" si="609"/>
        <v>1</v>
      </c>
      <c r="AT476" s="19" t="str">
        <f t="shared" si="610"/>
        <v/>
      </c>
      <c r="AU476" s="19" t="b">
        <f t="shared" si="611"/>
        <v>1</v>
      </c>
      <c r="AV476" s="140" t="str">
        <f t="shared" si="570"/>
        <v/>
      </c>
      <c r="AW476" s="19" t="str">
        <f t="shared" si="612"/>
        <v/>
      </c>
      <c r="AX476" s="81">
        <f t="shared" si="613"/>
        <v>0</v>
      </c>
      <c r="AY476" s="81" t="str">
        <f t="shared" si="614"/>
        <v/>
      </c>
      <c r="AZ476" s="307" t="str">
        <f t="shared" si="644"/>
        <v/>
      </c>
      <c r="BA476" s="281" t="str">
        <f t="shared" si="571"/>
        <v/>
      </c>
      <c r="BB476" s="281" t="str">
        <f t="shared" si="572"/>
        <v/>
      </c>
      <c r="BC476" s="953"/>
      <c r="BD476" s="955"/>
      <c r="BE476" s="219" t="str">
        <f t="shared" si="615"/>
        <v>n/a</v>
      </c>
      <c r="BF476" s="215" t="b">
        <f t="shared" si="616"/>
        <v>0</v>
      </c>
      <c r="BG476" s="145" t="b">
        <f t="shared" si="617"/>
        <v>0</v>
      </c>
      <c r="BH476" s="145" t="b">
        <f t="shared" si="618"/>
        <v>0</v>
      </c>
      <c r="BI476" s="216" t="b">
        <f t="shared" si="619"/>
        <v>0</v>
      </c>
      <c r="BJ476" s="215" t="b">
        <f t="shared" si="620"/>
        <v>0</v>
      </c>
      <c r="BK476" s="145" t="b">
        <f t="shared" si="621"/>
        <v>0</v>
      </c>
      <c r="BL476" s="216" t="b">
        <f t="shared" si="622"/>
        <v>0</v>
      </c>
      <c r="BM476" s="217" t="str">
        <f t="shared" si="573"/>
        <v/>
      </c>
      <c r="BN476" s="146" t="str">
        <f t="shared" si="574"/>
        <v/>
      </c>
      <c r="BO476" s="147" t="str">
        <f t="shared" si="575"/>
        <v/>
      </c>
      <c r="BP476" s="148" t="str">
        <f t="shared" si="576"/>
        <v/>
      </c>
      <c r="BT476" s="50">
        <f t="shared" si="596"/>
        <v>453</v>
      </c>
      <c r="BU476" s="50" t="str">
        <f t="shared" si="592"/>
        <v>-</v>
      </c>
      <c r="BW476" s="340"/>
      <c r="BX476" s="333"/>
      <c r="BY476" s="333"/>
      <c r="BZ476" s="333"/>
      <c r="CA476" s="333"/>
      <c r="CB476" s="333"/>
      <c r="CC476" s="333"/>
      <c r="CD476" s="333"/>
      <c r="CE476" s="333"/>
      <c r="CF476" s="333"/>
      <c r="CG476" s="354">
        <f t="shared" si="623"/>
        <v>453</v>
      </c>
      <c r="CH476" s="613">
        <f t="shared" si="624"/>
        <v>0</v>
      </c>
      <c r="CI476" s="613">
        <f t="shared" si="625"/>
        <v>0</v>
      </c>
      <c r="CJ476" s="614" t="str">
        <f t="shared" si="626"/>
        <v/>
      </c>
      <c r="CK476" s="615" t="str">
        <f t="shared" si="627"/>
        <v/>
      </c>
      <c r="CL476" s="610" t="str">
        <f>IF(ISBLANK(H476),"",IF(AND(ISNUMBER(F476),ISNUMBER(G476),ISNUMBER(H476)),ROUND(F476/(H476*G476),2),ROUND(F476/(VALUE(LEFT(H476,SUM(LEN(H476)-LEN(SUBSTITUTE(H476,{"0","1","2","3","4","5","6","7","8","9","."},"")))))*G476),2)))</f>
        <v/>
      </c>
      <c r="CM476" s="616" t="str">
        <f t="shared" si="577"/>
        <v/>
      </c>
      <c r="CN476" s="616" t="str">
        <f>IF(ISNUMBER(P476),MAX('Adjustment factors'!$S$16,(0.2+0.8*P476)),IF(ISTEXT(N476),VLOOKUP(N476,Afactors,2,FALSE),""))</f>
        <v/>
      </c>
      <c r="CO476" s="616" t="str">
        <f>IF(ISNUMBER(S476),MAX('Adjustment factors'!$S$16,0.2+0.8*S476),IF(ISTEXT(Q476),VLOOKUP(Q476,Afactors,2,FALSE),""))</f>
        <v/>
      </c>
      <c r="CP476" s="611" t="str">
        <f t="shared" si="645"/>
        <v/>
      </c>
      <c r="CQ476" s="612" t="str">
        <f t="shared" si="646"/>
        <v/>
      </c>
      <c r="CR476" s="340"/>
      <c r="CS476" s="340"/>
      <c r="CT476" s="340"/>
      <c r="CU476" s="340"/>
      <c r="CV476" s="333"/>
      <c r="CW476" s="333"/>
      <c r="CX476" s="333"/>
      <c r="CY476" s="333"/>
      <c r="DA476" s="313" t="str">
        <f t="shared" si="628"/>
        <v>OK</v>
      </c>
      <c r="DB476" s="313" t="str">
        <f t="shared" si="629"/>
        <v>OK</v>
      </c>
      <c r="DC476" s="313" t="str">
        <f t="shared" si="630"/>
        <v>OK</v>
      </c>
      <c r="DD476" s="313" t="str">
        <f t="shared" si="631"/>
        <v>OK</v>
      </c>
      <c r="DE476" s="153" t="str">
        <f t="shared" si="632"/>
        <v>OK</v>
      </c>
      <c r="DF476" s="314" t="str">
        <f t="shared" si="633"/>
        <v>OK</v>
      </c>
      <c r="DG476" s="482" t="str">
        <f t="shared" si="647"/>
        <v>OK</v>
      </c>
      <c r="DH476" s="482" t="str">
        <f>IF(OR(AND(T476='Adjustment factors'!$R$28,'Class 3, 5-9'!U476='Adjustment factors'!$R$29),AND('Class 3, 5-9'!T476='Adjustment factors'!$R$29,'Class 3, 5-9'!U476='Adjustment factors'!$R$28)),"Invalid combination of adjustment factors",IF(AND(T476=U476,NOT(ISBLANK(T476)),NOT(ISBLANK(U476))),"Same colour factor selected twice","OK"))</f>
        <v>OK</v>
      </c>
      <c r="DI476" s="313" t="str">
        <f t="shared" si="634"/>
        <v>OK</v>
      </c>
      <c r="DJ476" s="153" t="str">
        <f t="shared" si="578"/>
        <v>OK</v>
      </c>
      <c r="DK476" s="153" t="str">
        <f t="shared" si="635"/>
        <v>OK</v>
      </c>
      <c r="DL476" s="313" t="str">
        <f t="shared" si="636"/>
        <v>OK</v>
      </c>
      <c r="DM476" s="153" t="str">
        <f t="shared" si="637"/>
        <v>OK</v>
      </c>
      <c r="DN476" s="153" t="str">
        <f t="shared" si="579"/>
        <v>OK</v>
      </c>
      <c r="DO476" s="154" t="str">
        <f t="shared" si="580"/>
        <v>OK</v>
      </c>
      <c r="DP476" s="153" t="str">
        <f t="shared" si="638"/>
        <v>OK</v>
      </c>
      <c r="DQ476" s="313" t="str">
        <f t="shared" si="639"/>
        <v>OK</v>
      </c>
      <c r="DR476" s="153" t="str">
        <f t="shared" si="581"/>
        <v>OK</v>
      </c>
      <c r="DS476" s="153" t="str">
        <f t="shared" si="640"/>
        <v>OK</v>
      </c>
      <c r="DT476" s="313" t="str">
        <f t="shared" si="598"/>
        <v>OK</v>
      </c>
      <c r="DU476" s="153" t="str">
        <f t="shared" si="641"/>
        <v>OK</v>
      </c>
      <c r="DV476" s="153" t="str">
        <f t="shared" si="582"/>
        <v>OK</v>
      </c>
      <c r="DW476" s="154" t="str">
        <f t="shared" si="583"/>
        <v>OK</v>
      </c>
      <c r="DX476" s="157">
        <f t="shared" si="584"/>
        <v>0</v>
      </c>
      <c r="DY476" s="156" t="str">
        <f t="shared" si="585"/>
        <v>OK</v>
      </c>
    </row>
    <row r="477" spans="1:129" ht="13" hidden="1" x14ac:dyDescent="0.3">
      <c r="A477" s="333"/>
      <c r="B477" s="333"/>
      <c r="C477" s="332" t="str">
        <f t="shared" si="593"/>
        <v>-</v>
      </c>
      <c r="D477" s="584">
        <f t="shared" si="597"/>
        <v>454</v>
      </c>
      <c r="E477" s="585"/>
      <c r="F477" s="586"/>
      <c r="G477" s="600"/>
      <c r="H477" s="587"/>
      <c r="I477" s="601"/>
      <c r="J477" s="585"/>
      <c r="K477" s="617"/>
      <c r="L477" s="602"/>
      <c r="M477" s="603"/>
      <c r="N477" s="588"/>
      <c r="O477" s="604"/>
      <c r="P477" s="605"/>
      <c r="Q477" s="588"/>
      <c r="R477" s="604"/>
      <c r="S477" s="605"/>
      <c r="T477" s="606"/>
      <c r="U477" s="606"/>
      <c r="V477" s="429" t="str">
        <f t="shared" si="590"/>
        <v/>
      </c>
      <c r="W477" s="430" t="str">
        <f t="shared" si="589"/>
        <v/>
      </c>
      <c r="X477" s="66" t="str">
        <f>IF(AND(ISNUMBER(P477),N477=FixedDim),MAX('Adjustment factors'!$S$16,0.2+0.8*P477),IF(ISTEXT(N477),VLOOKUP(N477,Afactors,2,TRUE),""))</f>
        <v/>
      </c>
      <c r="Y477" s="17" t="str">
        <f>IF(AND(ISNUMBER(S477),Q477=FixedDim),MAX('Adjustment factors'!$S$16,0.2+0.8*S477),IF(ISTEXT(Q477),VLOOKUP(Q477,Afactors,2,TRUE),""))</f>
        <v/>
      </c>
      <c r="Z477" s="297" t="str">
        <f>IF(ISBLANK(T477),"",VLOOKUP(T477,'Adjustment factors'!$R$27:$S$30,2,TRUE))</f>
        <v/>
      </c>
      <c r="AA477" s="297" t="str">
        <f>IF(ISBLANK(U477),"",VLOOKUP(U477,'Adjustment factors'!$R$27:$S$30,2,TRUE))</f>
        <v/>
      </c>
      <c r="AB477" s="480">
        <f t="shared" si="642"/>
        <v>1</v>
      </c>
      <c r="AC477" s="18" t="b">
        <f t="shared" si="599"/>
        <v>0</v>
      </c>
      <c r="AD477" s="18" t="b">
        <f t="shared" si="600"/>
        <v>0</v>
      </c>
      <c r="AE477" s="18" t="b">
        <f t="shared" si="586"/>
        <v>0</v>
      </c>
      <c r="AF477" s="17" t="str">
        <f t="shared" si="601"/>
        <v/>
      </c>
      <c r="AG477" s="18" t="str">
        <f t="shared" si="602"/>
        <v/>
      </c>
      <c r="AH477" s="17" t="str">
        <f t="shared" si="587"/>
        <v/>
      </c>
      <c r="AI477" s="297" t="e">
        <f t="shared" si="643"/>
        <v>#VALUE!</v>
      </c>
      <c r="AJ477" s="79" t="e">
        <f t="shared" si="603"/>
        <v>#VALUE!</v>
      </c>
      <c r="AK477" s="17" t="str">
        <f t="shared" si="588"/>
        <v/>
      </c>
      <c r="AL477" s="80" t="e">
        <f t="shared" si="604"/>
        <v>#VALUE!</v>
      </c>
      <c r="AM477" s="139" t="b">
        <f t="shared" si="605"/>
        <v>1</v>
      </c>
      <c r="AN477" s="139" t="b">
        <f>AND(COUNTA(E477)&gt;0,ISNUMBER(F477),OR(COUNT(G477:H477)=0,COUNT(G477:H477)=2,AND(ISNUMBER(G477),ISNUMBER(VALUE(LEFT(H477,SUM(LEN(H477)-LEN(SUBSTITUTE(H477,{"0","1","2","3","4","5","6","7","8","9","."},"")))))))),ISNUMBER(I477),ISTEXT(J477))</f>
        <v>0</v>
      </c>
      <c r="AO477" s="19" t="b">
        <f t="shared" si="606"/>
        <v>0</v>
      </c>
      <c r="AP477" s="19" t="b">
        <f t="shared" si="607"/>
        <v>1</v>
      </c>
      <c r="AQ477" s="19" t="b">
        <f>IF(AND(COUNTBLANK(E477:J477)=6,OR(AN478:AN$523)),NOT(AN477))</f>
        <v>0</v>
      </c>
      <c r="AR477" s="19" t="str">
        <f t="shared" si="608"/>
        <v/>
      </c>
      <c r="AS477" s="19" t="b">
        <f t="shared" si="609"/>
        <v>1</v>
      </c>
      <c r="AT477" s="19" t="str">
        <f t="shared" si="610"/>
        <v/>
      </c>
      <c r="AU477" s="19" t="b">
        <f t="shared" si="611"/>
        <v>1</v>
      </c>
      <c r="AV477" s="140" t="str">
        <f t="shared" si="570"/>
        <v/>
      </c>
      <c r="AW477" s="19" t="str">
        <f t="shared" si="612"/>
        <v/>
      </c>
      <c r="AX477" s="81">
        <f t="shared" si="613"/>
        <v>0</v>
      </c>
      <c r="AY477" s="81" t="str">
        <f t="shared" si="614"/>
        <v/>
      </c>
      <c r="AZ477" s="307" t="str">
        <f t="shared" si="644"/>
        <v/>
      </c>
      <c r="BA477" s="281" t="str">
        <f t="shared" si="571"/>
        <v/>
      </c>
      <c r="BB477" s="281" t="str">
        <f t="shared" si="572"/>
        <v/>
      </c>
      <c r="BC477" s="953"/>
      <c r="BD477" s="955"/>
      <c r="BE477" s="219" t="str">
        <f t="shared" si="615"/>
        <v>n/a</v>
      </c>
      <c r="BF477" s="215" t="b">
        <f t="shared" si="616"/>
        <v>0</v>
      </c>
      <c r="BG477" s="145" t="b">
        <f t="shared" si="617"/>
        <v>0</v>
      </c>
      <c r="BH477" s="145" t="b">
        <f t="shared" si="618"/>
        <v>0</v>
      </c>
      <c r="BI477" s="216" t="b">
        <f t="shared" si="619"/>
        <v>0</v>
      </c>
      <c r="BJ477" s="215" t="b">
        <f t="shared" si="620"/>
        <v>0</v>
      </c>
      <c r="BK477" s="145" t="b">
        <f t="shared" si="621"/>
        <v>0</v>
      </c>
      <c r="BL477" s="216" t="b">
        <f t="shared" si="622"/>
        <v>0</v>
      </c>
      <c r="BM477" s="217" t="str">
        <f t="shared" si="573"/>
        <v/>
      </c>
      <c r="BN477" s="146" t="str">
        <f t="shared" si="574"/>
        <v/>
      </c>
      <c r="BO477" s="147" t="str">
        <f t="shared" si="575"/>
        <v/>
      </c>
      <c r="BP477" s="148" t="str">
        <f t="shared" si="576"/>
        <v/>
      </c>
      <c r="BT477" s="50">
        <f t="shared" si="596"/>
        <v>454</v>
      </c>
      <c r="BU477" s="50" t="str">
        <f t="shared" si="592"/>
        <v>-</v>
      </c>
      <c r="BW477" s="340"/>
      <c r="BX477" s="333"/>
      <c r="BY477" s="333"/>
      <c r="BZ477" s="333"/>
      <c r="CA477" s="333"/>
      <c r="CB477" s="333"/>
      <c r="CC477" s="333"/>
      <c r="CD477" s="333"/>
      <c r="CE477" s="333"/>
      <c r="CF477" s="333"/>
      <c r="CG477" s="354">
        <f t="shared" si="623"/>
        <v>454</v>
      </c>
      <c r="CH477" s="613">
        <f t="shared" si="624"/>
        <v>0</v>
      </c>
      <c r="CI477" s="613">
        <f t="shared" si="625"/>
        <v>0</v>
      </c>
      <c r="CJ477" s="614" t="str">
        <f t="shared" si="626"/>
        <v/>
      </c>
      <c r="CK477" s="615" t="str">
        <f t="shared" si="627"/>
        <v/>
      </c>
      <c r="CL477" s="610" t="str">
        <f>IF(ISBLANK(H477),"",IF(AND(ISNUMBER(F477),ISNUMBER(G477),ISNUMBER(H477)),ROUND(F477/(H477*G477),2),ROUND(F477/(VALUE(LEFT(H477,SUM(LEN(H477)-LEN(SUBSTITUTE(H477,{"0","1","2","3","4","5","6","7","8","9","."},"")))))*G477),2)))</f>
        <v/>
      </c>
      <c r="CM477" s="616" t="str">
        <f t="shared" si="577"/>
        <v/>
      </c>
      <c r="CN477" s="616" t="str">
        <f>IF(ISNUMBER(P477),MAX('Adjustment factors'!$S$16,(0.2+0.8*P477)),IF(ISTEXT(N477),VLOOKUP(N477,Afactors,2,FALSE),""))</f>
        <v/>
      </c>
      <c r="CO477" s="616" t="str">
        <f>IF(ISNUMBER(S477),MAX('Adjustment factors'!$S$16,0.2+0.8*S477),IF(ISTEXT(Q477),VLOOKUP(Q477,Afactors,2,FALSE),""))</f>
        <v/>
      </c>
      <c r="CP477" s="611" t="str">
        <f t="shared" si="645"/>
        <v/>
      </c>
      <c r="CQ477" s="612" t="str">
        <f t="shared" si="646"/>
        <v/>
      </c>
      <c r="CR477" s="340"/>
      <c r="CS477" s="340"/>
      <c r="CT477" s="340"/>
      <c r="CU477" s="340"/>
      <c r="CV477" s="333"/>
      <c r="CW477" s="333"/>
      <c r="CX477" s="333"/>
      <c r="CY477" s="333"/>
      <c r="DA477" s="313" t="str">
        <f t="shared" si="628"/>
        <v>OK</v>
      </c>
      <c r="DB477" s="313" t="str">
        <f t="shared" si="629"/>
        <v>OK</v>
      </c>
      <c r="DC477" s="313" t="str">
        <f t="shared" si="630"/>
        <v>OK</v>
      </c>
      <c r="DD477" s="313" t="str">
        <f t="shared" si="631"/>
        <v>OK</v>
      </c>
      <c r="DE477" s="153" t="str">
        <f t="shared" si="632"/>
        <v>OK</v>
      </c>
      <c r="DF477" s="314" t="str">
        <f t="shared" si="633"/>
        <v>OK</v>
      </c>
      <c r="DG477" s="482" t="str">
        <f t="shared" si="647"/>
        <v>OK</v>
      </c>
      <c r="DH477" s="482" t="str">
        <f>IF(OR(AND(T477='Adjustment factors'!$R$28,'Class 3, 5-9'!U477='Adjustment factors'!$R$29),AND('Class 3, 5-9'!T477='Adjustment factors'!$R$29,'Class 3, 5-9'!U477='Adjustment factors'!$R$28)),"Invalid combination of adjustment factors",IF(AND(T477=U477,NOT(ISBLANK(T477)),NOT(ISBLANK(U477))),"Same colour factor selected twice","OK"))</f>
        <v>OK</v>
      </c>
      <c r="DI477" s="313" t="str">
        <f t="shared" si="634"/>
        <v>OK</v>
      </c>
      <c r="DJ477" s="153" t="str">
        <f t="shared" si="578"/>
        <v>OK</v>
      </c>
      <c r="DK477" s="153" t="str">
        <f t="shared" si="635"/>
        <v>OK</v>
      </c>
      <c r="DL477" s="313" t="str">
        <f t="shared" si="636"/>
        <v>OK</v>
      </c>
      <c r="DM477" s="153" t="str">
        <f t="shared" si="637"/>
        <v>OK</v>
      </c>
      <c r="DN477" s="153" t="str">
        <f t="shared" si="579"/>
        <v>OK</v>
      </c>
      <c r="DO477" s="154" t="str">
        <f t="shared" si="580"/>
        <v>OK</v>
      </c>
      <c r="DP477" s="153" t="str">
        <f t="shared" si="638"/>
        <v>OK</v>
      </c>
      <c r="DQ477" s="313" t="str">
        <f t="shared" si="639"/>
        <v>OK</v>
      </c>
      <c r="DR477" s="153" t="str">
        <f t="shared" si="581"/>
        <v>OK</v>
      </c>
      <c r="DS477" s="153" t="str">
        <f t="shared" si="640"/>
        <v>OK</v>
      </c>
      <c r="DT477" s="313" t="str">
        <f t="shared" si="598"/>
        <v>OK</v>
      </c>
      <c r="DU477" s="153" t="str">
        <f t="shared" si="641"/>
        <v>OK</v>
      </c>
      <c r="DV477" s="153" t="str">
        <f t="shared" si="582"/>
        <v>OK</v>
      </c>
      <c r="DW477" s="154" t="str">
        <f t="shared" si="583"/>
        <v>OK</v>
      </c>
      <c r="DX477" s="157">
        <f t="shared" si="584"/>
        <v>0</v>
      </c>
      <c r="DY477" s="156" t="str">
        <f t="shared" si="585"/>
        <v>OK</v>
      </c>
    </row>
    <row r="478" spans="1:129" ht="13" hidden="1" x14ac:dyDescent="0.3">
      <c r="A478" s="333"/>
      <c r="B478" s="333"/>
      <c r="C478" s="332" t="str">
        <f t="shared" si="593"/>
        <v>-</v>
      </c>
      <c r="D478" s="584">
        <f t="shared" si="597"/>
        <v>455</v>
      </c>
      <c r="E478" s="585"/>
      <c r="F478" s="586"/>
      <c r="G478" s="600"/>
      <c r="H478" s="587"/>
      <c r="I478" s="601"/>
      <c r="J478" s="585"/>
      <c r="K478" s="617"/>
      <c r="L478" s="602"/>
      <c r="M478" s="603"/>
      <c r="N478" s="588"/>
      <c r="O478" s="604"/>
      <c r="P478" s="605"/>
      <c r="Q478" s="588"/>
      <c r="R478" s="604"/>
      <c r="S478" s="605"/>
      <c r="T478" s="606"/>
      <c r="U478" s="606"/>
      <c r="V478" s="429" t="str">
        <f t="shared" si="590"/>
        <v/>
      </c>
      <c r="W478" s="430" t="str">
        <f t="shared" si="589"/>
        <v/>
      </c>
      <c r="X478" s="66" t="str">
        <f>IF(AND(ISNUMBER(P478),N478=FixedDim),MAX('Adjustment factors'!$S$16,0.2+0.8*P478),IF(ISTEXT(N478),VLOOKUP(N478,Afactors,2,TRUE),""))</f>
        <v/>
      </c>
      <c r="Y478" s="17" t="str">
        <f>IF(AND(ISNUMBER(S478),Q478=FixedDim),MAX('Adjustment factors'!$S$16,0.2+0.8*S478),IF(ISTEXT(Q478),VLOOKUP(Q478,Afactors,2,TRUE),""))</f>
        <v/>
      </c>
      <c r="Z478" s="297" t="str">
        <f>IF(ISBLANK(T478),"",VLOOKUP(T478,'Adjustment factors'!$R$27:$S$30,2,TRUE))</f>
        <v/>
      </c>
      <c r="AA478" s="297" t="str">
        <f>IF(ISBLANK(U478),"",VLOOKUP(U478,'Adjustment factors'!$R$27:$S$30,2,TRUE))</f>
        <v/>
      </c>
      <c r="AB478" s="480">
        <f t="shared" si="642"/>
        <v>1</v>
      </c>
      <c r="AC478" s="18" t="b">
        <f t="shared" si="599"/>
        <v>0</v>
      </c>
      <c r="AD478" s="18" t="b">
        <f t="shared" si="600"/>
        <v>0</v>
      </c>
      <c r="AE478" s="18" t="b">
        <f t="shared" si="586"/>
        <v>0</v>
      </c>
      <c r="AF478" s="17" t="str">
        <f t="shared" si="601"/>
        <v/>
      </c>
      <c r="AG478" s="18" t="str">
        <f t="shared" si="602"/>
        <v/>
      </c>
      <c r="AH478" s="17" t="str">
        <f t="shared" si="587"/>
        <v/>
      </c>
      <c r="AI478" s="297" t="e">
        <f t="shared" si="643"/>
        <v>#VALUE!</v>
      </c>
      <c r="AJ478" s="79" t="e">
        <f t="shared" si="603"/>
        <v>#VALUE!</v>
      </c>
      <c r="AK478" s="17" t="str">
        <f t="shared" si="588"/>
        <v/>
      </c>
      <c r="AL478" s="80" t="e">
        <f t="shared" si="604"/>
        <v>#VALUE!</v>
      </c>
      <c r="AM478" s="139" t="b">
        <f t="shared" si="605"/>
        <v>1</v>
      </c>
      <c r="AN478" s="139" t="b">
        <f>AND(COUNTA(E478)&gt;0,ISNUMBER(F478),OR(COUNT(G478:H478)=0,COUNT(G478:H478)=2,AND(ISNUMBER(G478),ISNUMBER(VALUE(LEFT(H478,SUM(LEN(H478)-LEN(SUBSTITUTE(H478,{"0","1","2","3","4","5","6","7","8","9","."},"")))))))),ISNUMBER(I478),ISTEXT(J478))</f>
        <v>0</v>
      </c>
      <c r="AO478" s="19" t="b">
        <f t="shared" si="606"/>
        <v>0</v>
      </c>
      <c r="AP478" s="19" t="b">
        <f t="shared" si="607"/>
        <v>1</v>
      </c>
      <c r="AQ478" s="19" t="b">
        <f>IF(AND(COUNTBLANK(E478:J478)=6,OR(AN479:AN$523)),NOT(AN478))</f>
        <v>0</v>
      </c>
      <c r="AR478" s="19" t="str">
        <f t="shared" si="608"/>
        <v/>
      </c>
      <c r="AS478" s="19" t="b">
        <f t="shared" si="609"/>
        <v>1</v>
      </c>
      <c r="AT478" s="19" t="str">
        <f t="shared" si="610"/>
        <v/>
      </c>
      <c r="AU478" s="19" t="b">
        <f t="shared" si="611"/>
        <v>1</v>
      </c>
      <c r="AV478" s="140" t="str">
        <f t="shared" si="570"/>
        <v/>
      </c>
      <c r="AW478" s="19" t="str">
        <f t="shared" si="612"/>
        <v/>
      </c>
      <c r="AX478" s="81">
        <f t="shared" si="613"/>
        <v>0</v>
      </c>
      <c r="AY478" s="81" t="str">
        <f t="shared" si="614"/>
        <v/>
      </c>
      <c r="AZ478" s="307" t="str">
        <f t="shared" si="644"/>
        <v/>
      </c>
      <c r="BA478" s="281" t="str">
        <f t="shared" si="571"/>
        <v/>
      </c>
      <c r="BB478" s="281" t="str">
        <f t="shared" si="572"/>
        <v/>
      </c>
      <c r="BC478" s="953"/>
      <c r="BD478" s="955"/>
      <c r="BE478" s="219" t="str">
        <f t="shared" si="615"/>
        <v>n/a</v>
      </c>
      <c r="BF478" s="215" t="b">
        <f t="shared" si="616"/>
        <v>0</v>
      </c>
      <c r="BG478" s="145" t="b">
        <f t="shared" si="617"/>
        <v>0</v>
      </c>
      <c r="BH478" s="145" t="b">
        <f t="shared" si="618"/>
        <v>0</v>
      </c>
      <c r="BI478" s="216" t="b">
        <f t="shared" si="619"/>
        <v>0</v>
      </c>
      <c r="BJ478" s="215" t="b">
        <f t="shared" si="620"/>
        <v>0</v>
      </c>
      <c r="BK478" s="145" t="b">
        <f t="shared" si="621"/>
        <v>0</v>
      </c>
      <c r="BL478" s="216" t="b">
        <f t="shared" si="622"/>
        <v>0</v>
      </c>
      <c r="BM478" s="217" t="str">
        <f t="shared" si="573"/>
        <v/>
      </c>
      <c r="BN478" s="146" t="str">
        <f t="shared" si="574"/>
        <v/>
      </c>
      <c r="BO478" s="147" t="str">
        <f t="shared" si="575"/>
        <v/>
      </c>
      <c r="BP478" s="148" t="str">
        <f t="shared" si="576"/>
        <v/>
      </c>
      <c r="BT478" s="50">
        <f t="shared" si="596"/>
        <v>455</v>
      </c>
      <c r="BU478" s="50" t="str">
        <f t="shared" si="592"/>
        <v>-</v>
      </c>
      <c r="BW478" s="340"/>
      <c r="BX478" s="333"/>
      <c r="BY478" s="333"/>
      <c r="BZ478" s="333"/>
      <c r="CA478" s="333"/>
      <c r="CB478" s="333"/>
      <c r="CC478" s="333"/>
      <c r="CD478" s="333"/>
      <c r="CE478" s="333"/>
      <c r="CF478" s="333"/>
      <c r="CG478" s="354">
        <f t="shared" si="623"/>
        <v>455</v>
      </c>
      <c r="CH478" s="613">
        <f t="shared" si="624"/>
        <v>0</v>
      </c>
      <c r="CI478" s="613">
        <f t="shared" si="625"/>
        <v>0</v>
      </c>
      <c r="CJ478" s="614" t="str">
        <f t="shared" si="626"/>
        <v/>
      </c>
      <c r="CK478" s="615" t="str">
        <f t="shared" si="627"/>
        <v/>
      </c>
      <c r="CL478" s="610" t="str">
        <f>IF(ISBLANK(H478),"",IF(AND(ISNUMBER(F478),ISNUMBER(G478),ISNUMBER(H478)),ROUND(F478/(H478*G478),2),ROUND(F478/(VALUE(LEFT(H478,SUM(LEN(H478)-LEN(SUBSTITUTE(H478,{"0","1","2","3","4","5","6","7","8","9","."},"")))))*G478),2)))</f>
        <v/>
      </c>
      <c r="CM478" s="616" t="str">
        <f t="shared" si="577"/>
        <v/>
      </c>
      <c r="CN478" s="616" t="str">
        <f>IF(ISNUMBER(P478),MAX('Adjustment factors'!$S$16,(0.2+0.8*P478)),IF(ISTEXT(N478),VLOOKUP(N478,Afactors,2,FALSE),""))</f>
        <v/>
      </c>
      <c r="CO478" s="616" t="str">
        <f>IF(ISNUMBER(S478),MAX('Adjustment factors'!$S$16,0.2+0.8*S478),IF(ISTEXT(Q478),VLOOKUP(Q478,Afactors,2,FALSE),""))</f>
        <v/>
      </c>
      <c r="CP478" s="611" t="str">
        <f t="shared" si="645"/>
        <v/>
      </c>
      <c r="CQ478" s="612" t="str">
        <f t="shared" si="646"/>
        <v/>
      </c>
      <c r="CR478" s="340"/>
      <c r="CS478" s="340"/>
      <c r="CT478" s="340"/>
      <c r="CU478" s="340"/>
      <c r="CV478" s="333"/>
      <c r="CW478" s="333"/>
      <c r="CX478" s="333"/>
      <c r="CY478" s="333"/>
      <c r="DA478" s="313" t="str">
        <f t="shared" si="628"/>
        <v>OK</v>
      </c>
      <c r="DB478" s="313" t="str">
        <f t="shared" si="629"/>
        <v>OK</v>
      </c>
      <c r="DC478" s="313" t="str">
        <f t="shared" si="630"/>
        <v>OK</v>
      </c>
      <c r="DD478" s="313" t="str">
        <f t="shared" si="631"/>
        <v>OK</v>
      </c>
      <c r="DE478" s="153" t="str">
        <f t="shared" si="632"/>
        <v>OK</v>
      </c>
      <c r="DF478" s="314" t="str">
        <f t="shared" si="633"/>
        <v>OK</v>
      </c>
      <c r="DG478" s="482" t="str">
        <f t="shared" si="647"/>
        <v>OK</v>
      </c>
      <c r="DH478" s="482" t="str">
        <f>IF(OR(AND(T478='Adjustment factors'!$R$28,'Class 3, 5-9'!U478='Adjustment factors'!$R$29),AND('Class 3, 5-9'!T478='Adjustment factors'!$R$29,'Class 3, 5-9'!U478='Adjustment factors'!$R$28)),"Invalid combination of adjustment factors",IF(AND(T478=U478,NOT(ISBLANK(T478)),NOT(ISBLANK(U478))),"Same colour factor selected twice","OK"))</f>
        <v>OK</v>
      </c>
      <c r="DI478" s="313" t="str">
        <f t="shared" si="634"/>
        <v>OK</v>
      </c>
      <c r="DJ478" s="153" t="str">
        <f t="shared" si="578"/>
        <v>OK</v>
      </c>
      <c r="DK478" s="153" t="str">
        <f t="shared" si="635"/>
        <v>OK</v>
      </c>
      <c r="DL478" s="313" t="str">
        <f t="shared" si="636"/>
        <v>OK</v>
      </c>
      <c r="DM478" s="153" t="str">
        <f t="shared" si="637"/>
        <v>OK</v>
      </c>
      <c r="DN478" s="153" t="str">
        <f t="shared" si="579"/>
        <v>OK</v>
      </c>
      <c r="DO478" s="154" t="str">
        <f t="shared" si="580"/>
        <v>OK</v>
      </c>
      <c r="DP478" s="153" t="str">
        <f t="shared" si="638"/>
        <v>OK</v>
      </c>
      <c r="DQ478" s="313" t="str">
        <f t="shared" si="639"/>
        <v>OK</v>
      </c>
      <c r="DR478" s="153" t="str">
        <f t="shared" si="581"/>
        <v>OK</v>
      </c>
      <c r="DS478" s="153" t="str">
        <f t="shared" si="640"/>
        <v>OK</v>
      </c>
      <c r="DT478" s="313" t="str">
        <f t="shared" si="598"/>
        <v>OK</v>
      </c>
      <c r="DU478" s="153" t="str">
        <f t="shared" si="641"/>
        <v>OK</v>
      </c>
      <c r="DV478" s="153" t="str">
        <f t="shared" si="582"/>
        <v>OK</v>
      </c>
      <c r="DW478" s="154" t="str">
        <f t="shared" si="583"/>
        <v>OK</v>
      </c>
      <c r="DX478" s="157">
        <f t="shared" si="584"/>
        <v>0</v>
      </c>
      <c r="DY478" s="156" t="str">
        <f t="shared" si="585"/>
        <v>OK</v>
      </c>
    </row>
    <row r="479" spans="1:129" ht="13" hidden="1" x14ac:dyDescent="0.3">
      <c r="A479" s="333"/>
      <c r="B479" s="333"/>
      <c r="C479" s="332" t="str">
        <f t="shared" si="593"/>
        <v>-</v>
      </c>
      <c r="D479" s="584">
        <f t="shared" si="597"/>
        <v>456</v>
      </c>
      <c r="E479" s="585"/>
      <c r="F479" s="586"/>
      <c r="G479" s="600"/>
      <c r="H479" s="587"/>
      <c r="I479" s="601"/>
      <c r="J479" s="585"/>
      <c r="K479" s="617"/>
      <c r="L479" s="602"/>
      <c r="M479" s="603"/>
      <c r="N479" s="588"/>
      <c r="O479" s="604"/>
      <c r="P479" s="605"/>
      <c r="Q479" s="588"/>
      <c r="R479" s="604"/>
      <c r="S479" s="605"/>
      <c r="T479" s="606"/>
      <c r="U479" s="606"/>
      <c r="V479" s="429" t="str">
        <f t="shared" si="590"/>
        <v/>
      </c>
      <c r="W479" s="430" t="str">
        <f t="shared" si="589"/>
        <v/>
      </c>
      <c r="X479" s="66" t="str">
        <f>IF(AND(ISNUMBER(P479),N479=FixedDim),MAX('Adjustment factors'!$S$16,0.2+0.8*P479),IF(ISTEXT(N479),VLOOKUP(N479,Afactors,2,TRUE),""))</f>
        <v/>
      </c>
      <c r="Y479" s="17" t="str">
        <f>IF(AND(ISNUMBER(S479),Q479=FixedDim),MAX('Adjustment factors'!$S$16,0.2+0.8*S479),IF(ISTEXT(Q479),VLOOKUP(Q479,Afactors,2,TRUE),""))</f>
        <v/>
      </c>
      <c r="Z479" s="297" t="str">
        <f>IF(ISBLANK(T479),"",VLOOKUP(T479,'Adjustment factors'!$R$27:$S$30,2,TRUE))</f>
        <v/>
      </c>
      <c r="AA479" s="297" t="str">
        <f>IF(ISBLANK(U479),"",VLOOKUP(U479,'Adjustment factors'!$R$27:$S$30,2,TRUE))</f>
        <v/>
      </c>
      <c r="AB479" s="480">
        <f t="shared" si="642"/>
        <v>1</v>
      </c>
      <c r="AC479" s="18" t="b">
        <f t="shared" si="599"/>
        <v>0</v>
      </c>
      <c r="AD479" s="18" t="b">
        <f t="shared" si="600"/>
        <v>0</v>
      </c>
      <c r="AE479" s="18" t="b">
        <f t="shared" si="586"/>
        <v>0</v>
      </c>
      <c r="AF479" s="17" t="str">
        <f t="shared" si="601"/>
        <v/>
      </c>
      <c r="AG479" s="18" t="str">
        <f t="shared" si="602"/>
        <v/>
      </c>
      <c r="AH479" s="17" t="str">
        <f t="shared" si="587"/>
        <v/>
      </c>
      <c r="AI479" s="297" t="e">
        <f t="shared" si="643"/>
        <v>#VALUE!</v>
      </c>
      <c r="AJ479" s="79" t="e">
        <f t="shared" si="603"/>
        <v>#VALUE!</v>
      </c>
      <c r="AK479" s="17" t="str">
        <f t="shared" si="588"/>
        <v/>
      </c>
      <c r="AL479" s="80" t="e">
        <f t="shared" si="604"/>
        <v>#VALUE!</v>
      </c>
      <c r="AM479" s="139" t="b">
        <f t="shared" si="605"/>
        <v>1</v>
      </c>
      <c r="AN479" s="139" t="b">
        <f>AND(COUNTA(E479)&gt;0,ISNUMBER(F479),OR(COUNT(G479:H479)=0,COUNT(G479:H479)=2,AND(ISNUMBER(G479),ISNUMBER(VALUE(LEFT(H479,SUM(LEN(H479)-LEN(SUBSTITUTE(H479,{"0","1","2","3","4","5","6","7","8","9","."},"")))))))),ISNUMBER(I479),ISTEXT(J479))</f>
        <v>0</v>
      </c>
      <c r="AO479" s="19" t="b">
        <f t="shared" si="606"/>
        <v>0</v>
      </c>
      <c r="AP479" s="19" t="b">
        <f t="shared" si="607"/>
        <v>1</v>
      </c>
      <c r="AQ479" s="19" t="b">
        <f>IF(AND(COUNTBLANK(E479:J479)=6,OR(AN480:AN$523)),NOT(AN479))</f>
        <v>0</v>
      </c>
      <c r="AR479" s="19" t="str">
        <f t="shared" si="608"/>
        <v/>
      </c>
      <c r="AS479" s="19" t="b">
        <f t="shared" si="609"/>
        <v>1</v>
      </c>
      <c r="AT479" s="19" t="str">
        <f t="shared" si="610"/>
        <v/>
      </c>
      <c r="AU479" s="19" t="b">
        <f t="shared" si="611"/>
        <v>1</v>
      </c>
      <c r="AV479" s="140" t="str">
        <f t="shared" si="570"/>
        <v/>
      </c>
      <c r="AW479" s="19" t="str">
        <f t="shared" si="612"/>
        <v/>
      </c>
      <c r="AX479" s="81">
        <f t="shared" si="613"/>
        <v>0</v>
      </c>
      <c r="AY479" s="81" t="str">
        <f t="shared" si="614"/>
        <v/>
      </c>
      <c r="AZ479" s="307" t="str">
        <f t="shared" si="644"/>
        <v/>
      </c>
      <c r="BA479" s="281" t="str">
        <f t="shared" si="571"/>
        <v/>
      </c>
      <c r="BB479" s="281" t="str">
        <f t="shared" si="572"/>
        <v/>
      </c>
      <c r="BC479" s="953"/>
      <c r="BD479" s="955"/>
      <c r="BE479" s="219" t="str">
        <f t="shared" si="615"/>
        <v>n/a</v>
      </c>
      <c r="BF479" s="215" t="b">
        <f t="shared" si="616"/>
        <v>0</v>
      </c>
      <c r="BG479" s="145" t="b">
        <f t="shared" si="617"/>
        <v>0</v>
      </c>
      <c r="BH479" s="145" t="b">
        <f t="shared" si="618"/>
        <v>0</v>
      </c>
      <c r="BI479" s="216" t="b">
        <f t="shared" si="619"/>
        <v>0</v>
      </c>
      <c r="BJ479" s="215" t="b">
        <f t="shared" si="620"/>
        <v>0</v>
      </c>
      <c r="BK479" s="145" t="b">
        <f t="shared" si="621"/>
        <v>0</v>
      </c>
      <c r="BL479" s="216" t="b">
        <f t="shared" si="622"/>
        <v>0</v>
      </c>
      <c r="BM479" s="217" t="str">
        <f t="shared" si="573"/>
        <v/>
      </c>
      <c r="BN479" s="146" t="str">
        <f t="shared" si="574"/>
        <v/>
      </c>
      <c r="BO479" s="147" t="str">
        <f t="shared" si="575"/>
        <v/>
      </c>
      <c r="BP479" s="148" t="str">
        <f t="shared" si="576"/>
        <v/>
      </c>
      <c r="BT479" s="50">
        <f t="shared" si="596"/>
        <v>456</v>
      </c>
      <c r="BU479" s="50" t="str">
        <f t="shared" si="592"/>
        <v>-</v>
      </c>
      <c r="BW479" s="340"/>
      <c r="BX479" s="333"/>
      <c r="BY479" s="333"/>
      <c r="BZ479" s="333"/>
      <c r="CA479" s="333"/>
      <c r="CB479" s="333"/>
      <c r="CC479" s="333"/>
      <c r="CD479" s="333"/>
      <c r="CE479" s="333"/>
      <c r="CF479" s="333"/>
      <c r="CG479" s="354">
        <f t="shared" si="623"/>
        <v>456</v>
      </c>
      <c r="CH479" s="613">
        <f t="shared" si="624"/>
        <v>0</v>
      </c>
      <c r="CI479" s="613">
        <f t="shared" si="625"/>
        <v>0</v>
      </c>
      <c r="CJ479" s="614" t="str">
        <f t="shared" si="626"/>
        <v/>
      </c>
      <c r="CK479" s="615" t="str">
        <f t="shared" si="627"/>
        <v/>
      </c>
      <c r="CL479" s="610" t="str">
        <f>IF(ISBLANK(H479),"",IF(AND(ISNUMBER(F479),ISNUMBER(G479),ISNUMBER(H479)),ROUND(F479/(H479*G479),2),ROUND(F479/(VALUE(LEFT(H479,SUM(LEN(H479)-LEN(SUBSTITUTE(H479,{"0","1","2","3","4","5","6","7","8","9","."},"")))))*G479),2)))</f>
        <v/>
      </c>
      <c r="CM479" s="616" t="str">
        <f t="shared" si="577"/>
        <v/>
      </c>
      <c r="CN479" s="616" t="str">
        <f>IF(ISNUMBER(P479),MAX('Adjustment factors'!$S$16,(0.2+0.8*P479)),IF(ISTEXT(N479),VLOOKUP(N479,Afactors,2,FALSE),""))</f>
        <v/>
      </c>
      <c r="CO479" s="616" t="str">
        <f>IF(ISNUMBER(S479),MAX('Adjustment factors'!$S$16,0.2+0.8*S479),IF(ISTEXT(Q479),VLOOKUP(Q479,Afactors,2,FALSE),""))</f>
        <v/>
      </c>
      <c r="CP479" s="611" t="str">
        <f t="shared" si="645"/>
        <v/>
      </c>
      <c r="CQ479" s="612" t="str">
        <f t="shared" si="646"/>
        <v/>
      </c>
      <c r="CR479" s="340"/>
      <c r="CS479" s="340"/>
      <c r="CT479" s="340"/>
      <c r="CU479" s="340"/>
      <c r="CV479" s="333"/>
      <c r="CW479" s="333"/>
      <c r="CX479" s="333"/>
      <c r="CY479" s="333"/>
      <c r="DA479" s="313" t="str">
        <f t="shared" si="628"/>
        <v>OK</v>
      </c>
      <c r="DB479" s="313" t="str">
        <f t="shared" si="629"/>
        <v>OK</v>
      </c>
      <c r="DC479" s="313" t="str">
        <f t="shared" si="630"/>
        <v>OK</v>
      </c>
      <c r="DD479" s="313" t="str">
        <f t="shared" si="631"/>
        <v>OK</v>
      </c>
      <c r="DE479" s="153" t="str">
        <f t="shared" si="632"/>
        <v>OK</v>
      </c>
      <c r="DF479" s="314" t="str">
        <f t="shared" si="633"/>
        <v>OK</v>
      </c>
      <c r="DG479" s="482" t="str">
        <f t="shared" si="647"/>
        <v>OK</v>
      </c>
      <c r="DH479" s="482" t="str">
        <f>IF(OR(AND(T479='Adjustment factors'!$R$28,'Class 3, 5-9'!U479='Adjustment factors'!$R$29),AND('Class 3, 5-9'!T479='Adjustment factors'!$R$29,'Class 3, 5-9'!U479='Adjustment factors'!$R$28)),"Invalid combination of adjustment factors",IF(AND(T479=U479,NOT(ISBLANK(T479)),NOT(ISBLANK(U479))),"Same colour factor selected twice","OK"))</f>
        <v>OK</v>
      </c>
      <c r="DI479" s="313" t="str">
        <f t="shared" si="634"/>
        <v>OK</v>
      </c>
      <c r="DJ479" s="153" t="str">
        <f t="shared" si="578"/>
        <v>OK</v>
      </c>
      <c r="DK479" s="153" t="str">
        <f t="shared" si="635"/>
        <v>OK</v>
      </c>
      <c r="DL479" s="313" t="str">
        <f t="shared" si="636"/>
        <v>OK</v>
      </c>
      <c r="DM479" s="153" t="str">
        <f t="shared" si="637"/>
        <v>OK</v>
      </c>
      <c r="DN479" s="153" t="str">
        <f t="shared" si="579"/>
        <v>OK</v>
      </c>
      <c r="DO479" s="154" t="str">
        <f t="shared" si="580"/>
        <v>OK</v>
      </c>
      <c r="DP479" s="153" t="str">
        <f t="shared" si="638"/>
        <v>OK</v>
      </c>
      <c r="DQ479" s="313" t="str">
        <f t="shared" si="639"/>
        <v>OK</v>
      </c>
      <c r="DR479" s="153" t="str">
        <f t="shared" si="581"/>
        <v>OK</v>
      </c>
      <c r="DS479" s="153" t="str">
        <f t="shared" si="640"/>
        <v>OK</v>
      </c>
      <c r="DT479" s="313" t="str">
        <f t="shared" si="598"/>
        <v>OK</v>
      </c>
      <c r="DU479" s="153" t="str">
        <f t="shared" si="641"/>
        <v>OK</v>
      </c>
      <c r="DV479" s="153" t="str">
        <f t="shared" si="582"/>
        <v>OK</v>
      </c>
      <c r="DW479" s="154" t="str">
        <f t="shared" si="583"/>
        <v>OK</v>
      </c>
      <c r="DX479" s="157">
        <f t="shared" si="584"/>
        <v>0</v>
      </c>
      <c r="DY479" s="156" t="str">
        <f t="shared" si="585"/>
        <v>OK</v>
      </c>
    </row>
    <row r="480" spans="1:129" ht="13" hidden="1" x14ac:dyDescent="0.3">
      <c r="A480" s="333"/>
      <c r="B480" s="333"/>
      <c r="C480" s="332" t="str">
        <f t="shared" si="593"/>
        <v>-</v>
      </c>
      <c r="D480" s="584">
        <f t="shared" si="597"/>
        <v>457</v>
      </c>
      <c r="E480" s="585"/>
      <c r="F480" s="586"/>
      <c r="G480" s="600"/>
      <c r="H480" s="587"/>
      <c r="I480" s="601"/>
      <c r="J480" s="585"/>
      <c r="K480" s="617"/>
      <c r="L480" s="602"/>
      <c r="M480" s="603"/>
      <c r="N480" s="588"/>
      <c r="O480" s="604"/>
      <c r="P480" s="605"/>
      <c r="Q480" s="588"/>
      <c r="R480" s="604"/>
      <c r="S480" s="605"/>
      <c r="T480" s="606"/>
      <c r="U480" s="606"/>
      <c r="V480" s="429" t="str">
        <f t="shared" si="590"/>
        <v/>
      </c>
      <c r="W480" s="430" t="str">
        <f t="shared" si="589"/>
        <v/>
      </c>
      <c r="X480" s="66" t="str">
        <f>IF(AND(ISNUMBER(P480),N480=FixedDim),MAX('Adjustment factors'!$S$16,0.2+0.8*P480),IF(ISTEXT(N480),VLOOKUP(N480,Afactors,2,TRUE),""))</f>
        <v/>
      </c>
      <c r="Y480" s="17" t="str">
        <f>IF(AND(ISNUMBER(S480),Q480=FixedDim),MAX('Adjustment factors'!$S$16,0.2+0.8*S480),IF(ISTEXT(Q480),VLOOKUP(Q480,Afactors,2,TRUE),""))</f>
        <v/>
      </c>
      <c r="Z480" s="297" t="str">
        <f>IF(ISBLANK(T480),"",VLOOKUP(T480,'Adjustment factors'!$R$27:$S$30,2,TRUE))</f>
        <v/>
      </c>
      <c r="AA480" s="297" t="str">
        <f>IF(ISBLANK(U480),"",VLOOKUP(U480,'Adjustment factors'!$R$27:$S$30,2,TRUE))</f>
        <v/>
      </c>
      <c r="AB480" s="480">
        <f t="shared" si="642"/>
        <v>1</v>
      </c>
      <c r="AC480" s="18" t="b">
        <f t="shared" si="599"/>
        <v>0</v>
      </c>
      <c r="AD480" s="18" t="b">
        <f t="shared" si="600"/>
        <v>0</v>
      </c>
      <c r="AE480" s="18" t="b">
        <f t="shared" si="586"/>
        <v>0</v>
      </c>
      <c r="AF480" s="17" t="str">
        <f t="shared" si="601"/>
        <v/>
      </c>
      <c r="AG480" s="18" t="str">
        <f t="shared" si="602"/>
        <v/>
      </c>
      <c r="AH480" s="17" t="str">
        <f t="shared" si="587"/>
        <v/>
      </c>
      <c r="AI480" s="297" t="e">
        <f t="shared" si="643"/>
        <v>#VALUE!</v>
      </c>
      <c r="AJ480" s="79" t="e">
        <f t="shared" si="603"/>
        <v>#VALUE!</v>
      </c>
      <c r="AK480" s="17" t="str">
        <f t="shared" si="588"/>
        <v/>
      </c>
      <c r="AL480" s="80" t="e">
        <f t="shared" si="604"/>
        <v>#VALUE!</v>
      </c>
      <c r="AM480" s="139" t="b">
        <f t="shared" si="605"/>
        <v>1</v>
      </c>
      <c r="AN480" s="139" t="b">
        <f>AND(COUNTA(E480)&gt;0,ISNUMBER(F480),OR(COUNT(G480:H480)=0,COUNT(G480:H480)=2,AND(ISNUMBER(G480),ISNUMBER(VALUE(LEFT(H480,SUM(LEN(H480)-LEN(SUBSTITUTE(H480,{"0","1","2","3","4","5","6","7","8","9","."},"")))))))),ISNUMBER(I480),ISTEXT(J480))</f>
        <v>0</v>
      </c>
      <c r="AO480" s="19" t="b">
        <f t="shared" si="606"/>
        <v>0</v>
      </c>
      <c r="AP480" s="19" t="b">
        <f t="shared" si="607"/>
        <v>1</v>
      </c>
      <c r="AQ480" s="19" t="b">
        <f>IF(AND(COUNTBLANK(E480:J480)=6,OR(AN481:AN$523)),NOT(AN480))</f>
        <v>0</v>
      </c>
      <c r="AR480" s="19" t="str">
        <f t="shared" si="608"/>
        <v/>
      </c>
      <c r="AS480" s="19" t="b">
        <f t="shared" si="609"/>
        <v>1</v>
      </c>
      <c r="AT480" s="19" t="str">
        <f t="shared" si="610"/>
        <v/>
      </c>
      <c r="AU480" s="19" t="b">
        <f t="shared" si="611"/>
        <v>1</v>
      </c>
      <c r="AV480" s="140" t="str">
        <f t="shared" si="570"/>
        <v/>
      </c>
      <c r="AW480" s="19" t="str">
        <f t="shared" si="612"/>
        <v/>
      </c>
      <c r="AX480" s="81">
        <f t="shared" si="613"/>
        <v>0</v>
      </c>
      <c r="AY480" s="81" t="str">
        <f t="shared" si="614"/>
        <v/>
      </c>
      <c r="AZ480" s="307" t="str">
        <f t="shared" si="644"/>
        <v/>
      </c>
      <c r="BA480" s="281" t="str">
        <f t="shared" si="571"/>
        <v/>
      </c>
      <c r="BB480" s="281" t="str">
        <f t="shared" si="572"/>
        <v/>
      </c>
      <c r="BC480" s="953"/>
      <c r="BD480" s="955"/>
      <c r="BE480" s="219" t="str">
        <f t="shared" si="615"/>
        <v>n/a</v>
      </c>
      <c r="BF480" s="215" t="b">
        <f t="shared" si="616"/>
        <v>0</v>
      </c>
      <c r="BG480" s="145" t="b">
        <f t="shared" si="617"/>
        <v>0</v>
      </c>
      <c r="BH480" s="145" t="b">
        <f t="shared" si="618"/>
        <v>0</v>
      </c>
      <c r="BI480" s="216" t="b">
        <f t="shared" si="619"/>
        <v>0</v>
      </c>
      <c r="BJ480" s="215" t="b">
        <f t="shared" si="620"/>
        <v>0</v>
      </c>
      <c r="BK480" s="145" t="b">
        <f t="shared" si="621"/>
        <v>0</v>
      </c>
      <c r="BL480" s="216" t="b">
        <f t="shared" si="622"/>
        <v>0</v>
      </c>
      <c r="BM480" s="217" t="str">
        <f t="shared" si="573"/>
        <v/>
      </c>
      <c r="BN480" s="146" t="str">
        <f t="shared" si="574"/>
        <v/>
      </c>
      <c r="BO480" s="147" t="str">
        <f t="shared" si="575"/>
        <v/>
      </c>
      <c r="BP480" s="148" t="str">
        <f t="shared" si="576"/>
        <v/>
      </c>
      <c r="BT480" s="50">
        <f t="shared" si="596"/>
        <v>457</v>
      </c>
      <c r="BU480" s="50" t="str">
        <f t="shared" si="592"/>
        <v>-</v>
      </c>
      <c r="BW480" s="340"/>
      <c r="BX480" s="333"/>
      <c r="BY480" s="333"/>
      <c r="BZ480" s="333"/>
      <c r="CA480" s="333"/>
      <c r="CB480" s="333"/>
      <c r="CC480" s="333"/>
      <c r="CD480" s="333"/>
      <c r="CE480" s="333"/>
      <c r="CF480" s="333"/>
      <c r="CG480" s="354">
        <f t="shared" si="623"/>
        <v>457</v>
      </c>
      <c r="CH480" s="613">
        <f t="shared" si="624"/>
        <v>0</v>
      </c>
      <c r="CI480" s="613">
        <f t="shared" si="625"/>
        <v>0</v>
      </c>
      <c r="CJ480" s="614" t="str">
        <f t="shared" si="626"/>
        <v/>
      </c>
      <c r="CK480" s="615" t="str">
        <f t="shared" si="627"/>
        <v/>
      </c>
      <c r="CL480" s="610" t="str">
        <f>IF(ISBLANK(H480),"",IF(AND(ISNUMBER(F480),ISNUMBER(G480),ISNUMBER(H480)),ROUND(F480/(H480*G480),2),ROUND(F480/(VALUE(LEFT(H480,SUM(LEN(H480)-LEN(SUBSTITUTE(H480,{"0","1","2","3","4","5","6","7","8","9","."},"")))))*G480),2)))</f>
        <v/>
      </c>
      <c r="CM480" s="616" t="str">
        <f t="shared" si="577"/>
        <v/>
      </c>
      <c r="CN480" s="616" t="str">
        <f>IF(ISNUMBER(P480),MAX('Adjustment factors'!$S$16,(0.2+0.8*P480)),IF(ISTEXT(N480),VLOOKUP(N480,Afactors,2,FALSE),""))</f>
        <v/>
      </c>
      <c r="CO480" s="616" t="str">
        <f>IF(ISNUMBER(S480),MAX('Adjustment factors'!$S$16,0.2+0.8*S480),IF(ISTEXT(Q480),VLOOKUP(Q480,Afactors,2,FALSE),""))</f>
        <v/>
      </c>
      <c r="CP480" s="611" t="str">
        <f t="shared" si="645"/>
        <v/>
      </c>
      <c r="CQ480" s="612" t="str">
        <f t="shared" si="646"/>
        <v/>
      </c>
      <c r="CR480" s="340"/>
      <c r="CS480" s="340"/>
      <c r="CT480" s="340"/>
      <c r="CU480" s="340"/>
      <c r="CV480" s="333"/>
      <c r="CW480" s="333"/>
      <c r="CX480" s="333"/>
      <c r="CY480" s="333"/>
      <c r="DA480" s="313" t="str">
        <f t="shared" si="628"/>
        <v>OK</v>
      </c>
      <c r="DB480" s="313" t="str">
        <f t="shared" si="629"/>
        <v>OK</v>
      </c>
      <c r="DC480" s="313" t="str">
        <f t="shared" si="630"/>
        <v>OK</v>
      </c>
      <c r="DD480" s="313" t="str">
        <f t="shared" si="631"/>
        <v>OK</v>
      </c>
      <c r="DE480" s="153" t="str">
        <f t="shared" si="632"/>
        <v>OK</v>
      </c>
      <c r="DF480" s="314" t="str">
        <f t="shared" si="633"/>
        <v>OK</v>
      </c>
      <c r="DG480" s="482" t="str">
        <f t="shared" si="647"/>
        <v>OK</v>
      </c>
      <c r="DH480" s="482" t="str">
        <f>IF(OR(AND(T480='Adjustment factors'!$R$28,'Class 3, 5-9'!U480='Adjustment factors'!$R$29),AND('Class 3, 5-9'!T480='Adjustment factors'!$R$29,'Class 3, 5-9'!U480='Adjustment factors'!$R$28)),"Invalid combination of adjustment factors",IF(AND(T480=U480,NOT(ISBLANK(T480)),NOT(ISBLANK(U480))),"Same colour factor selected twice","OK"))</f>
        <v>OK</v>
      </c>
      <c r="DI480" s="313" t="str">
        <f t="shared" si="634"/>
        <v>OK</v>
      </c>
      <c r="DJ480" s="153" t="str">
        <f t="shared" si="578"/>
        <v>OK</v>
      </c>
      <c r="DK480" s="153" t="str">
        <f t="shared" si="635"/>
        <v>OK</v>
      </c>
      <c r="DL480" s="313" t="str">
        <f t="shared" si="636"/>
        <v>OK</v>
      </c>
      <c r="DM480" s="153" t="str">
        <f t="shared" si="637"/>
        <v>OK</v>
      </c>
      <c r="DN480" s="153" t="str">
        <f t="shared" si="579"/>
        <v>OK</v>
      </c>
      <c r="DO480" s="154" t="str">
        <f t="shared" si="580"/>
        <v>OK</v>
      </c>
      <c r="DP480" s="153" t="str">
        <f t="shared" si="638"/>
        <v>OK</v>
      </c>
      <c r="DQ480" s="313" t="str">
        <f t="shared" si="639"/>
        <v>OK</v>
      </c>
      <c r="DR480" s="153" t="str">
        <f t="shared" si="581"/>
        <v>OK</v>
      </c>
      <c r="DS480" s="153" t="str">
        <f t="shared" si="640"/>
        <v>OK</v>
      </c>
      <c r="DT480" s="313" t="str">
        <f t="shared" si="598"/>
        <v>OK</v>
      </c>
      <c r="DU480" s="153" t="str">
        <f t="shared" si="641"/>
        <v>OK</v>
      </c>
      <c r="DV480" s="153" t="str">
        <f t="shared" si="582"/>
        <v>OK</v>
      </c>
      <c r="DW480" s="154" t="str">
        <f t="shared" si="583"/>
        <v>OK</v>
      </c>
      <c r="DX480" s="157">
        <f t="shared" si="584"/>
        <v>0</v>
      </c>
      <c r="DY480" s="156" t="str">
        <f t="shared" si="585"/>
        <v>OK</v>
      </c>
    </row>
    <row r="481" spans="1:129" ht="13" hidden="1" x14ac:dyDescent="0.3">
      <c r="A481" s="333"/>
      <c r="B481" s="333"/>
      <c r="C481" s="332" t="str">
        <f t="shared" si="593"/>
        <v>-</v>
      </c>
      <c r="D481" s="584">
        <f t="shared" si="597"/>
        <v>458</v>
      </c>
      <c r="E481" s="585"/>
      <c r="F481" s="586"/>
      <c r="G481" s="600"/>
      <c r="H481" s="587"/>
      <c r="I481" s="601"/>
      <c r="J481" s="585"/>
      <c r="K481" s="617"/>
      <c r="L481" s="602"/>
      <c r="M481" s="603"/>
      <c r="N481" s="588"/>
      <c r="O481" s="604"/>
      <c r="P481" s="605"/>
      <c r="Q481" s="588"/>
      <c r="R481" s="604"/>
      <c r="S481" s="605"/>
      <c r="T481" s="606"/>
      <c r="U481" s="606"/>
      <c r="V481" s="429" t="str">
        <f t="shared" si="590"/>
        <v/>
      </c>
      <c r="W481" s="430" t="str">
        <f t="shared" si="589"/>
        <v/>
      </c>
      <c r="X481" s="66" t="str">
        <f>IF(AND(ISNUMBER(P481),N481=FixedDim),MAX('Adjustment factors'!$S$16,0.2+0.8*P481),IF(ISTEXT(N481),VLOOKUP(N481,Afactors,2,TRUE),""))</f>
        <v/>
      </c>
      <c r="Y481" s="17" t="str">
        <f>IF(AND(ISNUMBER(S481),Q481=FixedDim),MAX('Adjustment factors'!$S$16,0.2+0.8*S481),IF(ISTEXT(Q481),VLOOKUP(Q481,Afactors,2,TRUE),""))</f>
        <v/>
      </c>
      <c r="Z481" s="297" t="str">
        <f>IF(ISBLANK(T481),"",VLOOKUP(T481,'Adjustment factors'!$R$27:$S$30,2,TRUE))</f>
        <v/>
      </c>
      <c r="AA481" s="297" t="str">
        <f>IF(ISBLANK(U481),"",VLOOKUP(U481,'Adjustment factors'!$R$27:$S$30,2,TRUE))</f>
        <v/>
      </c>
      <c r="AB481" s="480">
        <f t="shared" si="642"/>
        <v>1</v>
      </c>
      <c r="AC481" s="18" t="b">
        <f t="shared" si="599"/>
        <v>0</v>
      </c>
      <c r="AD481" s="18" t="b">
        <f t="shared" si="600"/>
        <v>0</v>
      </c>
      <c r="AE481" s="18" t="b">
        <f t="shared" si="586"/>
        <v>0</v>
      </c>
      <c r="AF481" s="17" t="str">
        <f t="shared" si="601"/>
        <v/>
      </c>
      <c r="AG481" s="18" t="str">
        <f t="shared" si="602"/>
        <v/>
      </c>
      <c r="AH481" s="17" t="str">
        <f t="shared" si="587"/>
        <v/>
      </c>
      <c r="AI481" s="297" t="e">
        <f t="shared" si="643"/>
        <v>#VALUE!</v>
      </c>
      <c r="AJ481" s="79" t="e">
        <f t="shared" si="603"/>
        <v>#VALUE!</v>
      </c>
      <c r="AK481" s="17" t="str">
        <f t="shared" si="588"/>
        <v/>
      </c>
      <c r="AL481" s="80" t="e">
        <f t="shared" si="604"/>
        <v>#VALUE!</v>
      </c>
      <c r="AM481" s="139" t="b">
        <f t="shared" si="605"/>
        <v>1</v>
      </c>
      <c r="AN481" s="139" t="b">
        <f>AND(COUNTA(E481)&gt;0,ISNUMBER(F481),OR(COUNT(G481:H481)=0,COUNT(G481:H481)=2,AND(ISNUMBER(G481),ISNUMBER(VALUE(LEFT(H481,SUM(LEN(H481)-LEN(SUBSTITUTE(H481,{"0","1","2","3","4","5","6","7","8","9","."},"")))))))),ISNUMBER(I481),ISTEXT(J481))</f>
        <v>0</v>
      </c>
      <c r="AO481" s="19" t="b">
        <f t="shared" si="606"/>
        <v>0</v>
      </c>
      <c r="AP481" s="19" t="b">
        <f t="shared" si="607"/>
        <v>1</v>
      </c>
      <c r="AQ481" s="19" t="b">
        <f>IF(AND(COUNTBLANK(E481:J481)=6,OR(AN482:AN$523)),NOT(AN481))</f>
        <v>0</v>
      </c>
      <c r="AR481" s="19" t="str">
        <f t="shared" si="608"/>
        <v/>
      </c>
      <c r="AS481" s="19" t="b">
        <f t="shared" si="609"/>
        <v>1</v>
      </c>
      <c r="AT481" s="19" t="str">
        <f t="shared" si="610"/>
        <v/>
      </c>
      <c r="AU481" s="19" t="b">
        <f t="shared" si="611"/>
        <v>1</v>
      </c>
      <c r="AV481" s="140" t="str">
        <f t="shared" si="570"/>
        <v/>
      </c>
      <c r="AW481" s="19" t="str">
        <f t="shared" si="612"/>
        <v/>
      </c>
      <c r="AX481" s="81">
        <f t="shared" si="613"/>
        <v>0</v>
      </c>
      <c r="AY481" s="81" t="str">
        <f t="shared" si="614"/>
        <v/>
      </c>
      <c r="AZ481" s="307" t="str">
        <f t="shared" si="644"/>
        <v/>
      </c>
      <c r="BA481" s="281" t="str">
        <f t="shared" si="571"/>
        <v/>
      </c>
      <c r="BB481" s="281" t="str">
        <f t="shared" si="572"/>
        <v/>
      </c>
      <c r="BC481" s="953"/>
      <c r="BD481" s="955"/>
      <c r="BE481" s="219" t="str">
        <f t="shared" si="615"/>
        <v>n/a</v>
      </c>
      <c r="BF481" s="215" t="b">
        <f t="shared" si="616"/>
        <v>0</v>
      </c>
      <c r="BG481" s="145" t="b">
        <f t="shared" si="617"/>
        <v>0</v>
      </c>
      <c r="BH481" s="145" t="b">
        <f t="shared" si="618"/>
        <v>0</v>
      </c>
      <c r="BI481" s="216" t="b">
        <f t="shared" si="619"/>
        <v>0</v>
      </c>
      <c r="BJ481" s="215" t="b">
        <f t="shared" si="620"/>
        <v>0</v>
      </c>
      <c r="BK481" s="145" t="b">
        <f t="shared" si="621"/>
        <v>0</v>
      </c>
      <c r="BL481" s="216" t="b">
        <f t="shared" si="622"/>
        <v>0</v>
      </c>
      <c r="BM481" s="217" t="str">
        <f t="shared" si="573"/>
        <v/>
      </c>
      <c r="BN481" s="146" t="str">
        <f t="shared" si="574"/>
        <v/>
      </c>
      <c r="BO481" s="147" t="str">
        <f t="shared" si="575"/>
        <v/>
      </c>
      <c r="BP481" s="148" t="str">
        <f t="shared" si="576"/>
        <v/>
      </c>
      <c r="BT481" s="50">
        <f t="shared" si="596"/>
        <v>458</v>
      </c>
      <c r="BU481" s="50" t="str">
        <f t="shared" si="592"/>
        <v>-</v>
      </c>
      <c r="BW481" s="340"/>
      <c r="BX481" s="333"/>
      <c r="BY481" s="333"/>
      <c r="BZ481" s="333"/>
      <c r="CA481" s="333"/>
      <c r="CB481" s="333"/>
      <c r="CC481" s="333"/>
      <c r="CD481" s="333"/>
      <c r="CE481" s="333"/>
      <c r="CF481" s="333"/>
      <c r="CG481" s="354">
        <f t="shared" si="623"/>
        <v>458</v>
      </c>
      <c r="CH481" s="613">
        <f t="shared" si="624"/>
        <v>0</v>
      </c>
      <c r="CI481" s="613">
        <f t="shared" si="625"/>
        <v>0</v>
      </c>
      <c r="CJ481" s="614" t="str">
        <f t="shared" si="626"/>
        <v/>
      </c>
      <c r="CK481" s="615" t="str">
        <f t="shared" si="627"/>
        <v/>
      </c>
      <c r="CL481" s="610" t="str">
        <f>IF(ISBLANK(H481),"",IF(AND(ISNUMBER(F481),ISNUMBER(G481),ISNUMBER(H481)),ROUND(F481/(H481*G481),2),ROUND(F481/(VALUE(LEFT(H481,SUM(LEN(H481)-LEN(SUBSTITUTE(H481,{"0","1","2","3","4","5","6","7","8","9","."},"")))))*G481),2)))</f>
        <v/>
      </c>
      <c r="CM481" s="616" t="str">
        <f t="shared" si="577"/>
        <v/>
      </c>
      <c r="CN481" s="616" t="str">
        <f>IF(ISNUMBER(P481),MAX('Adjustment factors'!$S$16,(0.2+0.8*P481)),IF(ISTEXT(N481),VLOOKUP(N481,Afactors,2,FALSE),""))</f>
        <v/>
      </c>
      <c r="CO481" s="616" t="str">
        <f>IF(ISNUMBER(S481),MAX('Adjustment factors'!$S$16,0.2+0.8*S481),IF(ISTEXT(Q481),VLOOKUP(Q481,Afactors,2,FALSE),""))</f>
        <v/>
      </c>
      <c r="CP481" s="611" t="str">
        <f t="shared" si="645"/>
        <v/>
      </c>
      <c r="CQ481" s="612" t="str">
        <f t="shared" si="646"/>
        <v/>
      </c>
      <c r="CR481" s="340"/>
      <c r="CS481" s="340"/>
      <c r="CT481" s="340"/>
      <c r="CU481" s="340"/>
      <c r="CV481" s="333"/>
      <c r="CW481" s="333"/>
      <c r="CX481" s="333"/>
      <c r="CY481" s="333"/>
      <c r="DA481" s="313" t="str">
        <f t="shared" si="628"/>
        <v>OK</v>
      </c>
      <c r="DB481" s="313" t="str">
        <f t="shared" si="629"/>
        <v>OK</v>
      </c>
      <c r="DC481" s="313" t="str">
        <f t="shared" si="630"/>
        <v>OK</v>
      </c>
      <c r="DD481" s="313" t="str">
        <f t="shared" si="631"/>
        <v>OK</v>
      </c>
      <c r="DE481" s="153" t="str">
        <f t="shared" si="632"/>
        <v>OK</v>
      </c>
      <c r="DF481" s="314" t="str">
        <f t="shared" si="633"/>
        <v>OK</v>
      </c>
      <c r="DG481" s="482" t="str">
        <f t="shared" si="647"/>
        <v>OK</v>
      </c>
      <c r="DH481" s="482" t="str">
        <f>IF(OR(AND(T481='Adjustment factors'!$R$28,'Class 3, 5-9'!U481='Adjustment factors'!$R$29),AND('Class 3, 5-9'!T481='Adjustment factors'!$R$29,'Class 3, 5-9'!U481='Adjustment factors'!$R$28)),"Invalid combination of adjustment factors",IF(AND(T481=U481,NOT(ISBLANK(T481)),NOT(ISBLANK(U481))),"Same colour factor selected twice","OK"))</f>
        <v>OK</v>
      </c>
      <c r="DI481" s="313" t="str">
        <f t="shared" si="634"/>
        <v>OK</v>
      </c>
      <c r="DJ481" s="153" t="str">
        <f t="shared" si="578"/>
        <v>OK</v>
      </c>
      <c r="DK481" s="153" t="str">
        <f t="shared" si="635"/>
        <v>OK</v>
      </c>
      <c r="DL481" s="313" t="str">
        <f t="shared" si="636"/>
        <v>OK</v>
      </c>
      <c r="DM481" s="153" t="str">
        <f t="shared" si="637"/>
        <v>OK</v>
      </c>
      <c r="DN481" s="153" t="str">
        <f t="shared" si="579"/>
        <v>OK</v>
      </c>
      <c r="DO481" s="154" t="str">
        <f t="shared" si="580"/>
        <v>OK</v>
      </c>
      <c r="DP481" s="153" t="str">
        <f t="shared" si="638"/>
        <v>OK</v>
      </c>
      <c r="DQ481" s="313" t="str">
        <f t="shared" si="639"/>
        <v>OK</v>
      </c>
      <c r="DR481" s="153" t="str">
        <f t="shared" si="581"/>
        <v>OK</v>
      </c>
      <c r="DS481" s="153" t="str">
        <f t="shared" si="640"/>
        <v>OK</v>
      </c>
      <c r="DT481" s="313" t="str">
        <f t="shared" si="598"/>
        <v>OK</v>
      </c>
      <c r="DU481" s="153" t="str">
        <f t="shared" si="641"/>
        <v>OK</v>
      </c>
      <c r="DV481" s="153" t="str">
        <f t="shared" si="582"/>
        <v>OK</v>
      </c>
      <c r="DW481" s="154" t="str">
        <f t="shared" si="583"/>
        <v>OK</v>
      </c>
      <c r="DX481" s="157">
        <f t="shared" si="584"/>
        <v>0</v>
      </c>
      <c r="DY481" s="156" t="str">
        <f t="shared" si="585"/>
        <v>OK</v>
      </c>
    </row>
    <row r="482" spans="1:129" ht="13" hidden="1" x14ac:dyDescent="0.3">
      <c r="A482" s="333"/>
      <c r="B482" s="333"/>
      <c r="C482" s="332" t="str">
        <f t="shared" si="593"/>
        <v>-</v>
      </c>
      <c r="D482" s="584">
        <f t="shared" si="597"/>
        <v>459</v>
      </c>
      <c r="E482" s="585"/>
      <c r="F482" s="586"/>
      <c r="G482" s="600"/>
      <c r="H482" s="587"/>
      <c r="I482" s="601"/>
      <c r="J482" s="585"/>
      <c r="K482" s="617"/>
      <c r="L482" s="602"/>
      <c r="M482" s="603"/>
      <c r="N482" s="588"/>
      <c r="O482" s="604"/>
      <c r="P482" s="605"/>
      <c r="Q482" s="588"/>
      <c r="R482" s="604"/>
      <c r="S482" s="605"/>
      <c r="T482" s="606"/>
      <c r="U482" s="606"/>
      <c r="V482" s="429" t="str">
        <f t="shared" si="590"/>
        <v/>
      </c>
      <c r="W482" s="430" t="str">
        <f t="shared" si="589"/>
        <v/>
      </c>
      <c r="X482" s="66" t="str">
        <f>IF(AND(ISNUMBER(P482),N482=FixedDim),MAX('Adjustment factors'!$S$16,0.2+0.8*P482),IF(ISTEXT(N482),VLOOKUP(N482,Afactors,2,TRUE),""))</f>
        <v/>
      </c>
      <c r="Y482" s="17" t="str">
        <f>IF(AND(ISNUMBER(S482),Q482=FixedDim),MAX('Adjustment factors'!$S$16,0.2+0.8*S482),IF(ISTEXT(Q482),VLOOKUP(Q482,Afactors,2,TRUE),""))</f>
        <v/>
      </c>
      <c r="Z482" s="297" t="str">
        <f>IF(ISBLANK(T482),"",VLOOKUP(T482,'Adjustment factors'!$R$27:$S$30,2,TRUE))</f>
        <v/>
      </c>
      <c r="AA482" s="297" t="str">
        <f>IF(ISBLANK(U482),"",VLOOKUP(U482,'Adjustment factors'!$R$27:$S$30,2,TRUE))</f>
        <v/>
      </c>
      <c r="AB482" s="480">
        <f t="shared" si="642"/>
        <v>1</v>
      </c>
      <c r="AC482" s="18" t="b">
        <f t="shared" si="599"/>
        <v>0</v>
      </c>
      <c r="AD482" s="18" t="b">
        <f t="shared" si="600"/>
        <v>0</v>
      </c>
      <c r="AE482" s="18" t="b">
        <f t="shared" si="586"/>
        <v>0</v>
      </c>
      <c r="AF482" s="17" t="str">
        <f t="shared" si="601"/>
        <v/>
      </c>
      <c r="AG482" s="18" t="str">
        <f t="shared" si="602"/>
        <v/>
      </c>
      <c r="AH482" s="17" t="str">
        <f t="shared" si="587"/>
        <v/>
      </c>
      <c r="AI482" s="297" t="e">
        <f t="shared" si="643"/>
        <v>#VALUE!</v>
      </c>
      <c r="AJ482" s="79" t="e">
        <f t="shared" si="603"/>
        <v>#VALUE!</v>
      </c>
      <c r="AK482" s="17" t="str">
        <f t="shared" si="588"/>
        <v/>
      </c>
      <c r="AL482" s="80" t="e">
        <f t="shared" si="604"/>
        <v>#VALUE!</v>
      </c>
      <c r="AM482" s="139" t="b">
        <f t="shared" si="605"/>
        <v>1</v>
      </c>
      <c r="AN482" s="139" t="b">
        <f>AND(COUNTA(E482)&gt;0,ISNUMBER(F482),OR(COUNT(G482:H482)=0,COUNT(G482:H482)=2,AND(ISNUMBER(G482),ISNUMBER(VALUE(LEFT(H482,SUM(LEN(H482)-LEN(SUBSTITUTE(H482,{"0","1","2","3","4","5","6","7","8","9","."},"")))))))),ISNUMBER(I482),ISTEXT(J482))</f>
        <v>0</v>
      </c>
      <c r="AO482" s="19" t="b">
        <f t="shared" si="606"/>
        <v>0</v>
      </c>
      <c r="AP482" s="19" t="b">
        <f t="shared" si="607"/>
        <v>1</v>
      </c>
      <c r="AQ482" s="19" t="b">
        <f>IF(AND(COUNTBLANK(E482:J482)=6,OR(AN483:AN$523)),NOT(AN482))</f>
        <v>0</v>
      </c>
      <c r="AR482" s="19" t="str">
        <f t="shared" si="608"/>
        <v/>
      </c>
      <c r="AS482" s="19" t="b">
        <f t="shared" si="609"/>
        <v>1</v>
      </c>
      <c r="AT482" s="19" t="str">
        <f t="shared" si="610"/>
        <v/>
      </c>
      <c r="AU482" s="19" t="b">
        <f t="shared" si="611"/>
        <v>1</v>
      </c>
      <c r="AV482" s="140" t="str">
        <f t="shared" si="570"/>
        <v/>
      </c>
      <c r="AW482" s="19" t="str">
        <f t="shared" si="612"/>
        <v/>
      </c>
      <c r="AX482" s="81">
        <f t="shared" si="613"/>
        <v>0</v>
      </c>
      <c r="AY482" s="81" t="str">
        <f t="shared" si="614"/>
        <v/>
      </c>
      <c r="AZ482" s="307" t="str">
        <f t="shared" si="644"/>
        <v/>
      </c>
      <c r="BA482" s="281" t="str">
        <f t="shared" si="571"/>
        <v/>
      </c>
      <c r="BB482" s="281" t="str">
        <f t="shared" si="572"/>
        <v/>
      </c>
      <c r="BC482" s="953"/>
      <c r="BD482" s="955"/>
      <c r="BE482" s="219" t="str">
        <f t="shared" si="615"/>
        <v>n/a</v>
      </c>
      <c r="BF482" s="215" t="b">
        <f t="shared" si="616"/>
        <v>0</v>
      </c>
      <c r="BG482" s="145" t="b">
        <f t="shared" si="617"/>
        <v>0</v>
      </c>
      <c r="BH482" s="145" t="b">
        <f t="shared" si="618"/>
        <v>0</v>
      </c>
      <c r="BI482" s="216" t="b">
        <f t="shared" si="619"/>
        <v>0</v>
      </c>
      <c r="BJ482" s="215" t="b">
        <f t="shared" si="620"/>
        <v>0</v>
      </c>
      <c r="BK482" s="145" t="b">
        <f t="shared" si="621"/>
        <v>0</v>
      </c>
      <c r="BL482" s="216" t="b">
        <f t="shared" si="622"/>
        <v>0</v>
      </c>
      <c r="BM482" s="217" t="str">
        <f t="shared" si="573"/>
        <v/>
      </c>
      <c r="BN482" s="146" t="str">
        <f t="shared" si="574"/>
        <v/>
      </c>
      <c r="BO482" s="147" t="str">
        <f t="shared" si="575"/>
        <v/>
      </c>
      <c r="BP482" s="148" t="str">
        <f t="shared" si="576"/>
        <v/>
      </c>
      <c r="BT482" s="50">
        <f t="shared" si="596"/>
        <v>459</v>
      </c>
      <c r="BU482" s="50" t="str">
        <f t="shared" si="592"/>
        <v>-</v>
      </c>
      <c r="BW482" s="340"/>
      <c r="BX482" s="333"/>
      <c r="BY482" s="333"/>
      <c r="BZ482" s="333"/>
      <c r="CA482" s="333"/>
      <c r="CB482" s="333"/>
      <c r="CC482" s="333"/>
      <c r="CD482" s="333"/>
      <c r="CE482" s="333"/>
      <c r="CF482" s="333"/>
      <c r="CG482" s="354">
        <f t="shared" si="623"/>
        <v>459</v>
      </c>
      <c r="CH482" s="613">
        <f t="shared" si="624"/>
        <v>0</v>
      </c>
      <c r="CI482" s="613">
        <f t="shared" si="625"/>
        <v>0</v>
      </c>
      <c r="CJ482" s="614" t="str">
        <f t="shared" si="626"/>
        <v/>
      </c>
      <c r="CK482" s="615" t="str">
        <f t="shared" si="627"/>
        <v/>
      </c>
      <c r="CL482" s="610" t="str">
        <f>IF(ISBLANK(H482),"",IF(AND(ISNUMBER(F482),ISNUMBER(G482),ISNUMBER(H482)),ROUND(F482/(H482*G482),2),ROUND(F482/(VALUE(LEFT(H482,SUM(LEN(H482)-LEN(SUBSTITUTE(H482,{"0","1","2","3","4","5","6","7","8","9","."},"")))))*G482),2)))</f>
        <v/>
      </c>
      <c r="CM482" s="616" t="str">
        <f t="shared" si="577"/>
        <v/>
      </c>
      <c r="CN482" s="616" t="str">
        <f>IF(ISNUMBER(P482),MAX('Adjustment factors'!$S$16,(0.2+0.8*P482)),IF(ISTEXT(N482),VLOOKUP(N482,Afactors,2,FALSE),""))</f>
        <v/>
      </c>
      <c r="CO482" s="616" t="str">
        <f>IF(ISNUMBER(S482),MAX('Adjustment factors'!$S$16,0.2+0.8*S482),IF(ISTEXT(Q482),VLOOKUP(Q482,Afactors,2,FALSE),""))</f>
        <v/>
      </c>
      <c r="CP482" s="611" t="str">
        <f t="shared" si="645"/>
        <v/>
      </c>
      <c r="CQ482" s="612" t="str">
        <f t="shared" si="646"/>
        <v/>
      </c>
      <c r="CR482" s="340"/>
      <c r="CS482" s="340"/>
      <c r="CT482" s="340"/>
      <c r="CU482" s="340"/>
      <c r="CV482" s="333"/>
      <c r="CW482" s="333"/>
      <c r="CX482" s="333"/>
      <c r="CY482" s="333"/>
      <c r="DA482" s="313" t="str">
        <f t="shared" si="628"/>
        <v>OK</v>
      </c>
      <c r="DB482" s="313" t="str">
        <f t="shared" si="629"/>
        <v>OK</v>
      </c>
      <c r="DC482" s="313" t="str">
        <f t="shared" si="630"/>
        <v>OK</v>
      </c>
      <c r="DD482" s="313" t="str">
        <f t="shared" si="631"/>
        <v>OK</v>
      </c>
      <c r="DE482" s="153" t="str">
        <f t="shared" si="632"/>
        <v>OK</v>
      </c>
      <c r="DF482" s="314" t="str">
        <f t="shared" si="633"/>
        <v>OK</v>
      </c>
      <c r="DG482" s="482" t="str">
        <f t="shared" si="647"/>
        <v>OK</v>
      </c>
      <c r="DH482" s="482" t="str">
        <f>IF(OR(AND(T482='Adjustment factors'!$R$28,'Class 3, 5-9'!U482='Adjustment factors'!$R$29),AND('Class 3, 5-9'!T482='Adjustment factors'!$R$29,'Class 3, 5-9'!U482='Adjustment factors'!$R$28)),"Invalid combination of adjustment factors",IF(AND(T482=U482,NOT(ISBLANK(T482)),NOT(ISBLANK(U482))),"Same colour factor selected twice","OK"))</f>
        <v>OK</v>
      </c>
      <c r="DI482" s="313" t="str">
        <f t="shared" si="634"/>
        <v>OK</v>
      </c>
      <c r="DJ482" s="153" t="str">
        <f t="shared" si="578"/>
        <v>OK</v>
      </c>
      <c r="DK482" s="153" t="str">
        <f t="shared" si="635"/>
        <v>OK</v>
      </c>
      <c r="DL482" s="313" t="str">
        <f t="shared" si="636"/>
        <v>OK</v>
      </c>
      <c r="DM482" s="153" t="str">
        <f t="shared" si="637"/>
        <v>OK</v>
      </c>
      <c r="DN482" s="153" t="str">
        <f t="shared" si="579"/>
        <v>OK</v>
      </c>
      <c r="DO482" s="154" t="str">
        <f t="shared" si="580"/>
        <v>OK</v>
      </c>
      <c r="DP482" s="153" t="str">
        <f t="shared" si="638"/>
        <v>OK</v>
      </c>
      <c r="DQ482" s="313" t="str">
        <f t="shared" si="639"/>
        <v>OK</v>
      </c>
      <c r="DR482" s="153" t="str">
        <f t="shared" si="581"/>
        <v>OK</v>
      </c>
      <c r="DS482" s="153" t="str">
        <f t="shared" si="640"/>
        <v>OK</v>
      </c>
      <c r="DT482" s="313" t="str">
        <f t="shared" si="598"/>
        <v>OK</v>
      </c>
      <c r="DU482" s="153" t="str">
        <f t="shared" si="641"/>
        <v>OK</v>
      </c>
      <c r="DV482" s="153" t="str">
        <f t="shared" si="582"/>
        <v>OK</v>
      </c>
      <c r="DW482" s="154" t="str">
        <f t="shared" si="583"/>
        <v>OK</v>
      </c>
      <c r="DX482" s="157">
        <f t="shared" si="584"/>
        <v>0</v>
      </c>
      <c r="DY482" s="156" t="str">
        <f t="shared" si="585"/>
        <v>OK</v>
      </c>
    </row>
    <row r="483" spans="1:129" ht="13" hidden="1" x14ac:dyDescent="0.3">
      <c r="A483" s="333"/>
      <c r="B483" s="333"/>
      <c r="C483" s="332" t="str">
        <f t="shared" si="593"/>
        <v>-</v>
      </c>
      <c r="D483" s="584">
        <f t="shared" si="597"/>
        <v>460</v>
      </c>
      <c r="E483" s="585"/>
      <c r="F483" s="586"/>
      <c r="G483" s="600"/>
      <c r="H483" s="587"/>
      <c r="I483" s="601"/>
      <c r="J483" s="585"/>
      <c r="K483" s="617"/>
      <c r="L483" s="602"/>
      <c r="M483" s="603"/>
      <c r="N483" s="588"/>
      <c r="O483" s="604"/>
      <c r="P483" s="605"/>
      <c r="Q483" s="588"/>
      <c r="R483" s="604"/>
      <c r="S483" s="605"/>
      <c r="T483" s="606"/>
      <c r="U483" s="606"/>
      <c r="V483" s="429" t="str">
        <f t="shared" si="590"/>
        <v/>
      </c>
      <c r="W483" s="430" t="str">
        <f t="shared" si="589"/>
        <v/>
      </c>
      <c r="X483" s="66" t="str">
        <f>IF(AND(ISNUMBER(P483),N483=FixedDim),MAX('Adjustment factors'!$S$16,0.2+0.8*P483),IF(ISTEXT(N483),VLOOKUP(N483,Afactors,2,TRUE),""))</f>
        <v/>
      </c>
      <c r="Y483" s="17" t="str">
        <f>IF(AND(ISNUMBER(S483),Q483=FixedDim),MAX('Adjustment factors'!$S$16,0.2+0.8*S483),IF(ISTEXT(Q483),VLOOKUP(Q483,Afactors,2,TRUE),""))</f>
        <v/>
      </c>
      <c r="Z483" s="297" t="str">
        <f>IF(ISBLANK(T483),"",VLOOKUP(T483,'Adjustment factors'!$R$27:$S$30,2,TRUE))</f>
        <v/>
      </c>
      <c r="AA483" s="297" t="str">
        <f>IF(ISBLANK(U483),"",VLOOKUP(U483,'Adjustment factors'!$R$27:$S$30,2,TRUE))</f>
        <v/>
      </c>
      <c r="AB483" s="480">
        <f t="shared" si="642"/>
        <v>1</v>
      </c>
      <c r="AC483" s="18" t="b">
        <f t="shared" si="599"/>
        <v>0</v>
      </c>
      <c r="AD483" s="18" t="b">
        <f t="shared" si="600"/>
        <v>0</v>
      </c>
      <c r="AE483" s="18" t="b">
        <f t="shared" si="586"/>
        <v>0</v>
      </c>
      <c r="AF483" s="17" t="str">
        <f t="shared" si="601"/>
        <v/>
      </c>
      <c r="AG483" s="18" t="str">
        <f t="shared" si="602"/>
        <v/>
      </c>
      <c r="AH483" s="17" t="str">
        <f t="shared" si="587"/>
        <v/>
      </c>
      <c r="AI483" s="297" t="e">
        <f t="shared" si="643"/>
        <v>#VALUE!</v>
      </c>
      <c r="AJ483" s="79" t="e">
        <f t="shared" si="603"/>
        <v>#VALUE!</v>
      </c>
      <c r="AK483" s="17" t="str">
        <f t="shared" si="588"/>
        <v/>
      </c>
      <c r="AL483" s="80" t="e">
        <f t="shared" si="604"/>
        <v>#VALUE!</v>
      </c>
      <c r="AM483" s="139" t="b">
        <f t="shared" si="605"/>
        <v>1</v>
      </c>
      <c r="AN483" s="139" t="b">
        <f>AND(COUNTA(E483)&gt;0,ISNUMBER(F483),OR(COUNT(G483:H483)=0,COUNT(G483:H483)=2,AND(ISNUMBER(G483),ISNUMBER(VALUE(LEFT(H483,SUM(LEN(H483)-LEN(SUBSTITUTE(H483,{"0","1","2","3","4","5","6","7","8","9","."},"")))))))),ISNUMBER(I483),ISTEXT(J483))</f>
        <v>0</v>
      </c>
      <c r="AO483" s="19" t="b">
        <f t="shared" si="606"/>
        <v>0</v>
      </c>
      <c r="AP483" s="19" t="b">
        <f t="shared" si="607"/>
        <v>1</v>
      </c>
      <c r="AQ483" s="19" t="b">
        <f>IF(AND(COUNTBLANK(E483:J483)=6,OR(AN484:AN$523)),NOT(AN483))</f>
        <v>0</v>
      </c>
      <c r="AR483" s="19" t="str">
        <f t="shared" si="608"/>
        <v/>
      </c>
      <c r="AS483" s="19" t="b">
        <f t="shared" si="609"/>
        <v>1</v>
      </c>
      <c r="AT483" s="19" t="str">
        <f t="shared" si="610"/>
        <v/>
      </c>
      <c r="AU483" s="19" t="b">
        <f t="shared" si="611"/>
        <v>1</v>
      </c>
      <c r="AV483" s="140" t="str">
        <f t="shared" si="570"/>
        <v/>
      </c>
      <c r="AW483" s="19" t="str">
        <f t="shared" si="612"/>
        <v/>
      </c>
      <c r="AX483" s="81">
        <f t="shared" si="613"/>
        <v>0</v>
      </c>
      <c r="AY483" s="81" t="str">
        <f t="shared" si="614"/>
        <v/>
      </c>
      <c r="AZ483" s="307" t="str">
        <f t="shared" si="644"/>
        <v/>
      </c>
      <c r="BA483" s="281" t="str">
        <f t="shared" si="571"/>
        <v/>
      </c>
      <c r="BB483" s="281" t="str">
        <f t="shared" si="572"/>
        <v/>
      </c>
      <c r="BC483" s="953"/>
      <c r="BD483" s="955"/>
      <c r="BE483" s="219" t="str">
        <f t="shared" si="615"/>
        <v>n/a</v>
      </c>
      <c r="BF483" s="215" t="b">
        <f t="shared" si="616"/>
        <v>0</v>
      </c>
      <c r="BG483" s="145" t="b">
        <f t="shared" si="617"/>
        <v>0</v>
      </c>
      <c r="BH483" s="145" t="b">
        <f t="shared" si="618"/>
        <v>0</v>
      </c>
      <c r="BI483" s="216" t="b">
        <f t="shared" si="619"/>
        <v>0</v>
      </c>
      <c r="BJ483" s="215" t="b">
        <f t="shared" si="620"/>
        <v>0</v>
      </c>
      <c r="BK483" s="145" t="b">
        <f t="shared" si="621"/>
        <v>0</v>
      </c>
      <c r="BL483" s="216" t="b">
        <f t="shared" si="622"/>
        <v>0</v>
      </c>
      <c r="BM483" s="217" t="str">
        <f t="shared" si="573"/>
        <v/>
      </c>
      <c r="BN483" s="146" t="str">
        <f t="shared" si="574"/>
        <v/>
      </c>
      <c r="BO483" s="147" t="str">
        <f t="shared" si="575"/>
        <v/>
      </c>
      <c r="BP483" s="148" t="str">
        <f t="shared" si="576"/>
        <v/>
      </c>
      <c r="BT483" s="50">
        <f t="shared" si="596"/>
        <v>460</v>
      </c>
      <c r="BU483" s="50" t="str">
        <f t="shared" si="592"/>
        <v>-</v>
      </c>
      <c r="BW483" s="340"/>
      <c r="BX483" s="333"/>
      <c r="BY483" s="333"/>
      <c r="BZ483" s="333"/>
      <c r="CA483" s="333"/>
      <c r="CB483" s="333"/>
      <c r="CC483" s="333"/>
      <c r="CD483" s="333"/>
      <c r="CE483" s="333"/>
      <c r="CF483" s="333"/>
      <c r="CG483" s="354">
        <f t="shared" si="623"/>
        <v>460</v>
      </c>
      <c r="CH483" s="613">
        <f t="shared" si="624"/>
        <v>0</v>
      </c>
      <c r="CI483" s="613">
        <f t="shared" si="625"/>
        <v>0</v>
      </c>
      <c r="CJ483" s="614" t="str">
        <f t="shared" si="626"/>
        <v/>
      </c>
      <c r="CK483" s="615" t="str">
        <f t="shared" si="627"/>
        <v/>
      </c>
      <c r="CL483" s="610" t="str">
        <f>IF(ISBLANK(H483),"",IF(AND(ISNUMBER(F483),ISNUMBER(G483),ISNUMBER(H483)),ROUND(F483/(H483*G483),2),ROUND(F483/(VALUE(LEFT(H483,SUM(LEN(H483)-LEN(SUBSTITUTE(H483,{"0","1","2","3","4","5","6","7","8","9","."},"")))))*G483),2)))</f>
        <v/>
      </c>
      <c r="CM483" s="616" t="str">
        <f t="shared" si="577"/>
        <v/>
      </c>
      <c r="CN483" s="616" t="str">
        <f>IF(ISNUMBER(P483),MAX('Adjustment factors'!$S$16,(0.2+0.8*P483)),IF(ISTEXT(N483),VLOOKUP(N483,Afactors,2,FALSE),""))</f>
        <v/>
      </c>
      <c r="CO483" s="616" t="str">
        <f>IF(ISNUMBER(S483),MAX('Adjustment factors'!$S$16,0.2+0.8*S483),IF(ISTEXT(Q483),VLOOKUP(Q483,Afactors,2,FALSE),""))</f>
        <v/>
      </c>
      <c r="CP483" s="611" t="str">
        <f t="shared" si="645"/>
        <v/>
      </c>
      <c r="CQ483" s="612" t="str">
        <f t="shared" si="646"/>
        <v/>
      </c>
      <c r="CR483" s="340"/>
      <c r="CS483" s="340"/>
      <c r="CT483" s="340"/>
      <c r="CU483" s="340"/>
      <c r="CV483" s="333"/>
      <c r="CW483" s="333"/>
      <c r="CX483" s="333"/>
      <c r="CY483" s="333"/>
      <c r="DA483" s="313" t="str">
        <f t="shared" si="628"/>
        <v>OK</v>
      </c>
      <c r="DB483" s="313" t="str">
        <f t="shared" si="629"/>
        <v>OK</v>
      </c>
      <c r="DC483" s="313" t="str">
        <f t="shared" si="630"/>
        <v>OK</v>
      </c>
      <c r="DD483" s="313" t="str">
        <f t="shared" si="631"/>
        <v>OK</v>
      </c>
      <c r="DE483" s="153" t="str">
        <f t="shared" si="632"/>
        <v>OK</v>
      </c>
      <c r="DF483" s="314" t="str">
        <f t="shared" si="633"/>
        <v>OK</v>
      </c>
      <c r="DG483" s="482" t="str">
        <f t="shared" si="647"/>
        <v>OK</v>
      </c>
      <c r="DH483" s="482" t="str">
        <f>IF(OR(AND(T483='Adjustment factors'!$R$28,'Class 3, 5-9'!U483='Adjustment factors'!$R$29),AND('Class 3, 5-9'!T483='Adjustment factors'!$R$29,'Class 3, 5-9'!U483='Adjustment factors'!$R$28)),"Invalid combination of adjustment factors",IF(AND(T483=U483,NOT(ISBLANK(T483)),NOT(ISBLANK(U483))),"Same colour factor selected twice","OK"))</f>
        <v>OK</v>
      </c>
      <c r="DI483" s="313" t="str">
        <f t="shared" si="634"/>
        <v>OK</v>
      </c>
      <c r="DJ483" s="153" t="str">
        <f t="shared" si="578"/>
        <v>OK</v>
      </c>
      <c r="DK483" s="153" t="str">
        <f t="shared" si="635"/>
        <v>OK</v>
      </c>
      <c r="DL483" s="313" t="str">
        <f t="shared" si="636"/>
        <v>OK</v>
      </c>
      <c r="DM483" s="153" t="str">
        <f t="shared" si="637"/>
        <v>OK</v>
      </c>
      <c r="DN483" s="153" t="str">
        <f t="shared" si="579"/>
        <v>OK</v>
      </c>
      <c r="DO483" s="154" t="str">
        <f t="shared" si="580"/>
        <v>OK</v>
      </c>
      <c r="DP483" s="153" t="str">
        <f t="shared" si="638"/>
        <v>OK</v>
      </c>
      <c r="DQ483" s="313" t="str">
        <f t="shared" si="639"/>
        <v>OK</v>
      </c>
      <c r="DR483" s="153" t="str">
        <f t="shared" si="581"/>
        <v>OK</v>
      </c>
      <c r="DS483" s="153" t="str">
        <f t="shared" si="640"/>
        <v>OK</v>
      </c>
      <c r="DT483" s="313" t="str">
        <f t="shared" si="598"/>
        <v>OK</v>
      </c>
      <c r="DU483" s="153" t="str">
        <f t="shared" si="641"/>
        <v>OK</v>
      </c>
      <c r="DV483" s="153" t="str">
        <f t="shared" si="582"/>
        <v>OK</v>
      </c>
      <c r="DW483" s="154" t="str">
        <f t="shared" si="583"/>
        <v>OK</v>
      </c>
      <c r="DX483" s="157">
        <f t="shared" si="584"/>
        <v>0</v>
      </c>
      <c r="DY483" s="156" t="str">
        <f t="shared" si="585"/>
        <v>OK</v>
      </c>
    </row>
    <row r="484" spans="1:129" ht="13" hidden="1" x14ac:dyDescent="0.3">
      <c r="A484" s="333"/>
      <c r="B484" s="333"/>
      <c r="C484" s="332" t="str">
        <f t="shared" si="593"/>
        <v>-</v>
      </c>
      <c r="D484" s="584">
        <f t="shared" si="597"/>
        <v>461</v>
      </c>
      <c r="E484" s="585"/>
      <c r="F484" s="586"/>
      <c r="G484" s="600"/>
      <c r="H484" s="587"/>
      <c r="I484" s="601"/>
      <c r="J484" s="585"/>
      <c r="K484" s="617"/>
      <c r="L484" s="602"/>
      <c r="M484" s="603"/>
      <c r="N484" s="588"/>
      <c r="O484" s="604"/>
      <c r="P484" s="605"/>
      <c r="Q484" s="588"/>
      <c r="R484" s="604"/>
      <c r="S484" s="605"/>
      <c r="T484" s="606"/>
      <c r="U484" s="606"/>
      <c r="V484" s="429" t="str">
        <f t="shared" si="590"/>
        <v/>
      </c>
      <c r="W484" s="430" t="str">
        <f t="shared" si="589"/>
        <v/>
      </c>
      <c r="X484" s="66" t="str">
        <f>IF(AND(ISNUMBER(P484),N484=FixedDim),MAX('Adjustment factors'!$S$16,0.2+0.8*P484),IF(ISTEXT(N484),VLOOKUP(N484,Afactors,2,TRUE),""))</f>
        <v/>
      </c>
      <c r="Y484" s="17" t="str">
        <f>IF(AND(ISNUMBER(S484),Q484=FixedDim),MAX('Adjustment factors'!$S$16,0.2+0.8*S484),IF(ISTEXT(Q484),VLOOKUP(Q484,Afactors,2,TRUE),""))</f>
        <v/>
      </c>
      <c r="Z484" s="297" t="str">
        <f>IF(ISBLANK(T484),"",VLOOKUP(T484,'Adjustment factors'!$R$27:$S$30,2,TRUE))</f>
        <v/>
      </c>
      <c r="AA484" s="297" t="str">
        <f>IF(ISBLANK(U484),"",VLOOKUP(U484,'Adjustment factors'!$R$27:$S$30,2,TRUE))</f>
        <v/>
      </c>
      <c r="AB484" s="480">
        <f t="shared" si="642"/>
        <v>1</v>
      </c>
      <c r="AC484" s="18" t="b">
        <f t="shared" si="599"/>
        <v>0</v>
      </c>
      <c r="AD484" s="18" t="b">
        <f t="shared" si="600"/>
        <v>0</v>
      </c>
      <c r="AE484" s="18" t="b">
        <f t="shared" si="586"/>
        <v>0</v>
      </c>
      <c r="AF484" s="17" t="str">
        <f t="shared" si="601"/>
        <v/>
      </c>
      <c r="AG484" s="18" t="str">
        <f t="shared" si="602"/>
        <v/>
      </c>
      <c r="AH484" s="17" t="str">
        <f t="shared" si="587"/>
        <v/>
      </c>
      <c r="AI484" s="297" t="e">
        <f t="shared" si="643"/>
        <v>#VALUE!</v>
      </c>
      <c r="AJ484" s="79" t="e">
        <f t="shared" si="603"/>
        <v>#VALUE!</v>
      </c>
      <c r="AK484" s="17" t="str">
        <f t="shared" si="588"/>
        <v/>
      </c>
      <c r="AL484" s="80" t="e">
        <f t="shared" si="604"/>
        <v>#VALUE!</v>
      </c>
      <c r="AM484" s="139" t="b">
        <f t="shared" si="605"/>
        <v>1</v>
      </c>
      <c r="AN484" s="139" t="b">
        <f>AND(COUNTA(E484)&gt;0,ISNUMBER(F484),OR(COUNT(G484:H484)=0,COUNT(G484:H484)=2,AND(ISNUMBER(G484),ISNUMBER(VALUE(LEFT(H484,SUM(LEN(H484)-LEN(SUBSTITUTE(H484,{"0","1","2","3","4","5","6","7","8","9","."},"")))))))),ISNUMBER(I484),ISTEXT(J484))</f>
        <v>0</v>
      </c>
      <c r="AO484" s="19" t="b">
        <f t="shared" si="606"/>
        <v>0</v>
      </c>
      <c r="AP484" s="19" t="b">
        <f t="shared" si="607"/>
        <v>1</v>
      </c>
      <c r="AQ484" s="19" t="b">
        <f>IF(AND(COUNTBLANK(E484:J484)=6,OR(AN485:AN$523)),NOT(AN484))</f>
        <v>0</v>
      </c>
      <c r="AR484" s="19" t="str">
        <f t="shared" si="608"/>
        <v/>
      </c>
      <c r="AS484" s="19" t="b">
        <f t="shared" si="609"/>
        <v>1</v>
      </c>
      <c r="AT484" s="19" t="str">
        <f t="shared" si="610"/>
        <v/>
      </c>
      <c r="AU484" s="19" t="b">
        <f t="shared" si="611"/>
        <v>1</v>
      </c>
      <c r="AV484" s="140" t="str">
        <f t="shared" si="570"/>
        <v/>
      </c>
      <c r="AW484" s="19" t="str">
        <f t="shared" si="612"/>
        <v/>
      </c>
      <c r="AX484" s="81">
        <f t="shared" si="613"/>
        <v>0</v>
      </c>
      <c r="AY484" s="81" t="str">
        <f t="shared" si="614"/>
        <v/>
      </c>
      <c r="AZ484" s="307" t="str">
        <f t="shared" si="644"/>
        <v/>
      </c>
      <c r="BA484" s="281" t="str">
        <f t="shared" si="571"/>
        <v/>
      </c>
      <c r="BB484" s="281" t="str">
        <f t="shared" si="572"/>
        <v/>
      </c>
      <c r="BC484" s="953"/>
      <c r="BD484" s="955"/>
      <c r="BE484" s="219" t="str">
        <f t="shared" si="615"/>
        <v>n/a</v>
      </c>
      <c r="BF484" s="215" t="b">
        <f t="shared" si="616"/>
        <v>0</v>
      </c>
      <c r="BG484" s="145" t="b">
        <f t="shared" si="617"/>
        <v>0</v>
      </c>
      <c r="BH484" s="145" t="b">
        <f t="shared" si="618"/>
        <v>0</v>
      </c>
      <c r="BI484" s="216" t="b">
        <f t="shared" si="619"/>
        <v>0</v>
      </c>
      <c r="BJ484" s="215" t="b">
        <f t="shared" si="620"/>
        <v>0</v>
      </c>
      <c r="BK484" s="145" t="b">
        <f t="shared" si="621"/>
        <v>0</v>
      </c>
      <c r="BL484" s="216" t="b">
        <f t="shared" si="622"/>
        <v>0</v>
      </c>
      <c r="BM484" s="217" t="str">
        <f t="shared" si="573"/>
        <v/>
      </c>
      <c r="BN484" s="146" t="str">
        <f t="shared" si="574"/>
        <v/>
      </c>
      <c r="BO484" s="147" t="str">
        <f t="shared" si="575"/>
        <v/>
      </c>
      <c r="BP484" s="148" t="str">
        <f t="shared" si="576"/>
        <v/>
      </c>
      <c r="BT484" s="50">
        <f t="shared" si="596"/>
        <v>461</v>
      </c>
      <c r="BU484" s="50" t="str">
        <f t="shared" si="592"/>
        <v>-</v>
      </c>
      <c r="BW484" s="340"/>
      <c r="BX484" s="333"/>
      <c r="BY484" s="333"/>
      <c r="BZ484" s="333"/>
      <c r="CA484" s="333"/>
      <c r="CB484" s="333"/>
      <c r="CC484" s="333"/>
      <c r="CD484" s="333"/>
      <c r="CE484" s="333"/>
      <c r="CF484" s="333"/>
      <c r="CG484" s="354">
        <f t="shared" si="623"/>
        <v>461</v>
      </c>
      <c r="CH484" s="613">
        <f t="shared" si="624"/>
        <v>0</v>
      </c>
      <c r="CI484" s="613">
        <f t="shared" si="625"/>
        <v>0</v>
      </c>
      <c r="CJ484" s="614" t="str">
        <f t="shared" si="626"/>
        <v/>
      </c>
      <c r="CK484" s="615" t="str">
        <f t="shared" si="627"/>
        <v/>
      </c>
      <c r="CL484" s="610" t="str">
        <f>IF(ISBLANK(H484),"",IF(AND(ISNUMBER(F484),ISNUMBER(G484),ISNUMBER(H484)),ROUND(F484/(H484*G484),2),ROUND(F484/(VALUE(LEFT(H484,SUM(LEN(H484)-LEN(SUBSTITUTE(H484,{"0","1","2","3","4","5","6","7","8","9","."},"")))))*G484),2)))</f>
        <v/>
      </c>
      <c r="CM484" s="616" t="str">
        <f t="shared" si="577"/>
        <v/>
      </c>
      <c r="CN484" s="616" t="str">
        <f>IF(ISNUMBER(P484),MAX('Adjustment factors'!$S$16,(0.2+0.8*P484)),IF(ISTEXT(N484),VLOOKUP(N484,Afactors,2,FALSE),""))</f>
        <v/>
      </c>
      <c r="CO484" s="616" t="str">
        <f>IF(ISNUMBER(S484),MAX('Adjustment factors'!$S$16,0.2+0.8*S484),IF(ISTEXT(Q484),VLOOKUP(Q484,Afactors,2,FALSE),""))</f>
        <v/>
      </c>
      <c r="CP484" s="611" t="str">
        <f t="shared" si="645"/>
        <v/>
      </c>
      <c r="CQ484" s="612" t="str">
        <f t="shared" si="646"/>
        <v/>
      </c>
      <c r="CR484" s="340"/>
      <c r="CS484" s="340"/>
      <c r="CT484" s="340"/>
      <c r="CU484" s="340"/>
      <c r="CV484" s="333"/>
      <c r="CW484" s="333"/>
      <c r="CX484" s="333"/>
      <c r="CY484" s="333"/>
      <c r="DA484" s="313" t="str">
        <f t="shared" si="628"/>
        <v>OK</v>
      </c>
      <c r="DB484" s="313" t="str">
        <f t="shared" si="629"/>
        <v>OK</v>
      </c>
      <c r="DC484" s="313" t="str">
        <f t="shared" si="630"/>
        <v>OK</v>
      </c>
      <c r="DD484" s="313" t="str">
        <f t="shared" si="631"/>
        <v>OK</v>
      </c>
      <c r="DE484" s="153" t="str">
        <f t="shared" si="632"/>
        <v>OK</v>
      </c>
      <c r="DF484" s="314" t="str">
        <f t="shared" si="633"/>
        <v>OK</v>
      </c>
      <c r="DG484" s="482" t="str">
        <f t="shared" si="647"/>
        <v>OK</v>
      </c>
      <c r="DH484" s="482" t="str">
        <f>IF(OR(AND(T484='Adjustment factors'!$R$28,'Class 3, 5-9'!U484='Adjustment factors'!$R$29),AND('Class 3, 5-9'!T484='Adjustment factors'!$R$29,'Class 3, 5-9'!U484='Adjustment factors'!$R$28)),"Invalid combination of adjustment factors",IF(AND(T484=U484,NOT(ISBLANK(T484)),NOT(ISBLANK(U484))),"Same colour factor selected twice","OK"))</f>
        <v>OK</v>
      </c>
      <c r="DI484" s="313" t="str">
        <f t="shared" si="634"/>
        <v>OK</v>
      </c>
      <c r="DJ484" s="153" t="str">
        <f t="shared" si="578"/>
        <v>OK</v>
      </c>
      <c r="DK484" s="153" t="str">
        <f t="shared" si="635"/>
        <v>OK</v>
      </c>
      <c r="DL484" s="313" t="str">
        <f t="shared" si="636"/>
        <v>OK</v>
      </c>
      <c r="DM484" s="153" t="str">
        <f t="shared" si="637"/>
        <v>OK</v>
      </c>
      <c r="DN484" s="153" t="str">
        <f t="shared" si="579"/>
        <v>OK</v>
      </c>
      <c r="DO484" s="154" t="str">
        <f t="shared" si="580"/>
        <v>OK</v>
      </c>
      <c r="DP484" s="153" t="str">
        <f t="shared" si="638"/>
        <v>OK</v>
      </c>
      <c r="DQ484" s="313" t="str">
        <f t="shared" si="639"/>
        <v>OK</v>
      </c>
      <c r="DR484" s="153" t="str">
        <f t="shared" si="581"/>
        <v>OK</v>
      </c>
      <c r="DS484" s="153" t="str">
        <f t="shared" si="640"/>
        <v>OK</v>
      </c>
      <c r="DT484" s="313" t="str">
        <f t="shared" si="598"/>
        <v>OK</v>
      </c>
      <c r="DU484" s="153" t="str">
        <f t="shared" si="641"/>
        <v>OK</v>
      </c>
      <c r="DV484" s="153" t="str">
        <f t="shared" si="582"/>
        <v>OK</v>
      </c>
      <c r="DW484" s="154" t="str">
        <f t="shared" si="583"/>
        <v>OK</v>
      </c>
      <c r="DX484" s="157">
        <f t="shared" si="584"/>
        <v>0</v>
      </c>
      <c r="DY484" s="156" t="str">
        <f t="shared" si="585"/>
        <v>OK</v>
      </c>
    </row>
    <row r="485" spans="1:129" ht="13" hidden="1" x14ac:dyDescent="0.3">
      <c r="A485" s="333"/>
      <c r="B485" s="333"/>
      <c r="C485" s="332" t="str">
        <f t="shared" si="593"/>
        <v>-</v>
      </c>
      <c r="D485" s="584">
        <f t="shared" si="597"/>
        <v>462</v>
      </c>
      <c r="E485" s="585"/>
      <c r="F485" s="586"/>
      <c r="G485" s="600"/>
      <c r="H485" s="587"/>
      <c r="I485" s="601"/>
      <c r="J485" s="585"/>
      <c r="K485" s="617"/>
      <c r="L485" s="602"/>
      <c r="M485" s="603"/>
      <c r="N485" s="588"/>
      <c r="O485" s="604"/>
      <c r="P485" s="605"/>
      <c r="Q485" s="588"/>
      <c r="R485" s="604"/>
      <c r="S485" s="605"/>
      <c r="T485" s="606"/>
      <c r="U485" s="606"/>
      <c r="V485" s="429" t="str">
        <f t="shared" si="590"/>
        <v/>
      </c>
      <c r="W485" s="430" t="str">
        <f t="shared" si="589"/>
        <v/>
      </c>
      <c r="X485" s="66" t="str">
        <f>IF(AND(ISNUMBER(P485),N485=FixedDim),MAX('Adjustment factors'!$S$16,0.2+0.8*P485),IF(ISTEXT(N485),VLOOKUP(N485,Afactors,2,TRUE),""))</f>
        <v/>
      </c>
      <c r="Y485" s="17" t="str">
        <f>IF(AND(ISNUMBER(S485),Q485=FixedDim),MAX('Adjustment factors'!$S$16,0.2+0.8*S485),IF(ISTEXT(Q485),VLOOKUP(Q485,Afactors,2,TRUE),""))</f>
        <v/>
      </c>
      <c r="Z485" s="297" t="str">
        <f>IF(ISBLANK(T485),"",VLOOKUP(T485,'Adjustment factors'!$R$27:$S$30,2,TRUE))</f>
        <v/>
      </c>
      <c r="AA485" s="297" t="str">
        <f>IF(ISBLANK(U485),"",VLOOKUP(U485,'Adjustment factors'!$R$27:$S$30,2,TRUE))</f>
        <v/>
      </c>
      <c r="AB485" s="480">
        <f t="shared" si="642"/>
        <v>1</v>
      </c>
      <c r="AC485" s="18" t="b">
        <f t="shared" si="599"/>
        <v>0</v>
      </c>
      <c r="AD485" s="18" t="b">
        <f t="shared" si="600"/>
        <v>0</v>
      </c>
      <c r="AE485" s="18" t="b">
        <f t="shared" si="586"/>
        <v>0</v>
      </c>
      <c r="AF485" s="17" t="str">
        <f t="shared" si="601"/>
        <v/>
      </c>
      <c r="AG485" s="18" t="str">
        <f t="shared" si="602"/>
        <v/>
      </c>
      <c r="AH485" s="17" t="str">
        <f t="shared" si="587"/>
        <v/>
      </c>
      <c r="AI485" s="297" t="e">
        <f t="shared" si="643"/>
        <v>#VALUE!</v>
      </c>
      <c r="AJ485" s="79" t="e">
        <f t="shared" si="603"/>
        <v>#VALUE!</v>
      </c>
      <c r="AK485" s="17" t="str">
        <f t="shared" si="588"/>
        <v/>
      </c>
      <c r="AL485" s="80" t="e">
        <f t="shared" si="604"/>
        <v>#VALUE!</v>
      </c>
      <c r="AM485" s="139" t="b">
        <f t="shared" si="605"/>
        <v>1</v>
      </c>
      <c r="AN485" s="139" t="b">
        <f>AND(COUNTA(E485)&gt;0,ISNUMBER(F485),OR(COUNT(G485:H485)=0,COUNT(G485:H485)=2,AND(ISNUMBER(G485),ISNUMBER(VALUE(LEFT(H485,SUM(LEN(H485)-LEN(SUBSTITUTE(H485,{"0","1","2","3","4","5","6","7","8","9","."},"")))))))),ISNUMBER(I485),ISTEXT(J485))</f>
        <v>0</v>
      </c>
      <c r="AO485" s="19" t="b">
        <f t="shared" si="606"/>
        <v>0</v>
      </c>
      <c r="AP485" s="19" t="b">
        <f t="shared" si="607"/>
        <v>1</v>
      </c>
      <c r="AQ485" s="19" t="b">
        <f>IF(AND(COUNTBLANK(E485:J485)=6,OR(AN486:AN$523)),NOT(AN485))</f>
        <v>0</v>
      </c>
      <c r="AR485" s="19" t="str">
        <f t="shared" si="608"/>
        <v/>
      </c>
      <c r="AS485" s="19" t="b">
        <f t="shared" si="609"/>
        <v>1</v>
      </c>
      <c r="AT485" s="19" t="str">
        <f t="shared" si="610"/>
        <v/>
      </c>
      <c r="AU485" s="19" t="b">
        <f t="shared" si="611"/>
        <v>1</v>
      </c>
      <c r="AV485" s="140" t="str">
        <f t="shared" si="570"/>
        <v/>
      </c>
      <c r="AW485" s="19" t="str">
        <f t="shared" si="612"/>
        <v/>
      </c>
      <c r="AX485" s="81">
        <f t="shared" si="613"/>
        <v>0</v>
      </c>
      <c r="AY485" s="81" t="str">
        <f t="shared" si="614"/>
        <v/>
      </c>
      <c r="AZ485" s="307" t="str">
        <f t="shared" si="644"/>
        <v/>
      </c>
      <c r="BA485" s="281" t="str">
        <f t="shared" si="571"/>
        <v/>
      </c>
      <c r="BB485" s="281" t="str">
        <f t="shared" si="572"/>
        <v/>
      </c>
      <c r="BC485" s="953"/>
      <c r="BD485" s="955"/>
      <c r="BE485" s="219" t="str">
        <f t="shared" si="615"/>
        <v>n/a</v>
      </c>
      <c r="BF485" s="215" t="b">
        <f t="shared" si="616"/>
        <v>0</v>
      </c>
      <c r="BG485" s="145" t="b">
        <f t="shared" si="617"/>
        <v>0</v>
      </c>
      <c r="BH485" s="145" t="b">
        <f t="shared" si="618"/>
        <v>0</v>
      </c>
      <c r="BI485" s="216" t="b">
        <f t="shared" si="619"/>
        <v>0</v>
      </c>
      <c r="BJ485" s="215" t="b">
        <f t="shared" si="620"/>
        <v>0</v>
      </c>
      <c r="BK485" s="145" t="b">
        <f t="shared" si="621"/>
        <v>0</v>
      </c>
      <c r="BL485" s="216" t="b">
        <f t="shared" si="622"/>
        <v>0</v>
      </c>
      <c r="BM485" s="217" t="str">
        <f t="shared" si="573"/>
        <v/>
      </c>
      <c r="BN485" s="146" t="str">
        <f t="shared" si="574"/>
        <v/>
      </c>
      <c r="BO485" s="147" t="str">
        <f t="shared" si="575"/>
        <v/>
      </c>
      <c r="BP485" s="148" t="str">
        <f t="shared" si="576"/>
        <v/>
      </c>
      <c r="BT485" s="50">
        <f t="shared" si="596"/>
        <v>462</v>
      </c>
      <c r="BU485" s="50" t="str">
        <f t="shared" si="592"/>
        <v>-</v>
      </c>
      <c r="BW485" s="340"/>
      <c r="BX485" s="333"/>
      <c r="BY485" s="333"/>
      <c r="BZ485" s="333"/>
      <c r="CA485" s="333"/>
      <c r="CB485" s="333"/>
      <c r="CC485" s="333"/>
      <c r="CD485" s="333"/>
      <c r="CE485" s="333"/>
      <c r="CF485" s="333"/>
      <c r="CG485" s="354">
        <f t="shared" si="623"/>
        <v>462</v>
      </c>
      <c r="CH485" s="613">
        <f t="shared" si="624"/>
        <v>0</v>
      </c>
      <c r="CI485" s="613">
        <f t="shared" si="625"/>
        <v>0</v>
      </c>
      <c r="CJ485" s="614" t="str">
        <f t="shared" si="626"/>
        <v/>
      </c>
      <c r="CK485" s="615" t="str">
        <f t="shared" si="627"/>
        <v/>
      </c>
      <c r="CL485" s="610" t="str">
        <f>IF(ISBLANK(H485),"",IF(AND(ISNUMBER(F485),ISNUMBER(G485),ISNUMBER(H485)),ROUND(F485/(H485*G485),2),ROUND(F485/(VALUE(LEFT(H485,SUM(LEN(H485)-LEN(SUBSTITUTE(H485,{"0","1","2","3","4","5","6","7","8","9","."},"")))))*G485),2)))</f>
        <v/>
      </c>
      <c r="CM485" s="616" t="str">
        <f t="shared" si="577"/>
        <v/>
      </c>
      <c r="CN485" s="616" t="str">
        <f>IF(ISNUMBER(P485),MAX('Adjustment factors'!$S$16,(0.2+0.8*P485)),IF(ISTEXT(N485),VLOOKUP(N485,Afactors,2,FALSE),""))</f>
        <v/>
      </c>
      <c r="CO485" s="616" t="str">
        <f>IF(ISNUMBER(S485),MAX('Adjustment factors'!$S$16,0.2+0.8*S485),IF(ISTEXT(Q485),VLOOKUP(Q485,Afactors,2,FALSE),""))</f>
        <v/>
      </c>
      <c r="CP485" s="611" t="str">
        <f t="shared" si="645"/>
        <v/>
      </c>
      <c r="CQ485" s="612" t="str">
        <f t="shared" si="646"/>
        <v/>
      </c>
      <c r="CR485" s="340"/>
      <c r="CS485" s="340"/>
      <c r="CT485" s="340"/>
      <c r="CU485" s="340"/>
      <c r="CV485" s="333"/>
      <c r="CW485" s="333"/>
      <c r="CX485" s="333"/>
      <c r="CY485" s="333"/>
      <c r="DA485" s="313" t="str">
        <f t="shared" si="628"/>
        <v>OK</v>
      </c>
      <c r="DB485" s="313" t="str">
        <f t="shared" si="629"/>
        <v>OK</v>
      </c>
      <c r="DC485" s="313" t="str">
        <f t="shared" si="630"/>
        <v>OK</v>
      </c>
      <c r="DD485" s="313" t="str">
        <f t="shared" si="631"/>
        <v>OK</v>
      </c>
      <c r="DE485" s="153" t="str">
        <f t="shared" si="632"/>
        <v>OK</v>
      </c>
      <c r="DF485" s="314" t="str">
        <f t="shared" si="633"/>
        <v>OK</v>
      </c>
      <c r="DG485" s="482" t="str">
        <f t="shared" si="647"/>
        <v>OK</v>
      </c>
      <c r="DH485" s="482" t="str">
        <f>IF(OR(AND(T485='Adjustment factors'!$R$28,'Class 3, 5-9'!U485='Adjustment factors'!$R$29),AND('Class 3, 5-9'!T485='Adjustment factors'!$R$29,'Class 3, 5-9'!U485='Adjustment factors'!$R$28)),"Invalid combination of adjustment factors",IF(AND(T485=U485,NOT(ISBLANK(T485)),NOT(ISBLANK(U485))),"Same colour factor selected twice","OK"))</f>
        <v>OK</v>
      </c>
      <c r="DI485" s="313" t="str">
        <f t="shared" si="634"/>
        <v>OK</v>
      </c>
      <c r="DJ485" s="153" t="str">
        <f t="shared" si="578"/>
        <v>OK</v>
      </c>
      <c r="DK485" s="153" t="str">
        <f t="shared" si="635"/>
        <v>OK</v>
      </c>
      <c r="DL485" s="313" t="str">
        <f t="shared" si="636"/>
        <v>OK</v>
      </c>
      <c r="DM485" s="153" t="str">
        <f t="shared" si="637"/>
        <v>OK</v>
      </c>
      <c r="DN485" s="153" t="str">
        <f t="shared" si="579"/>
        <v>OK</v>
      </c>
      <c r="DO485" s="154" t="str">
        <f t="shared" si="580"/>
        <v>OK</v>
      </c>
      <c r="DP485" s="153" t="str">
        <f t="shared" si="638"/>
        <v>OK</v>
      </c>
      <c r="DQ485" s="313" t="str">
        <f t="shared" si="639"/>
        <v>OK</v>
      </c>
      <c r="DR485" s="153" t="str">
        <f t="shared" si="581"/>
        <v>OK</v>
      </c>
      <c r="DS485" s="153" t="str">
        <f t="shared" si="640"/>
        <v>OK</v>
      </c>
      <c r="DT485" s="313" t="str">
        <f t="shared" si="598"/>
        <v>OK</v>
      </c>
      <c r="DU485" s="153" t="str">
        <f t="shared" si="641"/>
        <v>OK</v>
      </c>
      <c r="DV485" s="153" t="str">
        <f t="shared" si="582"/>
        <v>OK</v>
      </c>
      <c r="DW485" s="154" t="str">
        <f t="shared" si="583"/>
        <v>OK</v>
      </c>
      <c r="DX485" s="157">
        <f t="shared" si="584"/>
        <v>0</v>
      </c>
      <c r="DY485" s="156" t="str">
        <f t="shared" si="585"/>
        <v>OK</v>
      </c>
    </row>
    <row r="486" spans="1:129" ht="13" hidden="1" x14ac:dyDescent="0.3">
      <c r="A486" s="333"/>
      <c r="B486" s="333"/>
      <c r="C486" s="332" t="str">
        <f t="shared" si="593"/>
        <v>-</v>
      </c>
      <c r="D486" s="584">
        <f t="shared" si="597"/>
        <v>463</v>
      </c>
      <c r="E486" s="585"/>
      <c r="F486" s="586"/>
      <c r="G486" s="600"/>
      <c r="H486" s="587"/>
      <c r="I486" s="601"/>
      <c r="J486" s="585"/>
      <c r="K486" s="617"/>
      <c r="L486" s="602"/>
      <c r="M486" s="603"/>
      <c r="N486" s="588"/>
      <c r="O486" s="604"/>
      <c r="P486" s="605"/>
      <c r="Q486" s="588"/>
      <c r="R486" s="604"/>
      <c r="S486" s="605"/>
      <c r="T486" s="606"/>
      <c r="U486" s="606"/>
      <c r="V486" s="429" t="str">
        <f t="shared" si="590"/>
        <v/>
      </c>
      <c r="W486" s="430" t="str">
        <f t="shared" si="589"/>
        <v/>
      </c>
      <c r="X486" s="66" t="str">
        <f>IF(AND(ISNUMBER(P486),N486=FixedDim),MAX('Adjustment factors'!$S$16,0.2+0.8*P486),IF(ISTEXT(N486),VLOOKUP(N486,Afactors,2,TRUE),""))</f>
        <v/>
      </c>
      <c r="Y486" s="17" t="str">
        <f>IF(AND(ISNUMBER(S486),Q486=FixedDim),MAX('Adjustment factors'!$S$16,0.2+0.8*S486),IF(ISTEXT(Q486),VLOOKUP(Q486,Afactors,2,TRUE),""))</f>
        <v/>
      </c>
      <c r="Z486" s="297" t="str">
        <f>IF(ISBLANK(T486),"",VLOOKUP(T486,'Adjustment factors'!$R$27:$S$30,2,TRUE))</f>
        <v/>
      </c>
      <c r="AA486" s="297" t="str">
        <f>IF(ISBLANK(U486),"",VLOOKUP(U486,'Adjustment factors'!$R$27:$S$30,2,TRUE))</f>
        <v/>
      </c>
      <c r="AB486" s="480">
        <f t="shared" si="642"/>
        <v>1</v>
      </c>
      <c r="AC486" s="18" t="b">
        <f t="shared" si="599"/>
        <v>0</v>
      </c>
      <c r="AD486" s="18" t="b">
        <f t="shared" si="600"/>
        <v>0</v>
      </c>
      <c r="AE486" s="18" t="b">
        <f t="shared" si="586"/>
        <v>0</v>
      </c>
      <c r="AF486" s="17" t="str">
        <f t="shared" si="601"/>
        <v/>
      </c>
      <c r="AG486" s="18" t="str">
        <f t="shared" si="602"/>
        <v/>
      </c>
      <c r="AH486" s="17" t="str">
        <f t="shared" si="587"/>
        <v/>
      </c>
      <c r="AI486" s="297" t="e">
        <f t="shared" si="643"/>
        <v>#VALUE!</v>
      </c>
      <c r="AJ486" s="79" t="e">
        <f t="shared" si="603"/>
        <v>#VALUE!</v>
      </c>
      <c r="AK486" s="17" t="str">
        <f t="shared" si="588"/>
        <v/>
      </c>
      <c r="AL486" s="80" t="e">
        <f t="shared" si="604"/>
        <v>#VALUE!</v>
      </c>
      <c r="AM486" s="139" t="b">
        <f t="shared" si="605"/>
        <v>1</v>
      </c>
      <c r="AN486" s="139" t="b">
        <f>AND(COUNTA(E486)&gt;0,ISNUMBER(F486),OR(COUNT(G486:H486)=0,COUNT(G486:H486)=2,AND(ISNUMBER(G486),ISNUMBER(VALUE(LEFT(H486,SUM(LEN(H486)-LEN(SUBSTITUTE(H486,{"0","1","2","3","4","5","6","7","8","9","."},"")))))))),ISNUMBER(I486),ISTEXT(J486))</f>
        <v>0</v>
      </c>
      <c r="AO486" s="19" t="b">
        <f t="shared" si="606"/>
        <v>0</v>
      </c>
      <c r="AP486" s="19" t="b">
        <f t="shared" si="607"/>
        <v>1</v>
      </c>
      <c r="AQ486" s="19" t="b">
        <f>IF(AND(COUNTBLANK(E486:J486)=6,OR(AN487:AN$523)),NOT(AN486))</f>
        <v>0</v>
      </c>
      <c r="AR486" s="19" t="str">
        <f t="shared" si="608"/>
        <v/>
      </c>
      <c r="AS486" s="19" t="b">
        <f t="shared" si="609"/>
        <v>1</v>
      </c>
      <c r="AT486" s="19" t="str">
        <f t="shared" si="610"/>
        <v/>
      </c>
      <c r="AU486" s="19" t="b">
        <f t="shared" si="611"/>
        <v>1</v>
      </c>
      <c r="AV486" s="140" t="str">
        <f t="shared" si="570"/>
        <v/>
      </c>
      <c r="AW486" s="19" t="str">
        <f t="shared" si="612"/>
        <v/>
      </c>
      <c r="AX486" s="81">
        <f t="shared" si="613"/>
        <v>0</v>
      </c>
      <c r="AY486" s="81" t="str">
        <f t="shared" si="614"/>
        <v/>
      </c>
      <c r="AZ486" s="307" t="str">
        <f t="shared" si="644"/>
        <v/>
      </c>
      <c r="BA486" s="281" t="str">
        <f t="shared" si="571"/>
        <v/>
      </c>
      <c r="BB486" s="281" t="str">
        <f t="shared" si="572"/>
        <v/>
      </c>
      <c r="BC486" s="953"/>
      <c r="BD486" s="955"/>
      <c r="BE486" s="219" t="str">
        <f t="shared" si="615"/>
        <v>n/a</v>
      </c>
      <c r="BF486" s="215" t="b">
        <f t="shared" si="616"/>
        <v>0</v>
      </c>
      <c r="BG486" s="145" t="b">
        <f t="shared" si="617"/>
        <v>0</v>
      </c>
      <c r="BH486" s="145" t="b">
        <f t="shared" si="618"/>
        <v>0</v>
      </c>
      <c r="BI486" s="216" t="b">
        <f t="shared" si="619"/>
        <v>0</v>
      </c>
      <c r="BJ486" s="215" t="b">
        <f t="shared" si="620"/>
        <v>0</v>
      </c>
      <c r="BK486" s="145" t="b">
        <f t="shared" si="621"/>
        <v>0</v>
      </c>
      <c r="BL486" s="216" t="b">
        <f t="shared" si="622"/>
        <v>0</v>
      </c>
      <c r="BM486" s="217" t="str">
        <f t="shared" si="573"/>
        <v/>
      </c>
      <c r="BN486" s="146" t="str">
        <f t="shared" si="574"/>
        <v/>
      </c>
      <c r="BO486" s="147" t="str">
        <f t="shared" si="575"/>
        <v/>
      </c>
      <c r="BP486" s="148" t="str">
        <f t="shared" si="576"/>
        <v/>
      </c>
      <c r="BT486" s="50">
        <f t="shared" si="596"/>
        <v>463</v>
      </c>
      <c r="BU486" s="50" t="str">
        <f t="shared" si="592"/>
        <v>-</v>
      </c>
      <c r="BW486" s="340"/>
      <c r="BX486" s="333"/>
      <c r="BY486" s="333"/>
      <c r="BZ486" s="333"/>
      <c r="CA486" s="333"/>
      <c r="CB486" s="333"/>
      <c r="CC486" s="333"/>
      <c r="CD486" s="333"/>
      <c r="CE486" s="333"/>
      <c r="CF486" s="333"/>
      <c r="CG486" s="354">
        <f t="shared" si="623"/>
        <v>463</v>
      </c>
      <c r="CH486" s="613">
        <f t="shared" si="624"/>
        <v>0</v>
      </c>
      <c r="CI486" s="613">
        <f t="shared" si="625"/>
        <v>0</v>
      </c>
      <c r="CJ486" s="614" t="str">
        <f t="shared" si="626"/>
        <v/>
      </c>
      <c r="CK486" s="615" t="str">
        <f t="shared" si="627"/>
        <v/>
      </c>
      <c r="CL486" s="610" t="str">
        <f>IF(ISBLANK(H486),"",IF(AND(ISNUMBER(F486),ISNUMBER(G486),ISNUMBER(H486)),ROUND(F486/(H486*G486),2),ROUND(F486/(VALUE(LEFT(H486,SUM(LEN(H486)-LEN(SUBSTITUTE(H486,{"0","1","2","3","4","5","6","7","8","9","."},"")))))*G486),2)))</f>
        <v/>
      </c>
      <c r="CM486" s="616" t="str">
        <f t="shared" si="577"/>
        <v/>
      </c>
      <c r="CN486" s="616" t="str">
        <f>IF(ISNUMBER(P486),MAX('Adjustment factors'!$S$16,(0.2+0.8*P486)),IF(ISTEXT(N486),VLOOKUP(N486,Afactors,2,FALSE),""))</f>
        <v/>
      </c>
      <c r="CO486" s="616" t="str">
        <f>IF(ISNUMBER(S486),MAX('Adjustment factors'!$S$16,0.2+0.8*S486),IF(ISTEXT(Q486),VLOOKUP(Q486,Afactors,2,FALSE),""))</f>
        <v/>
      </c>
      <c r="CP486" s="611" t="str">
        <f t="shared" si="645"/>
        <v/>
      </c>
      <c r="CQ486" s="612" t="str">
        <f t="shared" si="646"/>
        <v/>
      </c>
      <c r="CR486" s="340"/>
      <c r="CS486" s="340"/>
      <c r="CT486" s="340"/>
      <c r="CU486" s="340"/>
      <c r="CV486" s="333"/>
      <c r="CW486" s="333"/>
      <c r="CX486" s="333"/>
      <c r="CY486" s="333"/>
      <c r="DA486" s="313" t="str">
        <f t="shared" si="628"/>
        <v>OK</v>
      </c>
      <c r="DB486" s="313" t="str">
        <f t="shared" si="629"/>
        <v>OK</v>
      </c>
      <c r="DC486" s="313" t="str">
        <f t="shared" si="630"/>
        <v>OK</v>
      </c>
      <c r="DD486" s="313" t="str">
        <f t="shared" si="631"/>
        <v>OK</v>
      </c>
      <c r="DE486" s="153" t="str">
        <f t="shared" si="632"/>
        <v>OK</v>
      </c>
      <c r="DF486" s="314" t="str">
        <f t="shared" si="633"/>
        <v>OK</v>
      </c>
      <c r="DG486" s="482" t="str">
        <f t="shared" si="647"/>
        <v>OK</v>
      </c>
      <c r="DH486" s="482" t="str">
        <f>IF(OR(AND(T486='Adjustment factors'!$R$28,'Class 3, 5-9'!U486='Adjustment factors'!$R$29),AND('Class 3, 5-9'!T486='Adjustment factors'!$R$29,'Class 3, 5-9'!U486='Adjustment factors'!$R$28)),"Invalid combination of adjustment factors",IF(AND(T486=U486,NOT(ISBLANK(T486)),NOT(ISBLANK(U486))),"Same colour factor selected twice","OK"))</f>
        <v>OK</v>
      </c>
      <c r="DI486" s="313" t="str">
        <f t="shared" si="634"/>
        <v>OK</v>
      </c>
      <c r="DJ486" s="153" t="str">
        <f t="shared" si="578"/>
        <v>OK</v>
      </c>
      <c r="DK486" s="153" t="str">
        <f t="shared" si="635"/>
        <v>OK</v>
      </c>
      <c r="DL486" s="313" t="str">
        <f t="shared" si="636"/>
        <v>OK</v>
      </c>
      <c r="DM486" s="153" t="str">
        <f t="shared" si="637"/>
        <v>OK</v>
      </c>
      <c r="DN486" s="153" t="str">
        <f t="shared" si="579"/>
        <v>OK</v>
      </c>
      <c r="DO486" s="154" t="str">
        <f t="shared" si="580"/>
        <v>OK</v>
      </c>
      <c r="DP486" s="153" t="str">
        <f t="shared" si="638"/>
        <v>OK</v>
      </c>
      <c r="DQ486" s="313" t="str">
        <f t="shared" si="639"/>
        <v>OK</v>
      </c>
      <c r="DR486" s="153" t="str">
        <f t="shared" si="581"/>
        <v>OK</v>
      </c>
      <c r="DS486" s="153" t="str">
        <f t="shared" si="640"/>
        <v>OK</v>
      </c>
      <c r="DT486" s="313" t="str">
        <f t="shared" si="598"/>
        <v>OK</v>
      </c>
      <c r="DU486" s="153" t="str">
        <f t="shared" si="641"/>
        <v>OK</v>
      </c>
      <c r="DV486" s="153" t="str">
        <f t="shared" si="582"/>
        <v>OK</v>
      </c>
      <c r="DW486" s="154" t="str">
        <f t="shared" si="583"/>
        <v>OK</v>
      </c>
      <c r="DX486" s="157">
        <f t="shared" si="584"/>
        <v>0</v>
      </c>
      <c r="DY486" s="156" t="str">
        <f t="shared" si="585"/>
        <v>OK</v>
      </c>
    </row>
    <row r="487" spans="1:129" ht="13" hidden="1" x14ac:dyDescent="0.3">
      <c r="A487" s="333"/>
      <c r="B487" s="333"/>
      <c r="C487" s="332" t="str">
        <f t="shared" si="593"/>
        <v>-</v>
      </c>
      <c r="D487" s="584">
        <f t="shared" si="597"/>
        <v>464</v>
      </c>
      <c r="E487" s="585"/>
      <c r="F487" s="586"/>
      <c r="G487" s="600"/>
      <c r="H487" s="587"/>
      <c r="I487" s="601"/>
      <c r="J487" s="585"/>
      <c r="K487" s="617"/>
      <c r="L487" s="602"/>
      <c r="M487" s="603"/>
      <c r="N487" s="588"/>
      <c r="O487" s="604"/>
      <c r="P487" s="605"/>
      <c r="Q487" s="588"/>
      <c r="R487" s="604"/>
      <c r="S487" s="605"/>
      <c r="T487" s="606"/>
      <c r="U487" s="606"/>
      <c r="V487" s="429" t="str">
        <f t="shared" si="590"/>
        <v/>
      </c>
      <c r="W487" s="430" t="str">
        <f t="shared" si="589"/>
        <v/>
      </c>
      <c r="X487" s="66" t="str">
        <f>IF(AND(ISNUMBER(P487),N487=FixedDim),MAX('Adjustment factors'!$S$16,0.2+0.8*P487),IF(ISTEXT(N487),VLOOKUP(N487,Afactors,2,TRUE),""))</f>
        <v/>
      </c>
      <c r="Y487" s="17" t="str">
        <f>IF(AND(ISNUMBER(S487),Q487=FixedDim),MAX('Adjustment factors'!$S$16,0.2+0.8*S487),IF(ISTEXT(Q487),VLOOKUP(Q487,Afactors,2,TRUE),""))</f>
        <v/>
      </c>
      <c r="Z487" s="297" t="str">
        <f>IF(ISBLANK(T487),"",VLOOKUP(T487,'Adjustment factors'!$R$27:$S$30,2,TRUE))</f>
        <v/>
      </c>
      <c r="AA487" s="297" t="str">
        <f>IF(ISBLANK(U487),"",VLOOKUP(U487,'Adjustment factors'!$R$27:$S$30,2,TRUE))</f>
        <v/>
      </c>
      <c r="AB487" s="480">
        <f t="shared" si="642"/>
        <v>1</v>
      </c>
      <c r="AC487" s="18" t="b">
        <f t="shared" si="599"/>
        <v>0</v>
      </c>
      <c r="AD487" s="18" t="b">
        <f t="shared" si="600"/>
        <v>0</v>
      </c>
      <c r="AE487" s="18" t="b">
        <f t="shared" si="586"/>
        <v>0</v>
      </c>
      <c r="AF487" s="17" t="str">
        <f t="shared" si="601"/>
        <v/>
      </c>
      <c r="AG487" s="18" t="str">
        <f t="shared" si="602"/>
        <v/>
      </c>
      <c r="AH487" s="17" t="str">
        <f t="shared" si="587"/>
        <v/>
      </c>
      <c r="AI487" s="297" t="e">
        <f t="shared" si="643"/>
        <v>#VALUE!</v>
      </c>
      <c r="AJ487" s="79" t="e">
        <f t="shared" si="603"/>
        <v>#VALUE!</v>
      </c>
      <c r="AK487" s="17" t="str">
        <f t="shared" si="588"/>
        <v/>
      </c>
      <c r="AL487" s="80" t="e">
        <f t="shared" si="604"/>
        <v>#VALUE!</v>
      </c>
      <c r="AM487" s="139" t="b">
        <f t="shared" si="605"/>
        <v>1</v>
      </c>
      <c r="AN487" s="139" t="b">
        <f>AND(COUNTA(E487)&gt;0,ISNUMBER(F487),OR(COUNT(G487:H487)=0,COUNT(G487:H487)=2,AND(ISNUMBER(G487),ISNUMBER(VALUE(LEFT(H487,SUM(LEN(H487)-LEN(SUBSTITUTE(H487,{"0","1","2","3","4","5","6","7","8","9","."},"")))))))),ISNUMBER(I487),ISTEXT(J487))</f>
        <v>0</v>
      </c>
      <c r="AO487" s="19" t="b">
        <f t="shared" si="606"/>
        <v>0</v>
      </c>
      <c r="AP487" s="19" t="b">
        <f t="shared" si="607"/>
        <v>1</v>
      </c>
      <c r="AQ487" s="19" t="b">
        <f>IF(AND(COUNTBLANK(E487:J487)=6,OR(AN488:AN$523)),NOT(AN487))</f>
        <v>0</v>
      </c>
      <c r="AR487" s="19" t="str">
        <f t="shared" si="608"/>
        <v/>
      </c>
      <c r="AS487" s="19" t="b">
        <f t="shared" si="609"/>
        <v>1</v>
      </c>
      <c r="AT487" s="19" t="str">
        <f t="shared" si="610"/>
        <v/>
      </c>
      <c r="AU487" s="19" t="b">
        <f t="shared" si="611"/>
        <v>1</v>
      </c>
      <c r="AV487" s="140" t="str">
        <f t="shared" si="570"/>
        <v/>
      </c>
      <c r="AW487" s="19" t="str">
        <f t="shared" si="612"/>
        <v/>
      </c>
      <c r="AX487" s="81">
        <f t="shared" si="613"/>
        <v>0</v>
      </c>
      <c r="AY487" s="81" t="str">
        <f t="shared" si="614"/>
        <v/>
      </c>
      <c r="AZ487" s="307" t="str">
        <f t="shared" si="644"/>
        <v/>
      </c>
      <c r="BA487" s="281" t="str">
        <f t="shared" si="571"/>
        <v/>
      </c>
      <c r="BB487" s="281" t="str">
        <f t="shared" si="572"/>
        <v/>
      </c>
      <c r="BC487" s="953"/>
      <c r="BD487" s="955"/>
      <c r="BE487" s="219" t="str">
        <f t="shared" si="615"/>
        <v>n/a</v>
      </c>
      <c r="BF487" s="215" t="b">
        <f t="shared" si="616"/>
        <v>0</v>
      </c>
      <c r="BG487" s="145" t="b">
        <f t="shared" si="617"/>
        <v>0</v>
      </c>
      <c r="BH487" s="145" t="b">
        <f t="shared" si="618"/>
        <v>0</v>
      </c>
      <c r="BI487" s="216" t="b">
        <f t="shared" si="619"/>
        <v>0</v>
      </c>
      <c r="BJ487" s="215" t="b">
        <f t="shared" si="620"/>
        <v>0</v>
      </c>
      <c r="BK487" s="145" t="b">
        <f t="shared" si="621"/>
        <v>0</v>
      </c>
      <c r="BL487" s="216" t="b">
        <f t="shared" si="622"/>
        <v>0</v>
      </c>
      <c r="BM487" s="217" t="str">
        <f t="shared" si="573"/>
        <v/>
      </c>
      <c r="BN487" s="146" t="str">
        <f t="shared" si="574"/>
        <v/>
      </c>
      <c r="BO487" s="147" t="str">
        <f t="shared" si="575"/>
        <v/>
      </c>
      <c r="BP487" s="148" t="str">
        <f t="shared" si="576"/>
        <v/>
      </c>
      <c r="BT487" s="50">
        <f t="shared" si="596"/>
        <v>464</v>
      </c>
      <c r="BU487" s="50" t="str">
        <f t="shared" si="592"/>
        <v>-</v>
      </c>
      <c r="BW487" s="340"/>
      <c r="BX487" s="333"/>
      <c r="BY487" s="333"/>
      <c r="BZ487" s="333"/>
      <c r="CA487" s="333"/>
      <c r="CB487" s="333"/>
      <c r="CC487" s="333"/>
      <c r="CD487" s="333"/>
      <c r="CE487" s="333"/>
      <c r="CF487" s="333"/>
      <c r="CG487" s="354">
        <f t="shared" si="623"/>
        <v>464</v>
      </c>
      <c r="CH487" s="613">
        <f t="shared" si="624"/>
        <v>0</v>
      </c>
      <c r="CI487" s="613">
        <f t="shared" si="625"/>
        <v>0</v>
      </c>
      <c r="CJ487" s="614" t="str">
        <f t="shared" si="626"/>
        <v/>
      </c>
      <c r="CK487" s="615" t="str">
        <f t="shared" si="627"/>
        <v/>
      </c>
      <c r="CL487" s="610" t="str">
        <f>IF(ISBLANK(H487),"",IF(AND(ISNUMBER(F487),ISNUMBER(G487),ISNUMBER(H487)),ROUND(F487/(H487*G487),2),ROUND(F487/(VALUE(LEFT(H487,SUM(LEN(H487)-LEN(SUBSTITUTE(H487,{"0","1","2","3","4","5","6","7","8","9","."},"")))))*G487),2)))</f>
        <v/>
      </c>
      <c r="CM487" s="616" t="str">
        <f t="shared" si="577"/>
        <v/>
      </c>
      <c r="CN487" s="616" t="str">
        <f>IF(ISNUMBER(P487),MAX('Adjustment factors'!$S$16,(0.2+0.8*P487)),IF(ISTEXT(N487),VLOOKUP(N487,Afactors,2,FALSE),""))</f>
        <v/>
      </c>
      <c r="CO487" s="616" t="str">
        <f>IF(ISNUMBER(S487),MAX('Adjustment factors'!$S$16,0.2+0.8*S487),IF(ISTEXT(Q487),VLOOKUP(Q487,Afactors,2,FALSE),""))</f>
        <v/>
      </c>
      <c r="CP487" s="611" t="str">
        <f t="shared" si="645"/>
        <v/>
      </c>
      <c r="CQ487" s="612" t="str">
        <f t="shared" si="646"/>
        <v/>
      </c>
      <c r="CR487" s="340"/>
      <c r="CS487" s="340"/>
      <c r="CT487" s="340"/>
      <c r="CU487" s="340"/>
      <c r="CV487" s="333"/>
      <c r="CW487" s="333"/>
      <c r="CX487" s="333"/>
      <c r="CY487" s="333"/>
      <c r="DA487" s="313" t="str">
        <f t="shared" si="628"/>
        <v>OK</v>
      </c>
      <c r="DB487" s="313" t="str">
        <f t="shared" si="629"/>
        <v>OK</v>
      </c>
      <c r="DC487" s="313" t="str">
        <f t="shared" si="630"/>
        <v>OK</v>
      </c>
      <c r="DD487" s="313" t="str">
        <f t="shared" si="631"/>
        <v>OK</v>
      </c>
      <c r="DE487" s="153" t="str">
        <f t="shared" si="632"/>
        <v>OK</v>
      </c>
      <c r="DF487" s="314" t="str">
        <f t="shared" si="633"/>
        <v>OK</v>
      </c>
      <c r="DG487" s="482" t="str">
        <f t="shared" si="647"/>
        <v>OK</v>
      </c>
      <c r="DH487" s="482" t="str">
        <f>IF(OR(AND(T487='Adjustment factors'!$R$28,'Class 3, 5-9'!U487='Adjustment factors'!$R$29),AND('Class 3, 5-9'!T487='Adjustment factors'!$R$29,'Class 3, 5-9'!U487='Adjustment factors'!$R$28)),"Invalid combination of adjustment factors",IF(AND(T487=U487,NOT(ISBLANK(T487)),NOT(ISBLANK(U487))),"Same colour factor selected twice","OK"))</f>
        <v>OK</v>
      </c>
      <c r="DI487" s="313" t="str">
        <f t="shared" si="634"/>
        <v>OK</v>
      </c>
      <c r="DJ487" s="153" t="str">
        <f t="shared" si="578"/>
        <v>OK</v>
      </c>
      <c r="DK487" s="153" t="str">
        <f t="shared" si="635"/>
        <v>OK</v>
      </c>
      <c r="DL487" s="313" t="str">
        <f t="shared" si="636"/>
        <v>OK</v>
      </c>
      <c r="DM487" s="153" t="str">
        <f t="shared" si="637"/>
        <v>OK</v>
      </c>
      <c r="DN487" s="153" t="str">
        <f t="shared" si="579"/>
        <v>OK</v>
      </c>
      <c r="DO487" s="154" t="str">
        <f t="shared" si="580"/>
        <v>OK</v>
      </c>
      <c r="DP487" s="153" t="str">
        <f t="shared" si="638"/>
        <v>OK</v>
      </c>
      <c r="DQ487" s="313" t="str">
        <f t="shared" si="639"/>
        <v>OK</v>
      </c>
      <c r="DR487" s="153" t="str">
        <f t="shared" si="581"/>
        <v>OK</v>
      </c>
      <c r="DS487" s="153" t="str">
        <f t="shared" si="640"/>
        <v>OK</v>
      </c>
      <c r="DT487" s="313" t="str">
        <f t="shared" si="598"/>
        <v>OK</v>
      </c>
      <c r="DU487" s="153" t="str">
        <f t="shared" si="641"/>
        <v>OK</v>
      </c>
      <c r="DV487" s="153" t="str">
        <f t="shared" si="582"/>
        <v>OK</v>
      </c>
      <c r="DW487" s="154" t="str">
        <f t="shared" si="583"/>
        <v>OK</v>
      </c>
      <c r="DX487" s="157">
        <f t="shared" si="584"/>
        <v>0</v>
      </c>
      <c r="DY487" s="156" t="str">
        <f t="shared" si="585"/>
        <v>OK</v>
      </c>
    </row>
    <row r="488" spans="1:129" ht="13" hidden="1" x14ac:dyDescent="0.3">
      <c r="A488" s="333"/>
      <c r="B488" s="333"/>
      <c r="C488" s="332" t="str">
        <f t="shared" si="593"/>
        <v>-</v>
      </c>
      <c r="D488" s="584">
        <f t="shared" si="597"/>
        <v>465</v>
      </c>
      <c r="E488" s="585"/>
      <c r="F488" s="586"/>
      <c r="G488" s="600"/>
      <c r="H488" s="587"/>
      <c r="I488" s="601"/>
      <c r="J488" s="585"/>
      <c r="K488" s="617"/>
      <c r="L488" s="602"/>
      <c r="M488" s="603"/>
      <c r="N488" s="588"/>
      <c r="O488" s="604"/>
      <c r="P488" s="605"/>
      <c r="Q488" s="588"/>
      <c r="R488" s="604"/>
      <c r="S488" s="605"/>
      <c r="T488" s="606"/>
      <c r="U488" s="606"/>
      <c r="V488" s="429" t="str">
        <f t="shared" si="590"/>
        <v/>
      </c>
      <c r="W488" s="430" t="str">
        <f t="shared" si="589"/>
        <v/>
      </c>
      <c r="X488" s="66" t="str">
        <f>IF(AND(ISNUMBER(P488),N488=FixedDim),MAX('Adjustment factors'!$S$16,0.2+0.8*P488),IF(ISTEXT(N488),VLOOKUP(N488,Afactors,2,TRUE),""))</f>
        <v/>
      </c>
      <c r="Y488" s="17" t="str">
        <f>IF(AND(ISNUMBER(S488),Q488=FixedDim),MAX('Adjustment factors'!$S$16,0.2+0.8*S488),IF(ISTEXT(Q488),VLOOKUP(Q488,Afactors,2,TRUE),""))</f>
        <v/>
      </c>
      <c r="Z488" s="297" t="str">
        <f>IF(ISBLANK(T488),"",VLOOKUP(T488,'Adjustment factors'!$R$27:$S$30,2,TRUE))</f>
        <v/>
      </c>
      <c r="AA488" s="297" t="str">
        <f>IF(ISBLANK(U488),"",VLOOKUP(U488,'Adjustment factors'!$R$27:$S$30,2,TRUE))</f>
        <v/>
      </c>
      <c r="AB488" s="480">
        <f t="shared" si="642"/>
        <v>1</v>
      </c>
      <c r="AC488" s="18" t="b">
        <f t="shared" si="599"/>
        <v>0</v>
      </c>
      <c r="AD488" s="18" t="b">
        <f t="shared" si="600"/>
        <v>0</v>
      </c>
      <c r="AE488" s="18" t="b">
        <f t="shared" si="586"/>
        <v>0</v>
      </c>
      <c r="AF488" s="17" t="str">
        <f t="shared" si="601"/>
        <v/>
      </c>
      <c r="AG488" s="18" t="str">
        <f t="shared" si="602"/>
        <v/>
      </c>
      <c r="AH488" s="17" t="str">
        <f t="shared" si="587"/>
        <v/>
      </c>
      <c r="AI488" s="297" t="e">
        <f t="shared" si="643"/>
        <v>#VALUE!</v>
      </c>
      <c r="AJ488" s="79" t="e">
        <f t="shared" si="603"/>
        <v>#VALUE!</v>
      </c>
      <c r="AK488" s="17" t="str">
        <f t="shared" si="588"/>
        <v/>
      </c>
      <c r="AL488" s="80" t="e">
        <f t="shared" si="604"/>
        <v>#VALUE!</v>
      </c>
      <c r="AM488" s="139" t="b">
        <f t="shared" si="605"/>
        <v>1</v>
      </c>
      <c r="AN488" s="139" t="b">
        <f>AND(COUNTA(E488)&gt;0,ISNUMBER(F488),OR(COUNT(G488:H488)=0,COUNT(G488:H488)=2,AND(ISNUMBER(G488),ISNUMBER(VALUE(LEFT(H488,SUM(LEN(H488)-LEN(SUBSTITUTE(H488,{"0","1","2","3","4","5","6","7","8","9","."},"")))))))),ISNUMBER(I488),ISTEXT(J488))</f>
        <v>0</v>
      </c>
      <c r="AO488" s="19" t="b">
        <f t="shared" si="606"/>
        <v>0</v>
      </c>
      <c r="AP488" s="19" t="b">
        <f t="shared" si="607"/>
        <v>1</v>
      </c>
      <c r="AQ488" s="19" t="b">
        <f>IF(AND(COUNTBLANK(E488:J488)=6,OR(AN489:AN$523)),NOT(AN488))</f>
        <v>0</v>
      </c>
      <c r="AR488" s="19" t="str">
        <f t="shared" si="608"/>
        <v/>
      </c>
      <c r="AS488" s="19" t="b">
        <f t="shared" si="609"/>
        <v>1</v>
      </c>
      <c r="AT488" s="19" t="str">
        <f t="shared" si="610"/>
        <v/>
      </c>
      <c r="AU488" s="19" t="b">
        <f t="shared" si="611"/>
        <v>1</v>
      </c>
      <c r="AV488" s="140" t="str">
        <f t="shared" si="570"/>
        <v/>
      </c>
      <c r="AW488" s="19" t="str">
        <f t="shared" si="612"/>
        <v/>
      </c>
      <c r="AX488" s="81">
        <f t="shared" si="613"/>
        <v>0</v>
      </c>
      <c r="AY488" s="81" t="str">
        <f t="shared" si="614"/>
        <v/>
      </c>
      <c r="AZ488" s="307" t="str">
        <f t="shared" si="644"/>
        <v/>
      </c>
      <c r="BA488" s="281" t="str">
        <f t="shared" si="571"/>
        <v/>
      </c>
      <c r="BB488" s="281" t="str">
        <f t="shared" si="572"/>
        <v/>
      </c>
      <c r="BC488" s="953"/>
      <c r="BD488" s="955"/>
      <c r="BE488" s="219" t="str">
        <f t="shared" si="615"/>
        <v>n/a</v>
      </c>
      <c r="BF488" s="215" t="b">
        <f t="shared" si="616"/>
        <v>0</v>
      </c>
      <c r="BG488" s="145" t="b">
        <f t="shared" si="617"/>
        <v>0</v>
      </c>
      <c r="BH488" s="145" t="b">
        <f t="shared" si="618"/>
        <v>0</v>
      </c>
      <c r="BI488" s="216" t="b">
        <f t="shared" si="619"/>
        <v>0</v>
      </c>
      <c r="BJ488" s="215" t="b">
        <f t="shared" si="620"/>
        <v>0</v>
      </c>
      <c r="BK488" s="145" t="b">
        <f t="shared" si="621"/>
        <v>0</v>
      </c>
      <c r="BL488" s="216" t="b">
        <f t="shared" si="622"/>
        <v>0</v>
      </c>
      <c r="BM488" s="217" t="str">
        <f t="shared" si="573"/>
        <v/>
      </c>
      <c r="BN488" s="146" t="str">
        <f t="shared" si="574"/>
        <v/>
      </c>
      <c r="BO488" s="147" t="str">
        <f t="shared" si="575"/>
        <v/>
      </c>
      <c r="BP488" s="148" t="str">
        <f t="shared" si="576"/>
        <v/>
      </c>
      <c r="BT488" s="50">
        <f t="shared" si="596"/>
        <v>465</v>
      </c>
      <c r="BU488" s="50" t="str">
        <f t="shared" si="592"/>
        <v>-</v>
      </c>
      <c r="BW488" s="340"/>
      <c r="BX488" s="333"/>
      <c r="BY488" s="333"/>
      <c r="BZ488" s="333"/>
      <c r="CA488" s="333"/>
      <c r="CB488" s="333"/>
      <c r="CC488" s="333"/>
      <c r="CD488" s="333"/>
      <c r="CE488" s="333"/>
      <c r="CF488" s="333"/>
      <c r="CG488" s="354">
        <f t="shared" si="623"/>
        <v>465</v>
      </c>
      <c r="CH488" s="613">
        <f t="shared" si="624"/>
        <v>0</v>
      </c>
      <c r="CI488" s="613">
        <f t="shared" si="625"/>
        <v>0</v>
      </c>
      <c r="CJ488" s="614" t="str">
        <f t="shared" si="626"/>
        <v/>
      </c>
      <c r="CK488" s="615" t="str">
        <f t="shared" si="627"/>
        <v/>
      </c>
      <c r="CL488" s="610" t="str">
        <f>IF(ISBLANK(H488),"",IF(AND(ISNUMBER(F488),ISNUMBER(G488),ISNUMBER(H488)),ROUND(F488/(H488*G488),2),ROUND(F488/(VALUE(LEFT(H488,SUM(LEN(H488)-LEN(SUBSTITUTE(H488,{"0","1","2","3","4","5","6","7","8","9","."},"")))))*G488),2)))</f>
        <v/>
      </c>
      <c r="CM488" s="616" t="str">
        <f t="shared" si="577"/>
        <v/>
      </c>
      <c r="CN488" s="616" t="str">
        <f>IF(ISNUMBER(P488),MAX('Adjustment factors'!$S$16,(0.2+0.8*P488)),IF(ISTEXT(N488),VLOOKUP(N488,Afactors,2,FALSE),""))</f>
        <v/>
      </c>
      <c r="CO488" s="616" t="str">
        <f>IF(ISNUMBER(S488),MAX('Adjustment factors'!$S$16,0.2+0.8*S488),IF(ISTEXT(Q488),VLOOKUP(Q488,Afactors,2,FALSE),""))</f>
        <v/>
      </c>
      <c r="CP488" s="611" t="str">
        <f t="shared" si="645"/>
        <v/>
      </c>
      <c r="CQ488" s="612" t="str">
        <f t="shared" si="646"/>
        <v/>
      </c>
      <c r="CR488" s="340"/>
      <c r="CS488" s="340"/>
      <c r="CT488" s="340"/>
      <c r="CU488" s="340"/>
      <c r="CV488" s="333"/>
      <c r="CW488" s="333"/>
      <c r="CX488" s="333"/>
      <c r="CY488" s="333"/>
      <c r="DA488" s="313" t="str">
        <f t="shared" si="628"/>
        <v>OK</v>
      </c>
      <c r="DB488" s="313" t="str">
        <f t="shared" si="629"/>
        <v>OK</v>
      </c>
      <c r="DC488" s="313" t="str">
        <f t="shared" si="630"/>
        <v>OK</v>
      </c>
      <c r="DD488" s="313" t="str">
        <f t="shared" si="631"/>
        <v>OK</v>
      </c>
      <c r="DE488" s="153" t="str">
        <f t="shared" si="632"/>
        <v>OK</v>
      </c>
      <c r="DF488" s="314" t="str">
        <f t="shared" si="633"/>
        <v>OK</v>
      </c>
      <c r="DG488" s="482" t="str">
        <f t="shared" si="647"/>
        <v>OK</v>
      </c>
      <c r="DH488" s="482" t="str">
        <f>IF(OR(AND(T488='Adjustment factors'!$R$28,'Class 3, 5-9'!U488='Adjustment factors'!$R$29),AND('Class 3, 5-9'!T488='Adjustment factors'!$R$29,'Class 3, 5-9'!U488='Adjustment factors'!$R$28)),"Invalid combination of adjustment factors",IF(AND(T488=U488,NOT(ISBLANK(T488)),NOT(ISBLANK(U488))),"Same colour factor selected twice","OK"))</f>
        <v>OK</v>
      </c>
      <c r="DI488" s="313" t="str">
        <f t="shared" si="634"/>
        <v>OK</v>
      </c>
      <c r="DJ488" s="153" t="str">
        <f t="shared" si="578"/>
        <v>OK</v>
      </c>
      <c r="DK488" s="153" t="str">
        <f t="shared" si="635"/>
        <v>OK</v>
      </c>
      <c r="DL488" s="313" t="str">
        <f t="shared" si="636"/>
        <v>OK</v>
      </c>
      <c r="DM488" s="153" t="str">
        <f t="shared" si="637"/>
        <v>OK</v>
      </c>
      <c r="DN488" s="153" t="str">
        <f t="shared" si="579"/>
        <v>OK</v>
      </c>
      <c r="DO488" s="154" t="str">
        <f t="shared" si="580"/>
        <v>OK</v>
      </c>
      <c r="DP488" s="153" t="str">
        <f t="shared" si="638"/>
        <v>OK</v>
      </c>
      <c r="DQ488" s="313" t="str">
        <f t="shared" si="639"/>
        <v>OK</v>
      </c>
      <c r="DR488" s="153" t="str">
        <f t="shared" si="581"/>
        <v>OK</v>
      </c>
      <c r="DS488" s="153" t="str">
        <f t="shared" si="640"/>
        <v>OK</v>
      </c>
      <c r="DT488" s="313" t="str">
        <f t="shared" si="598"/>
        <v>OK</v>
      </c>
      <c r="DU488" s="153" t="str">
        <f t="shared" si="641"/>
        <v>OK</v>
      </c>
      <c r="DV488" s="153" t="str">
        <f t="shared" si="582"/>
        <v>OK</v>
      </c>
      <c r="DW488" s="154" t="str">
        <f t="shared" si="583"/>
        <v>OK</v>
      </c>
      <c r="DX488" s="157">
        <f t="shared" si="584"/>
        <v>0</v>
      </c>
      <c r="DY488" s="156" t="str">
        <f t="shared" si="585"/>
        <v>OK</v>
      </c>
    </row>
    <row r="489" spans="1:129" ht="13" hidden="1" x14ac:dyDescent="0.3">
      <c r="A489" s="333"/>
      <c r="B489" s="333"/>
      <c r="C489" s="332" t="str">
        <f t="shared" si="593"/>
        <v>-</v>
      </c>
      <c r="D489" s="584">
        <f t="shared" si="597"/>
        <v>466</v>
      </c>
      <c r="E489" s="585"/>
      <c r="F489" s="586"/>
      <c r="G489" s="600"/>
      <c r="H489" s="587"/>
      <c r="I489" s="601"/>
      <c r="J489" s="585"/>
      <c r="K489" s="617"/>
      <c r="L489" s="602"/>
      <c r="M489" s="603"/>
      <c r="N489" s="588"/>
      <c r="O489" s="604"/>
      <c r="P489" s="605"/>
      <c r="Q489" s="588"/>
      <c r="R489" s="604"/>
      <c r="S489" s="605"/>
      <c r="T489" s="606"/>
      <c r="U489" s="606"/>
      <c r="V489" s="429" t="str">
        <f t="shared" si="590"/>
        <v/>
      </c>
      <c r="W489" s="430" t="str">
        <f t="shared" si="589"/>
        <v/>
      </c>
      <c r="X489" s="66" t="str">
        <f>IF(AND(ISNUMBER(P489),N489=FixedDim),MAX('Adjustment factors'!$S$16,0.2+0.8*P489),IF(ISTEXT(N489),VLOOKUP(N489,Afactors,2,TRUE),""))</f>
        <v/>
      </c>
      <c r="Y489" s="17" t="str">
        <f>IF(AND(ISNUMBER(S489),Q489=FixedDim),MAX('Adjustment factors'!$S$16,0.2+0.8*S489),IF(ISTEXT(Q489),VLOOKUP(Q489,Afactors,2,TRUE),""))</f>
        <v/>
      </c>
      <c r="Z489" s="297" t="str">
        <f>IF(ISBLANK(T489),"",VLOOKUP(T489,'Adjustment factors'!$R$27:$S$30,2,TRUE))</f>
        <v/>
      </c>
      <c r="AA489" s="297" t="str">
        <f>IF(ISBLANK(U489),"",VLOOKUP(U489,'Adjustment factors'!$R$27:$S$30,2,TRUE))</f>
        <v/>
      </c>
      <c r="AB489" s="480">
        <f t="shared" si="642"/>
        <v>1</v>
      </c>
      <c r="AC489" s="18" t="b">
        <f t="shared" si="599"/>
        <v>0</v>
      </c>
      <c r="AD489" s="18" t="b">
        <f t="shared" si="600"/>
        <v>0</v>
      </c>
      <c r="AE489" s="18" t="b">
        <f t="shared" si="586"/>
        <v>0</v>
      </c>
      <c r="AF489" s="17" t="str">
        <f t="shared" si="601"/>
        <v/>
      </c>
      <c r="AG489" s="18" t="str">
        <f t="shared" si="602"/>
        <v/>
      </c>
      <c r="AH489" s="17" t="str">
        <f t="shared" si="587"/>
        <v/>
      </c>
      <c r="AI489" s="297" t="e">
        <f t="shared" si="643"/>
        <v>#VALUE!</v>
      </c>
      <c r="AJ489" s="79" t="e">
        <f t="shared" si="603"/>
        <v>#VALUE!</v>
      </c>
      <c r="AK489" s="17" t="str">
        <f t="shared" si="588"/>
        <v/>
      </c>
      <c r="AL489" s="80" t="e">
        <f t="shared" si="604"/>
        <v>#VALUE!</v>
      </c>
      <c r="AM489" s="139" t="b">
        <f t="shared" si="605"/>
        <v>1</v>
      </c>
      <c r="AN489" s="139" t="b">
        <f>AND(COUNTA(E489)&gt;0,ISNUMBER(F489),OR(COUNT(G489:H489)=0,COUNT(G489:H489)=2,AND(ISNUMBER(G489),ISNUMBER(VALUE(LEFT(H489,SUM(LEN(H489)-LEN(SUBSTITUTE(H489,{"0","1","2","3","4","5","6","7","8","9","."},"")))))))),ISNUMBER(I489),ISTEXT(J489))</f>
        <v>0</v>
      </c>
      <c r="AO489" s="19" t="b">
        <f t="shared" si="606"/>
        <v>0</v>
      </c>
      <c r="AP489" s="19" t="b">
        <f t="shared" si="607"/>
        <v>1</v>
      </c>
      <c r="AQ489" s="19" t="b">
        <f>IF(AND(COUNTBLANK(E489:J489)=6,OR(AN490:AN$523)),NOT(AN489))</f>
        <v>0</v>
      </c>
      <c r="AR489" s="19" t="str">
        <f t="shared" si="608"/>
        <v/>
      </c>
      <c r="AS489" s="19" t="b">
        <f t="shared" si="609"/>
        <v>1</v>
      </c>
      <c r="AT489" s="19" t="str">
        <f t="shared" si="610"/>
        <v/>
      </c>
      <c r="AU489" s="19" t="b">
        <f t="shared" si="611"/>
        <v>1</v>
      </c>
      <c r="AV489" s="140" t="str">
        <f t="shared" ref="AV489:AV523" si="648">IF(AND(AM489,AN489,AR489,AT489),IF(ISNUMBER(AG489),ROUND(AL489,0),ROUND(AJ489,0)),"")</f>
        <v/>
      </c>
      <c r="AW489" s="19" t="str">
        <f t="shared" si="612"/>
        <v/>
      </c>
      <c r="AX489" s="81">
        <f t="shared" si="613"/>
        <v>0</v>
      </c>
      <c r="AY489" s="81" t="str">
        <f t="shared" si="614"/>
        <v/>
      </c>
      <c r="AZ489" s="307" t="str">
        <f t="shared" si="644"/>
        <v/>
      </c>
      <c r="BA489" s="281" t="str">
        <f t="shared" ref="BA489:BA523" si="649">IF(DI489&lt;&gt;"OK",DI489,IF(DJ489&lt;&gt;"OK",DJ489,IF(DK489&lt;&gt;"OK",DK489,IF(DL489&lt;&gt;"OK",DL489,IF(DM489&lt;&gt;"OK",DM489,IF(DN489&lt;&gt;"OK",DN489,IF(DO489&lt;&gt;"OK",DO489,BB489)))))))</f>
        <v/>
      </c>
      <c r="BB489" s="281" t="str">
        <f t="shared" ref="BB489:BB523" si="650">IF(DP489&lt;&gt;"OK",DP489,IF(DQ489&lt;&gt;"OK",DQ489,IF(DR489&lt;&gt;"OK",DR489,IF(DS489&lt;&gt;"OK",DS489,IF(DT489&lt;&gt;"OK",DT489,IF(DU489&lt;&gt;"OK",DU489,IF(DV489&lt;&gt;"OK",DV489,IF(DW489&lt;&gt;"OK",DW489,IF(DY489&lt;&gt;"OK",DY489,"")))))))))</f>
        <v/>
      </c>
      <c r="BC489" s="953"/>
      <c r="BD489" s="955"/>
      <c r="BE489" s="219" t="str">
        <f t="shared" si="615"/>
        <v>n/a</v>
      </c>
      <c r="BF489" s="215" t="b">
        <f t="shared" si="616"/>
        <v>0</v>
      </c>
      <c r="BG489" s="145" t="b">
        <f t="shared" si="617"/>
        <v>0</v>
      </c>
      <c r="BH489" s="145" t="b">
        <f t="shared" si="618"/>
        <v>0</v>
      </c>
      <c r="BI489" s="216" t="b">
        <f t="shared" si="619"/>
        <v>0</v>
      </c>
      <c r="BJ489" s="215" t="b">
        <f t="shared" si="620"/>
        <v>0</v>
      </c>
      <c r="BK489" s="145" t="b">
        <f t="shared" si="621"/>
        <v>0</v>
      </c>
      <c r="BL489" s="216" t="b">
        <f t="shared" si="622"/>
        <v>0</v>
      </c>
      <c r="BM489" s="217" t="str">
        <f t="shared" ref="BM489:BM523" si="651">IF(AN489,AX489/ADIPLone,"")</f>
        <v/>
      </c>
      <c r="BN489" s="146" t="str">
        <f t="shared" ref="BN489:BN523" si="652">IF(AN489,percentage,"")</f>
        <v/>
      </c>
      <c r="BO489" s="147" t="str">
        <f t="shared" ref="BO489:BO523" si="653">IF(AN489,MIPDLONE&gt;=ADIPLone,"")</f>
        <v/>
      </c>
      <c r="BP489" s="148" t="str">
        <f t="shared" ref="BP489:BP523" si="654">IF(AND(AN489,AR489,AT489),TEXT(BM489,"0%")&amp;" of "&amp;TEXT(BN489*100,"General")&amp;"%","")</f>
        <v/>
      </c>
      <c r="BT489" s="50">
        <f t="shared" si="596"/>
        <v>466</v>
      </c>
      <c r="BU489" s="50" t="str">
        <f t="shared" si="592"/>
        <v>-</v>
      </c>
      <c r="BW489" s="340"/>
      <c r="BX489" s="333"/>
      <c r="BY489" s="333"/>
      <c r="BZ489" s="333"/>
      <c r="CA489" s="333"/>
      <c r="CB489" s="333"/>
      <c r="CC489" s="333"/>
      <c r="CD489" s="333"/>
      <c r="CE489" s="333"/>
      <c r="CF489" s="333"/>
      <c r="CG489" s="354">
        <f t="shared" si="623"/>
        <v>466</v>
      </c>
      <c r="CH489" s="613">
        <f t="shared" si="624"/>
        <v>0</v>
      </c>
      <c r="CI489" s="613">
        <f t="shared" si="625"/>
        <v>0</v>
      </c>
      <c r="CJ489" s="614" t="str">
        <f t="shared" si="626"/>
        <v/>
      </c>
      <c r="CK489" s="615" t="str">
        <f t="shared" si="627"/>
        <v/>
      </c>
      <c r="CL489" s="610" t="str">
        <f>IF(ISBLANK(H489),"",IF(AND(ISNUMBER(F489),ISNUMBER(G489),ISNUMBER(H489)),ROUND(F489/(H489*G489),2),ROUND(F489/(VALUE(LEFT(H489,SUM(LEN(H489)-LEN(SUBSTITUTE(H489,{"0","1","2","3","4","5","6","7","8","9","."},"")))))*G489),2)))</f>
        <v/>
      </c>
      <c r="CM489" s="616" t="str">
        <f t="shared" ref="CM489:CM523" si="655">IF(CL489&lt;1.5,ROUND(0.5+CL489/3,2),"")</f>
        <v/>
      </c>
      <c r="CN489" s="616" t="str">
        <f>IF(ISNUMBER(P489),MAX('Adjustment factors'!$S$16,(0.2+0.8*P489)),IF(ISTEXT(N489),VLOOKUP(N489,Afactors,2,FALSE),""))</f>
        <v/>
      </c>
      <c r="CO489" s="616" t="str">
        <f>IF(ISNUMBER(S489),MAX('Adjustment factors'!$S$16,0.2+0.8*S489),IF(ISTEXT(Q489),VLOOKUP(Q489,Afactors,2,FALSE),""))</f>
        <v/>
      </c>
      <c r="CP489" s="611" t="str">
        <f t="shared" si="645"/>
        <v/>
      </c>
      <c r="CQ489" s="612" t="str">
        <f t="shared" si="646"/>
        <v/>
      </c>
      <c r="CR489" s="340"/>
      <c r="CS489" s="340"/>
      <c r="CT489" s="340"/>
      <c r="CU489" s="340"/>
      <c r="CV489" s="333"/>
      <c r="CW489" s="333"/>
      <c r="CX489" s="333"/>
      <c r="CY489" s="333"/>
      <c r="DA489" s="313" t="str">
        <f t="shared" si="628"/>
        <v>OK</v>
      </c>
      <c r="DB489" s="313" t="str">
        <f t="shared" si="629"/>
        <v>OK</v>
      </c>
      <c r="DC489" s="313" t="str">
        <f t="shared" si="630"/>
        <v>OK</v>
      </c>
      <c r="DD489" s="313" t="str">
        <f t="shared" si="631"/>
        <v>OK</v>
      </c>
      <c r="DE489" s="153" t="str">
        <f t="shared" si="632"/>
        <v>OK</v>
      </c>
      <c r="DF489" s="314" t="str">
        <f t="shared" si="633"/>
        <v>OK</v>
      </c>
      <c r="DG489" s="482" t="str">
        <f t="shared" si="647"/>
        <v>OK</v>
      </c>
      <c r="DH489" s="482" t="str">
        <f>IF(OR(AND(T489='Adjustment factors'!$R$28,'Class 3, 5-9'!U489='Adjustment factors'!$R$29),AND('Class 3, 5-9'!T489='Adjustment factors'!$R$29,'Class 3, 5-9'!U489='Adjustment factors'!$R$28)),"Invalid combination of adjustment factors",IF(AND(T489=U489,NOT(ISBLANK(T489)),NOT(ISBLANK(U489))),"Same colour factor selected twice","OK"))</f>
        <v>OK</v>
      </c>
      <c r="DI489" s="313" t="str">
        <f t="shared" si="634"/>
        <v>OK</v>
      </c>
      <c r="DJ489" s="153" t="str">
        <f t="shared" ref="DJ489:DJ523" si="656">"OK"</f>
        <v>OK</v>
      </c>
      <c r="DK489" s="153" t="str">
        <f t="shared" si="635"/>
        <v>OK</v>
      </c>
      <c r="DL489" s="313" t="str">
        <f t="shared" si="636"/>
        <v>OK</v>
      </c>
      <c r="DM489" s="153" t="str">
        <f t="shared" si="637"/>
        <v>OK</v>
      </c>
      <c r="DN489" s="153" t="str">
        <f t="shared" ref="DN489:DN523" si="657">IF(ISNUMBER(FIND("NA",$N489)),"Adjustment Factor not applicable","OK")</f>
        <v>OK</v>
      </c>
      <c r="DO489" s="154" t="str">
        <f t="shared" ref="DO489:DO523" si="658">"OK"</f>
        <v>OK</v>
      </c>
      <c r="DP489" s="153" t="str">
        <f t="shared" si="638"/>
        <v>OK</v>
      </c>
      <c r="DQ489" s="313" t="str">
        <f t="shared" si="639"/>
        <v>OK</v>
      </c>
      <c r="DR489" s="153" t="str">
        <f t="shared" ref="DR489:DR523" si="659">"OK"</f>
        <v>OK</v>
      </c>
      <c r="DS489" s="153" t="str">
        <f t="shared" si="640"/>
        <v>OK</v>
      </c>
      <c r="DT489" s="313" t="str">
        <f t="shared" si="598"/>
        <v>OK</v>
      </c>
      <c r="DU489" s="153" t="str">
        <f t="shared" si="641"/>
        <v>OK</v>
      </c>
      <c r="DV489" s="153" t="str">
        <f t="shared" ref="DV489:DV523" si="660">IF(ISNUMBER(FIND("NA",$Q489)),"Adjustment Factor not applicable","OK")</f>
        <v>OK</v>
      </c>
      <c r="DW489" s="154" t="str">
        <f t="shared" ref="DW489:DW523" si="661">"OK"</f>
        <v>OK</v>
      </c>
      <c r="DX489" s="157">
        <f t="shared" ref="DX489:DX523" si="662">COUNTIF(DA489:DW489,"&lt;&gt;OK")</f>
        <v>0</v>
      </c>
      <c r="DY489" s="156" t="str">
        <f t="shared" ref="DY489:DY523" si="663">IF(AQ489,"ROW SKIPPED (OK if intentional)","OK")</f>
        <v>OK</v>
      </c>
    </row>
    <row r="490" spans="1:129" ht="13" hidden="1" x14ac:dyDescent="0.3">
      <c r="A490" s="333"/>
      <c r="B490" s="333"/>
      <c r="C490" s="332" t="str">
        <f t="shared" si="593"/>
        <v>-</v>
      </c>
      <c r="D490" s="584">
        <f t="shared" si="597"/>
        <v>467</v>
      </c>
      <c r="E490" s="585"/>
      <c r="F490" s="586"/>
      <c r="G490" s="600"/>
      <c r="H490" s="587"/>
      <c r="I490" s="601"/>
      <c r="J490" s="585"/>
      <c r="K490" s="617"/>
      <c r="L490" s="602"/>
      <c r="M490" s="603"/>
      <c r="N490" s="588"/>
      <c r="O490" s="604"/>
      <c r="P490" s="605"/>
      <c r="Q490" s="588"/>
      <c r="R490" s="604"/>
      <c r="S490" s="605"/>
      <c r="T490" s="606"/>
      <c r="U490" s="606"/>
      <c r="V490" s="429" t="str">
        <f t="shared" si="590"/>
        <v/>
      </c>
      <c r="W490" s="430" t="str">
        <f t="shared" si="589"/>
        <v/>
      </c>
      <c r="X490" s="66" t="str">
        <f>IF(AND(ISNUMBER(P490),N490=FixedDim),MAX('Adjustment factors'!$S$16,0.2+0.8*P490),IF(ISTEXT(N490),VLOOKUP(N490,Afactors,2,TRUE),""))</f>
        <v/>
      </c>
      <c r="Y490" s="17" t="str">
        <f>IF(AND(ISNUMBER(S490),Q490=FixedDim),MAX('Adjustment factors'!$S$16,0.2+0.8*S490),IF(ISTEXT(Q490),VLOOKUP(Q490,Afactors,2,TRUE),""))</f>
        <v/>
      </c>
      <c r="Z490" s="297" t="str">
        <f>IF(ISBLANK(T490),"",VLOOKUP(T490,'Adjustment factors'!$R$27:$S$30,2,TRUE))</f>
        <v/>
      </c>
      <c r="AA490" s="297" t="str">
        <f>IF(ISBLANK(U490),"",VLOOKUP(U490,'Adjustment factors'!$R$27:$S$30,2,TRUE))</f>
        <v/>
      </c>
      <c r="AB490" s="480">
        <f t="shared" si="642"/>
        <v>1</v>
      </c>
      <c r="AC490" s="18" t="b">
        <f t="shared" si="599"/>
        <v>0</v>
      </c>
      <c r="AD490" s="18" t="b">
        <f t="shared" si="600"/>
        <v>0</v>
      </c>
      <c r="AE490" s="18" t="b">
        <f t="shared" ref="AE490:AE523" si="664">ISNUMBER(CM490)</f>
        <v>0</v>
      </c>
      <c r="AF490" s="17" t="str">
        <f t="shared" si="601"/>
        <v/>
      </c>
      <c r="AG490" s="18" t="str">
        <f t="shared" si="602"/>
        <v/>
      </c>
      <c r="AH490" s="17" t="str">
        <f t="shared" ref="AH490:AH523" si="665">IF(AE490,CK490/CM490,"")</f>
        <v/>
      </c>
      <c r="AI490" s="297" t="e">
        <f t="shared" si="643"/>
        <v>#VALUE!</v>
      </c>
      <c r="AJ490" s="79" t="e">
        <f t="shared" si="603"/>
        <v>#VALUE!</v>
      </c>
      <c r="AK490" s="17" t="str">
        <f t="shared" si="588"/>
        <v/>
      </c>
      <c r="AL490" s="80" t="e">
        <f t="shared" si="604"/>
        <v>#VALUE!</v>
      </c>
      <c r="AM490" s="139" t="b">
        <f t="shared" si="605"/>
        <v>1</v>
      </c>
      <c r="AN490" s="139" t="b">
        <f>AND(COUNTA(E490)&gt;0,ISNUMBER(F490),OR(COUNT(G490:H490)=0,COUNT(G490:H490)=2,AND(ISNUMBER(G490),ISNUMBER(VALUE(LEFT(H490,SUM(LEN(H490)-LEN(SUBSTITUTE(H490,{"0","1","2","3","4","5","6","7","8","9","."},"")))))))),ISNUMBER(I490),ISTEXT(J490))</f>
        <v>0</v>
      </c>
      <c r="AO490" s="19" t="b">
        <f t="shared" si="606"/>
        <v>0</v>
      </c>
      <c r="AP490" s="19" t="b">
        <f t="shared" si="607"/>
        <v>1</v>
      </c>
      <c r="AQ490" s="19" t="b">
        <f>IF(AND(COUNTBLANK(E490:J490)=6,OR(AN491:AN$523)),NOT(AN490))</f>
        <v>0</v>
      </c>
      <c r="AR490" s="19" t="str">
        <f t="shared" si="608"/>
        <v/>
      </c>
      <c r="AS490" s="19" t="b">
        <f t="shared" si="609"/>
        <v>1</v>
      </c>
      <c r="AT490" s="19" t="str">
        <f t="shared" si="610"/>
        <v/>
      </c>
      <c r="AU490" s="19" t="b">
        <f t="shared" si="611"/>
        <v>1</v>
      </c>
      <c r="AV490" s="140" t="str">
        <f t="shared" si="648"/>
        <v/>
      </c>
      <c r="AW490" s="19" t="str">
        <f t="shared" si="612"/>
        <v/>
      </c>
      <c r="AX490" s="81">
        <f t="shared" si="613"/>
        <v>0</v>
      </c>
      <c r="AY490" s="81" t="str">
        <f t="shared" si="614"/>
        <v/>
      </c>
      <c r="AZ490" s="307" t="str">
        <f t="shared" si="644"/>
        <v/>
      </c>
      <c r="BA490" s="281" t="str">
        <f t="shared" si="649"/>
        <v/>
      </c>
      <c r="BB490" s="281" t="str">
        <f t="shared" si="650"/>
        <v/>
      </c>
      <c r="BC490" s="953"/>
      <c r="BD490" s="955"/>
      <c r="BE490" s="219" t="str">
        <f t="shared" si="615"/>
        <v>n/a</v>
      </c>
      <c r="BF490" s="215" t="b">
        <f t="shared" si="616"/>
        <v>0</v>
      </c>
      <c r="BG490" s="145" t="b">
        <f t="shared" si="617"/>
        <v>0</v>
      </c>
      <c r="BH490" s="145" t="b">
        <f t="shared" si="618"/>
        <v>0</v>
      </c>
      <c r="BI490" s="216" t="b">
        <f t="shared" si="619"/>
        <v>0</v>
      </c>
      <c r="BJ490" s="215" t="b">
        <f t="shared" si="620"/>
        <v>0</v>
      </c>
      <c r="BK490" s="145" t="b">
        <f t="shared" si="621"/>
        <v>0</v>
      </c>
      <c r="BL490" s="216" t="b">
        <f t="shared" si="622"/>
        <v>0</v>
      </c>
      <c r="BM490" s="217" t="str">
        <f t="shared" si="651"/>
        <v/>
      </c>
      <c r="BN490" s="146" t="str">
        <f t="shared" si="652"/>
        <v/>
      </c>
      <c r="BO490" s="147" t="str">
        <f t="shared" si="653"/>
        <v/>
      </c>
      <c r="BP490" s="148" t="str">
        <f t="shared" si="654"/>
        <v/>
      </c>
      <c r="BT490" s="50">
        <f t="shared" si="596"/>
        <v>467</v>
      </c>
      <c r="BU490" s="50" t="str">
        <f t="shared" si="592"/>
        <v>-</v>
      </c>
      <c r="BW490" s="340"/>
      <c r="BX490" s="333"/>
      <c r="BY490" s="333"/>
      <c r="BZ490" s="333"/>
      <c r="CA490" s="333"/>
      <c r="CB490" s="333"/>
      <c r="CC490" s="333"/>
      <c r="CD490" s="333"/>
      <c r="CE490" s="333"/>
      <c r="CF490" s="333"/>
      <c r="CG490" s="354">
        <f t="shared" si="623"/>
        <v>467</v>
      </c>
      <c r="CH490" s="613">
        <f t="shared" si="624"/>
        <v>0</v>
      </c>
      <c r="CI490" s="613">
        <f t="shared" si="625"/>
        <v>0</v>
      </c>
      <c r="CJ490" s="614" t="str">
        <f t="shared" si="626"/>
        <v/>
      </c>
      <c r="CK490" s="615" t="str">
        <f t="shared" si="627"/>
        <v/>
      </c>
      <c r="CL490" s="610" t="str">
        <f>IF(ISBLANK(H490),"",IF(AND(ISNUMBER(F490),ISNUMBER(G490),ISNUMBER(H490)),ROUND(F490/(H490*G490),2),ROUND(F490/(VALUE(LEFT(H490,SUM(LEN(H490)-LEN(SUBSTITUTE(H490,{"0","1","2","3","4","5","6","7","8","9","."},"")))))*G490),2)))</f>
        <v/>
      </c>
      <c r="CM490" s="616" t="str">
        <f t="shared" si="655"/>
        <v/>
      </c>
      <c r="CN490" s="616" t="str">
        <f>IF(ISNUMBER(P490),MAX('Adjustment factors'!$S$16,(0.2+0.8*P490)),IF(ISTEXT(N490),VLOOKUP(N490,Afactors,2,FALSE),""))</f>
        <v/>
      </c>
      <c r="CO490" s="616" t="str">
        <f>IF(ISNUMBER(S490),MAX('Adjustment factors'!$S$16,0.2+0.8*S490),IF(ISTEXT(Q490),VLOOKUP(Q490,Afactors,2,FALSE),""))</f>
        <v/>
      </c>
      <c r="CP490" s="611" t="str">
        <f t="shared" si="645"/>
        <v/>
      </c>
      <c r="CQ490" s="612" t="str">
        <f t="shared" si="646"/>
        <v/>
      </c>
      <c r="CR490" s="340"/>
      <c r="CS490" s="340"/>
      <c r="CT490" s="340"/>
      <c r="CU490" s="340"/>
      <c r="CV490" s="333"/>
      <c r="CW490" s="333"/>
      <c r="CX490" s="333"/>
      <c r="CY490" s="333"/>
      <c r="DA490" s="313" t="str">
        <f t="shared" si="628"/>
        <v>OK</v>
      </c>
      <c r="DB490" s="313" t="str">
        <f t="shared" si="629"/>
        <v>OK</v>
      </c>
      <c r="DC490" s="313" t="str">
        <f t="shared" si="630"/>
        <v>OK</v>
      </c>
      <c r="DD490" s="313" t="str">
        <f t="shared" si="631"/>
        <v>OK</v>
      </c>
      <c r="DE490" s="153" t="str">
        <f t="shared" si="632"/>
        <v>OK</v>
      </c>
      <c r="DF490" s="314" t="str">
        <f t="shared" si="633"/>
        <v>OK</v>
      </c>
      <c r="DG490" s="482" t="str">
        <f t="shared" si="647"/>
        <v>OK</v>
      </c>
      <c r="DH490" s="482" t="str">
        <f>IF(OR(AND(T490='Adjustment factors'!$R$28,'Class 3, 5-9'!U490='Adjustment factors'!$R$29),AND('Class 3, 5-9'!T490='Adjustment factors'!$R$29,'Class 3, 5-9'!U490='Adjustment factors'!$R$28)),"Invalid combination of adjustment factors",IF(AND(T490=U490,NOT(ISBLANK(T490)),NOT(ISBLANK(U490))),"Same colour factor selected twice","OK"))</f>
        <v>OK</v>
      </c>
      <c r="DI490" s="313" t="str">
        <f t="shared" si="634"/>
        <v>OK</v>
      </c>
      <c r="DJ490" s="153" t="str">
        <f t="shared" si="656"/>
        <v>OK</v>
      </c>
      <c r="DK490" s="153" t="str">
        <f t="shared" si="635"/>
        <v>OK</v>
      </c>
      <c r="DL490" s="313" t="str">
        <f t="shared" si="636"/>
        <v>OK</v>
      </c>
      <c r="DM490" s="153" t="str">
        <f t="shared" si="637"/>
        <v>OK</v>
      </c>
      <c r="DN490" s="153" t="str">
        <f t="shared" si="657"/>
        <v>OK</v>
      </c>
      <c r="DO490" s="154" t="str">
        <f t="shared" si="658"/>
        <v>OK</v>
      </c>
      <c r="DP490" s="153" t="str">
        <f t="shared" si="638"/>
        <v>OK</v>
      </c>
      <c r="DQ490" s="313" t="str">
        <f t="shared" si="639"/>
        <v>OK</v>
      </c>
      <c r="DR490" s="153" t="str">
        <f t="shared" si="659"/>
        <v>OK</v>
      </c>
      <c r="DS490" s="153" t="str">
        <f t="shared" si="640"/>
        <v>OK</v>
      </c>
      <c r="DT490" s="313" t="str">
        <f t="shared" si="598"/>
        <v>OK</v>
      </c>
      <c r="DU490" s="153" t="str">
        <f t="shared" si="641"/>
        <v>OK</v>
      </c>
      <c r="DV490" s="153" t="str">
        <f t="shared" si="660"/>
        <v>OK</v>
      </c>
      <c r="DW490" s="154" t="str">
        <f t="shared" si="661"/>
        <v>OK</v>
      </c>
      <c r="DX490" s="157">
        <f t="shared" si="662"/>
        <v>0</v>
      </c>
      <c r="DY490" s="156" t="str">
        <f t="shared" si="663"/>
        <v>OK</v>
      </c>
    </row>
    <row r="491" spans="1:129" ht="13" hidden="1" x14ac:dyDescent="0.3">
      <c r="A491" s="333"/>
      <c r="B491" s="333"/>
      <c r="C491" s="332" t="str">
        <f t="shared" si="593"/>
        <v>-</v>
      </c>
      <c r="D491" s="584">
        <f t="shared" si="597"/>
        <v>468</v>
      </c>
      <c r="E491" s="585"/>
      <c r="F491" s="586"/>
      <c r="G491" s="600"/>
      <c r="H491" s="587"/>
      <c r="I491" s="601"/>
      <c r="J491" s="585"/>
      <c r="K491" s="617"/>
      <c r="L491" s="602"/>
      <c r="M491" s="603"/>
      <c r="N491" s="588"/>
      <c r="O491" s="604"/>
      <c r="P491" s="605"/>
      <c r="Q491" s="588"/>
      <c r="R491" s="604"/>
      <c r="S491" s="605"/>
      <c r="T491" s="606"/>
      <c r="U491" s="606"/>
      <c r="V491" s="429" t="str">
        <f t="shared" si="590"/>
        <v/>
      </c>
      <c r="W491" s="430" t="str">
        <f t="shared" si="589"/>
        <v/>
      </c>
      <c r="X491" s="66" t="str">
        <f>IF(AND(ISNUMBER(P491),N491=FixedDim),MAX('Adjustment factors'!$S$16,0.2+0.8*P491),IF(ISTEXT(N491),VLOOKUP(N491,Afactors,2,TRUE),""))</f>
        <v/>
      </c>
      <c r="Y491" s="17" t="str">
        <f>IF(AND(ISNUMBER(S491),Q491=FixedDim),MAX('Adjustment factors'!$S$16,0.2+0.8*S491),IF(ISTEXT(Q491),VLOOKUP(Q491,Afactors,2,TRUE),""))</f>
        <v/>
      </c>
      <c r="Z491" s="297" t="str">
        <f>IF(ISBLANK(T491),"",VLOOKUP(T491,'Adjustment factors'!$R$27:$S$30,2,TRUE))</f>
        <v/>
      </c>
      <c r="AA491" s="297" t="str">
        <f>IF(ISBLANK(U491),"",VLOOKUP(U491,'Adjustment factors'!$R$27:$S$30,2,TRUE))</f>
        <v/>
      </c>
      <c r="AB491" s="480">
        <f t="shared" si="642"/>
        <v>1</v>
      </c>
      <c r="AC491" s="18" t="b">
        <f t="shared" si="599"/>
        <v>0</v>
      </c>
      <c r="AD491" s="18" t="b">
        <f t="shared" si="600"/>
        <v>0</v>
      </c>
      <c r="AE491" s="18" t="b">
        <f t="shared" si="664"/>
        <v>0</v>
      </c>
      <c r="AF491" s="17" t="str">
        <f t="shared" si="601"/>
        <v/>
      </c>
      <c r="AG491" s="18" t="str">
        <f t="shared" si="602"/>
        <v/>
      </c>
      <c r="AH491" s="17" t="str">
        <f t="shared" si="665"/>
        <v/>
      </c>
      <c r="AI491" s="297" t="e">
        <f t="shared" si="643"/>
        <v>#VALUE!</v>
      </c>
      <c r="AJ491" s="79" t="e">
        <f t="shared" si="603"/>
        <v>#VALUE!</v>
      </c>
      <c r="AK491" s="17" t="str">
        <f t="shared" ref="AK491:AK523" si="666">IF(AD491,(AF491*(AG491+((1-AG491)/2))),"")</f>
        <v/>
      </c>
      <c r="AL491" s="80" t="e">
        <f t="shared" si="604"/>
        <v>#VALUE!</v>
      </c>
      <c r="AM491" s="139" t="b">
        <f t="shared" si="605"/>
        <v>1</v>
      </c>
      <c r="AN491" s="139" t="b">
        <f>AND(COUNTA(E491)&gt;0,ISNUMBER(F491),OR(COUNT(G491:H491)=0,COUNT(G491:H491)=2,AND(ISNUMBER(G491),ISNUMBER(VALUE(LEFT(H491,SUM(LEN(H491)-LEN(SUBSTITUTE(H491,{"0","1","2","3","4","5","6","7","8","9","."},"")))))))),ISNUMBER(I491),ISTEXT(J491))</f>
        <v>0</v>
      </c>
      <c r="AO491" s="19" t="b">
        <f t="shared" si="606"/>
        <v>0</v>
      </c>
      <c r="AP491" s="19" t="b">
        <f t="shared" si="607"/>
        <v>1</v>
      </c>
      <c r="AQ491" s="19" t="b">
        <f>IF(AND(COUNTBLANK(E491:J491)=6,OR(AN492:AN$523)),NOT(AN491))</f>
        <v>0</v>
      </c>
      <c r="AR491" s="19" t="str">
        <f t="shared" si="608"/>
        <v/>
      </c>
      <c r="AS491" s="19" t="b">
        <f t="shared" si="609"/>
        <v>1</v>
      </c>
      <c r="AT491" s="19" t="str">
        <f t="shared" si="610"/>
        <v/>
      </c>
      <c r="AU491" s="19" t="b">
        <f t="shared" si="611"/>
        <v>1</v>
      </c>
      <c r="AV491" s="140" t="str">
        <f t="shared" si="648"/>
        <v/>
      </c>
      <c r="AW491" s="19" t="str">
        <f t="shared" si="612"/>
        <v/>
      </c>
      <c r="AX491" s="81">
        <f t="shared" si="613"/>
        <v>0</v>
      </c>
      <c r="AY491" s="81" t="str">
        <f t="shared" si="614"/>
        <v/>
      </c>
      <c r="AZ491" s="307" t="str">
        <f t="shared" si="644"/>
        <v/>
      </c>
      <c r="BA491" s="281" t="str">
        <f t="shared" si="649"/>
        <v/>
      </c>
      <c r="BB491" s="281" t="str">
        <f t="shared" si="650"/>
        <v/>
      </c>
      <c r="BC491" s="953"/>
      <c r="BD491" s="955"/>
      <c r="BE491" s="219" t="str">
        <f t="shared" si="615"/>
        <v>n/a</v>
      </c>
      <c r="BF491" s="215" t="b">
        <f t="shared" si="616"/>
        <v>0</v>
      </c>
      <c r="BG491" s="145" t="b">
        <f t="shared" si="617"/>
        <v>0</v>
      </c>
      <c r="BH491" s="145" t="b">
        <f t="shared" si="618"/>
        <v>0</v>
      </c>
      <c r="BI491" s="216" t="b">
        <f t="shared" si="619"/>
        <v>0</v>
      </c>
      <c r="BJ491" s="215" t="b">
        <f t="shared" si="620"/>
        <v>0</v>
      </c>
      <c r="BK491" s="145" t="b">
        <f t="shared" si="621"/>
        <v>0</v>
      </c>
      <c r="BL491" s="216" t="b">
        <f t="shared" si="622"/>
        <v>0</v>
      </c>
      <c r="BM491" s="217" t="str">
        <f t="shared" si="651"/>
        <v/>
      </c>
      <c r="BN491" s="146" t="str">
        <f t="shared" si="652"/>
        <v/>
      </c>
      <c r="BO491" s="147" t="str">
        <f t="shared" si="653"/>
        <v/>
      </c>
      <c r="BP491" s="148" t="str">
        <f t="shared" si="654"/>
        <v/>
      </c>
      <c r="BT491" s="50">
        <f t="shared" si="596"/>
        <v>468</v>
      </c>
      <c r="BU491" s="50" t="str">
        <f t="shared" si="592"/>
        <v>-</v>
      </c>
      <c r="BW491" s="340"/>
      <c r="BX491" s="333"/>
      <c r="BY491" s="333"/>
      <c r="BZ491" s="333"/>
      <c r="CA491" s="333"/>
      <c r="CB491" s="333"/>
      <c r="CC491" s="333"/>
      <c r="CD491" s="333"/>
      <c r="CE491" s="333"/>
      <c r="CF491" s="333"/>
      <c r="CG491" s="354">
        <f t="shared" si="623"/>
        <v>468</v>
      </c>
      <c r="CH491" s="613">
        <f t="shared" si="624"/>
        <v>0</v>
      </c>
      <c r="CI491" s="613">
        <f t="shared" si="625"/>
        <v>0</v>
      </c>
      <c r="CJ491" s="614" t="str">
        <f t="shared" si="626"/>
        <v/>
      </c>
      <c r="CK491" s="615" t="str">
        <f t="shared" si="627"/>
        <v/>
      </c>
      <c r="CL491" s="610" t="str">
        <f>IF(ISBLANK(H491),"",IF(AND(ISNUMBER(F491),ISNUMBER(G491),ISNUMBER(H491)),ROUND(F491/(H491*G491),2),ROUND(F491/(VALUE(LEFT(H491,SUM(LEN(H491)-LEN(SUBSTITUTE(H491,{"0","1","2","3","4","5","6","7","8","9","."},"")))))*G491),2)))</f>
        <v/>
      </c>
      <c r="CM491" s="616" t="str">
        <f t="shared" si="655"/>
        <v/>
      </c>
      <c r="CN491" s="616" t="str">
        <f>IF(ISNUMBER(P491),MAX('Adjustment factors'!$S$16,(0.2+0.8*P491)),IF(ISTEXT(N491),VLOOKUP(N491,Afactors,2,FALSE),""))</f>
        <v/>
      </c>
      <c r="CO491" s="616" t="str">
        <f>IF(ISNUMBER(S491),MAX('Adjustment factors'!$S$16,0.2+0.8*S491),IF(ISTEXT(Q491),VLOOKUP(Q491,Afactors,2,FALSE),""))</f>
        <v/>
      </c>
      <c r="CP491" s="611" t="str">
        <f t="shared" si="645"/>
        <v/>
      </c>
      <c r="CQ491" s="612" t="str">
        <f t="shared" si="646"/>
        <v/>
      </c>
      <c r="CR491" s="340"/>
      <c r="CS491" s="340"/>
      <c r="CT491" s="340"/>
      <c r="CU491" s="340"/>
      <c r="CV491" s="333"/>
      <c r="CW491" s="333"/>
      <c r="CX491" s="333"/>
      <c r="CY491" s="333"/>
      <c r="DA491" s="313" t="str">
        <f t="shared" si="628"/>
        <v>OK</v>
      </c>
      <c r="DB491" s="313" t="str">
        <f t="shared" si="629"/>
        <v>OK</v>
      </c>
      <c r="DC491" s="313" t="str">
        <f t="shared" si="630"/>
        <v>OK</v>
      </c>
      <c r="DD491" s="313" t="str">
        <f t="shared" si="631"/>
        <v>OK</v>
      </c>
      <c r="DE491" s="153" t="str">
        <f t="shared" si="632"/>
        <v>OK</v>
      </c>
      <c r="DF491" s="314" t="str">
        <f t="shared" si="633"/>
        <v>OK</v>
      </c>
      <c r="DG491" s="482" t="str">
        <f t="shared" si="647"/>
        <v>OK</v>
      </c>
      <c r="DH491" s="482" t="str">
        <f>IF(OR(AND(T491='Adjustment factors'!$R$28,'Class 3, 5-9'!U491='Adjustment factors'!$R$29),AND('Class 3, 5-9'!T491='Adjustment factors'!$R$29,'Class 3, 5-9'!U491='Adjustment factors'!$R$28)),"Invalid combination of adjustment factors",IF(AND(T491=U491,NOT(ISBLANK(T491)),NOT(ISBLANK(U491))),"Same colour factor selected twice","OK"))</f>
        <v>OK</v>
      </c>
      <c r="DI491" s="313" t="str">
        <f t="shared" si="634"/>
        <v>OK</v>
      </c>
      <c r="DJ491" s="153" t="str">
        <f t="shared" si="656"/>
        <v>OK</v>
      </c>
      <c r="DK491" s="153" t="str">
        <f t="shared" si="635"/>
        <v>OK</v>
      </c>
      <c r="DL491" s="313" t="str">
        <f t="shared" si="636"/>
        <v>OK</v>
      </c>
      <c r="DM491" s="153" t="str">
        <f t="shared" si="637"/>
        <v>OK</v>
      </c>
      <c r="DN491" s="153" t="str">
        <f t="shared" si="657"/>
        <v>OK</v>
      </c>
      <c r="DO491" s="154" t="str">
        <f t="shared" si="658"/>
        <v>OK</v>
      </c>
      <c r="DP491" s="153" t="str">
        <f t="shared" si="638"/>
        <v>OK</v>
      </c>
      <c r="DQ491" s="313" t="str">
        <f t="shared" si="639"/>
        <v>OK</v>
      </c>
      <c r="DR491" s="153" t="str">
        <f t="shared" si="659"/>
        <v>OK</v>
      </c>
      <c r="DS491" s="153" t="str">
        <f t="shared" si="640"/>
        <v>OK</v>
      </c>
      <c r="DT491" s="313" t="str">
        <f t="shared" si="598"/>
        <v>OK</v>
      </c>
      <c r="DU491" s="153" t="str">
        <f t="shared" si="641"/>
        <v>OK</v>
      </c>
      <c r="DV491" s="153" t="str">
        <f t="shared" si="660"/>
        <v>OK</v>
      </c>
      <c r="DW491" s="154" t="str">
        <f t="shared" si="661"/>
        <v>OK</v>
      </c>
      <c r="DX491" s="157">
        <f t="shared" si="662"/>
        <v>0</v>
      </c>
      <c r="DY491" s="156" t="str">
        <f t="shared" si="663"/>
        <v>OK</v>
      </c>
    </row>
    <row r="492" spans="1:129" ht="13" hidden="1" x14ac:dyDescent="0.3">
      <c r="A492" s="333"/>
      <c r="B492" s="333"/>
      <c r="C492" s="332" t="str">
        <f t="shared" si="593"/>
        <v>-</v>
      </c>
      <c r="D492" s="584">
        <f t="shared" si="597"/>
        <v>469</v>
      </c>
      <c r="E492" s="585"/>
      <c r="F492" s="586"/>
      <c r="G492" s="600"/>
      <c r="H492" s="587"/>
      <c r="I492" s="601"/>
      <c r="J492" s="585"/>
      <c r="K492" s="617"/>
      <c r="L492" s="602"/>
      <c r="M492" s="603"/>
      <c r="N492" s="588"/>
      <c r="O492" s="604"/>
      <c r="P492" s="605"/>
      <c r="Q492" s="588"/>
      <c r="R492" s="604"/>
      <c r="S492" s="605"/>
      <c r="T492" s="606"/>
      <c r="U492" s="606"/>
      <c r="V492" s="429" t="str">
        <f t="shared" si="590"/>
        <v/>
      </c>
      <c r="W492" s="430" t="str">
        <f t="shared" ref="W492:W523" si="667">AW492</f>
        <v/>
      </c>
      <c r="X492" s="66" t="str">
        <f>IF(AND(ISNUMBER(P492),N492=FixedDim),MAX('Adjustment factors'!$S$16,0.2+0.8*P492),IF(ISTEXT(N492),VLOOKUP(N492,Afactors,2,TRUE),""))</f>
        <v/>
      </c>
      <c r="Y492" s="17" t="str">
        <f>IF(AND(ISNUMBER(S492),Q492=FixedDim),MAX('Adjustment factors'!$S$16,0.2+0.8*S492),IF(ISTEXT(Q492),VLOOKUP(Q492,Afactors,2,TRUE),""))</f>
        <v/>
      </c>
      <c r="Z492" s="297" t="str">
        <f>IF(ISBLANK(T492),"",VLOOKUP(T492,'Adjustment factors'!$R$27:$S$30,2,TRUE))</f>
        <v/>
      </c>
      <c r="AA492" s="297" t="str">
        <f>IF(ISBLANK(U492),"",VLOOKUP(U492,'Adjustment factors'!$R$27:$S$30,2,TRUE))</f>
        <v/>
      </c>
      <c r="AB492" s="480">
        <f t="shared" si="642"/>
        <v>1</v>
      </c>
      <c r="AC492" s="18" t="b">
        <f t="shared" si="599"/>
        <v>0</v>
      </c>
      <c r="AD492" s="18" t="b">
        <f t="shared" si="600"/>
        <v>0</v>
      </c>
      <c r="AE492" s="18" t="b">
        <f t="shared" si="664"/>
        <v>0</v>
      </c>
      <c r="AF492" s="17" t="str">
        <f t="shared" si="601"/>
        <v/>
      </c>
      <c r="AG492" s="18" t="str">
        <f t="shared" si="602"/>
        <v/>
      </c>
      <c r="AH492" s="17" t="str">
        <f t="shared" si="665"/>
        <v/>
      </c>
      <c r="AI492" s="297" t="e">
        <f t="shared" si="643"/>
        <v>#VALUE!</v>
      </c>
      <c r="AJ492" s="79" t="e">
        <f t="shared" si="603"/>
        <v>#VALUE!</v>
      </c>
      <c r="AK492" s="17" t="str">
        <f t="shared" si="666"/>
        <v/>
      </c>
      <c r="AL492" s="80" t="e">
        <f t="shared" si="604"/>
        <v>#VALUE!</v>
      </c>
      <c r="AM492" s="139" t="b">
        <f t="shared" si="605"/>
        <v>1</v>
      </c>
      <c r="AN492" s="139" t="b">
        <f>AND(COUNTA(E492)&gt;0,ISNUMBER(F492),OR(COUNT(G492:H492)=0,COUNT(G492:H492)=2,AND(ISNUMBER(G492),ISNUMBER(VALUE(LEFT(H492,SUM(LEN(H492)-LEN(SUBSTITUTE(H492,{"0","1","2","3","4","5","6","7","8","9","."},"")))))))),ISNUMBER(I492),ISTEXT(J492))</f>
        <v>0</v>
      </c>
      <c r="AO492" s="19" t="b">
        <f t="shared" si="606"/>
        <v>0</v>
      </c>
      <c r="AP492" s="19" t="b">
        <f t="shared" si="607"/>
        <v>1</v>
      </c>
      <c r="AQ492" s="19" t="b">
        <f>IF(AND(COUNTBLANK(E492:J492)=6,OR(AN493:AN$523)),NOT(AN492))</f>
        <v>0</v>
      </c>
      <c r="AR492" s="19" t="str">
        <f t="shared" si="608"/>
        <v/>
      </c>
      <c r="AS492" s="19" t="b">
        <f t="shared" si="609"/>
        <v>1</v>
      </c>
      <c r="AT492" s="19" t="str">
        <f t="shared" si="610"/>
        <v/>
      </c>
      <c r="AU492" s="19" t="b">
        <f t="shared" si="611"/>
        <v>1</v>
      </c>
      <c r="AV492" s="140" t="str">
        <f t="shared" si="648"/>
        <v/>
      </c>
      <c r="AW492" s="19" t="str">
        <f t="shared" si="612"/>
        <v/>
      </c>
      <c r="AX492" s="81">
        <f t="shared" si="613"/>
        <v>0</v>
      </c>
      <c r="AY492" s="81" t="str">
        <f t="shared" si="614"/>
        <v/>
      </c>
      <c r="AZ492" s="307" t="str">
        <f t="shared" si="644"/>
        <v/>
      </c>
      <c r="BA492" s="281" t="str">
        <f t="shared" si="649"/>
        <v/>
      </c>
      <c r="BB492" s="281" t="str">
        <f t="shared" si="650"/>
        <v/>
      </c>
      <c r="BC492" s="953"/>
      <c r="BD492" s="955"/>
      <c r="BE492" s="219" t="str">
        <f t="shared" si="615"/>
        <v>n/a</v>
      </c>
      <c r="BF492" s="215" t="b">
        <f t="shared" si="616"/>
        <v>0</v>
      </c>
      <c r="BG492" s="145" t="b">
        <f t="shared" si="617"/>
        <v>0</v>
      </c>
      <c r="BH492" s="145" t="b">
        <f t="shared" si="618"/>
        <v>0</v>
      </c>
      <c r="BI492" s="216" t="b">
        <f t="shared" si="619"/>
        <v>0</v>
      </c>
      <c r="BJ492" s="215" t="b">
        <f t="shared" si="620"/>
        <v>0</v>
      </c>
      <c r="BK492" s="145" t="b">
        <f t="shared" si="621"/>
        <v>0</v>
      </c>
      <c r="BL492" s="216" t="b">
        <f t="shared" si="622"/>
        <v>0</v>
      </c>
      <c r="BM492" s="217" t="str">
        <f t="shared" si="651"/>
        <v/>
      </c>
      <c r="BN492" s="146" t="str">
        <f t="shared" si="652"/>
        <v/>
      </c>
      <c r="BO492" s="147" t="str">
        <f t="shared" si="653"/>
        <v/>
      </c>
      <c r="BP492" s="148" t="str">
        <f t="shared" si="654"/>
        <v/>
      </c>
      <c r="BT492" s="50">
        <f t="shared" si="596"/>
        <v>469</v>
      </c>
      <c r="BU492" s="50" t="str">
        <f t="shared" si="592"/>
        <v>-</v>
      </c>
      <c r="BW492" s="340"/>
      <c r="BX492" s="333"/>
      <c r="BY492" s="333"/>
      <c r="BZ492" s="333"/>
      <c r="CA492" s="333"/>
      <c r="CB492" s="333"/>
      <c r="CC492" s="333"/>
      <c r="CD492" s="333"/>
      <c r="CE492" s="333"/>
      <c r="CF492" s="333"/>
      <c r="CG492" s="354">
        <f t="shared" si="623"/>
        <v>469</v>
      </c>
      <c r="CH492" s="613">
        <f t="shared" si="624"/>
        <v>0</v>
      </c>
      <c r="CI492" s="613">
        <f t="shared" si="625"/>
        <v>0</v>
      </c>
      <c r="CJ492" s="614" t="str">
        <f t="shared" si="626"/>
        <v/>
      </c>
      <c r="CK492" s="615" t="str">
        <f t="shared" si="627"/>
        <v/>
      </c>
      <c r="CL492" s="610" t="str">
        <f>IF(ISBLANK(H492),"",IF(AND(ISNUMBER(F492),ISNUMBER(G492),ISNUMBER(H492)),ROUND(F492/(H492*G492),2),ROUND(F492/(VALUE(LEFT(H492,SUM(LEN(H492)-LEN(SUBSTITUTE(H492,{"0","1","2","3","4","5","6","7","8","9","."},"")))))*G492),2)))</f>
        <v/>
      </c>
      <c r="CM492" s="616" t="str">
        <f t="shared" si="655"/>
        <v/>
      </c>
      <c r="CN492" s="616" t="str">
        <f>IF(ISNUMBER(P492),MAX('Adjustment factors'!$S$16,(0.2+0.8*P492)),IF(ISTEXT(N492),VLOOKUP(N492,Afactors,2,FALSE),""))</f>
        <v/>
      </c>
      <c r="CO492" s="616" t="str">
        <f>IF(ISNUMBER(S492),MAX('Adjustment factors'!$S$16,0.2+0.8*S492),IF(ISTEXT(Q492),VLOOKUP(Q492,Afactors,2,FALSE),""))</f>
        <v/>
      </c>
      <c r="CP492" s="611" t="str">
        <f t="shared" si="645"/>
        <v/>
      </c>
      <c r="CQ492" s="612" t="str">
        <f t="shared" si="646"/>
        <v/>
      </c>
      <c r="CR492" s="340"/>
      <c r="CS492" s="340"/>
      <c r="CT492" s="340"/>
      <c r="CU492" s="340"/>
      <c r="CV492" s="333"/>
      <c r="CW492" s="333"/>
      <c r="CX492" s="333"/>
      <c r="CY492" s="333"/>
      <c r="DA492" s="313" t="str">
        <f t="shared" si="628"/>
        <v>OK</v>
      </c>
      <c r="DB492" s="313" t="str">
        <f t="shared" si="629"/>
        <v>OK</v>
      </c>
      <c r="DC492" s="313" t="str">
        <f t="shared" si="630"/>
        <v>OK</v>
      </c>
      <c r="DD492" s="313" t="str">
        <f t="shared" si="631"/>
        <v>OK</v>
      </c>
      <c r="DE492" s="153" t="str">
        <f t="shared" si="632"/>
        <v>OK</v>
      </c>
      <c r="DF492" s="314" t="str">
        <f t="shared" si="633"/>
        <v>OK</v>
      </c>
      <c r="DG492" s="482" t="str">
        <f t="shared" si="647"/>
        <v>OK</v>
      </c>
      <c r="DH492" s="482" t="str">
        <f>IF(OR(AND(T492='Adjustment factors'!$R$28,'Class 3, 5-9'!U492='Adjustment factors'!$R$29),AND('Class 3, 5-9'!T492='Adjustment factors'!$R$29,'Class 3, 5-9'!U492='Adjustment factors'!$R$28)),"Invalid combination of adjustment factors",IF(AND(T492=U492,NOT(ISBLANK(T492)),NOT(ISBLANK(U492))),"Same colour factor selected twice","OK"))</f>
        <v>OK</v>
      </c>
      <c r="DI492" s="313" t="str">
        <f t="shared" si="634"/>
        <v>OK</v>
      </c>
      <c r="DJ492" s="153" t="str">
        <f t="shared" si="656"/>
        <v>OK</v>
      </c>
      <c r="DK492" s="153" t="str">
        <f t="shared" si="635"/>
        <v>OK</v>
      </c>
      <c r="DL492" s="313" t="str">
        <f t="shared" si="636"/>
        <v>OK</v>
      </c>
      <c r="DM492" s="153" t="str">
        <f t="shared" si="637"/>
        <v>OK</v>
      </c>
      <c r="DN492" s="153" t="str">
        <f t="shared" si="657"/>
        <v>OK</v>
      </c>
      <c r="DO492" s="154" t="str">
        <f t="shared" si="658"/>
        <v>OK</v>
      </c>
      <c r="DP492" s="153" t="str">
        <f t="shared" si="638"/>
        <v>OK</v>
      </c>
      <c r="DQ492" s="313" t="str">
        <f t="shared" si="639"/>
        <v>OK</v>
      </c>
      <c r="DR492" s="153" t="str">
        <f t="shared" si="659"/>
        <v>OK</v>
      </c>
      <c r="DS492" s="153" t="str">
        <f t="shared" si="640"/>
        <v>OK</v>
      </c>
      <c r="DT492" s="313" t="str">
        <f t="shared" si="598"/>
        <v>OK</v>
      </c>
      <c r="DU492" s="153" t="str">
        <f t="shared" si="641"/>
        <v>OK</v>
      </c>
      <c r="DV492" s="153" t="str">
        <f t="shared" si="660"/>
        <v>OK</v>
      </c>
      <c r="DW492" s="154" t="str">
        <f t="shared" si="661"/>
        <v>OK</v>
      </c>
      <c r="DX492" s="157">
        <f t="shared" si="662"/>
        <v>0</v>
      </c>
      <c r="DY492" s="156" t="str">
        <f t="shared" si="663"/>
        <v>OK</v>
      </c>
    </row>
    <row r="493" spans="1:129" ht="13" hidden="1" x14ac:dyDescent="0.3">
      <c r="A493" s="333"/>
      <c r="B493" s="333"/>
      <c r="C493" s="332" t="str">
        <f t="shared" si="593"/>
        <v>-</v>
      </c>
      <c r="D493" s="584">
        <f t="shared" si="597"/>
        <v>470</v>
      </c>
      <c r="E493" s="585"/>
      <c r="F493" s="586"/>
      <c r="G493" s="600"/>
      <c r="H493" s="587"/>
      <c r="I493" s="601"/>
      <c r="J493" s="585"/>
      <c r="K493" s="617"/>
      <c r="L493" s="602"/>
      <c r="M493" s="603"/>
      <c r="N493" s="588"/>
      <c r="O493" s="604"/>
      <c r="P493" s="605"/>
      <c r="Q493" s="588"/>
      <c r="R493" s="604"/>
      <c r="S493" s="605"/>
      <c r="T493" s="606"/>
      <c r="U493" s="606"/>
      <c r="V493" s="429" t="str">
        <f t="shared" si="590"/>
        <v/>
      </c>
      <c r="W493" s="430" t="str">
        <f t="shared" si="667"/>
        <v/>
      </c>
      <c r="X493" s="66" t="str">
        <f>IF(AND(ISNUMBER(P493),N493=FixedDim),MAX('Adjustment factors'!$S$16,0.2+0.8*P493),IF(ISTEXT(N493),VLOOKUP(N493,Afactors,2,TRUE),""))</f>
        <v/>
      </c>
      <c r="Y493" s="17" t="str">
        <f>IF(AND(ISNUMBER(S493),Q493=FixedDim),MAX('Adjustment factors'!$S$16,0.2+0.8*S493),IF(ISTEXT(Q493),VLOOKUP(Q493,Afactors,2,TRUE),""))</f>
        <v/>
      </c>
      <c r="Z493" s="297" t="str">
        <f>IF(ISBLANK(T493),"",VLOOKUP(T493,'Adjustment factors'!$R$27:$S$30,2,TRUE))</f>
        <v/>
      </c>
      <c r="AA493" s="297" t="str">
        <f>IF(ISBLANK(U493),"",VLOOKUP(U493,'Adjustment factors'!$R$27:$S$30,2,TRUE))</f>
        <v/>
      </c>
      <c r="AB493" s="480">
        <f t="shared" si="642"/>
        <v>1</v>
      </c>
      <c r="AC493" s="18" t="b">
        <f t="shared" si="599"/>
        <v>0</v>
      </c>
      <c r="AD493" s="18" t="b">
        <f t="shared" si="600"/>
        <v>0</v>
      </c>
      <c r="AE493" s="18" t="b">
        <f t="shared" si="664"/>
        <v>0</v>
      </c>
      <c r="AF493" s="17" t="str">
        <f t="shared" si="601"/>
        <v/>
      </c>
      <c r="AG493" s="18" t="str">
        <f t="shared" si="602"/>
        <v/>
      </c>
      <c r="AH493" s="17" t="str">
        <f t="shared" si="665"/>
        <v/>
      </c>
      <c r="AI493" s="297" t="e">
        <f t="shared" si="643"/>
        <v>#VALUE!</v>
      </c>
      <c r="AJ493" s="79" t="e">
        <f t="shared" si="603"/>
        <v>#VALUE!</v>
      </c>
      <c r="AK493" s="17" t="str">
        <f t="shared" si="666"/>
        <v/>
      </c>
      <c r="AL493" s="80" t="e">
        <f t="shared" si="604"/>
        <v>#VALUE!</v>
      </c>
      <c r="AM493" s="139" t="b">
        <f t="shared" si="605"/>
        <v>1</v>
      </c>
      <c r="AN493" s="139" t="b">
        <f>AND(COUNTA(E493)&gt;0,ISNUMBER(F493),OR(COUNT(G493:H493)=0,COUNT(G493:H493)=2,AND(ISNUMBER(G493),ISNUMBER(VALUE(LEFT(H493,SUM(LEN(H493)-LEN(SUBSTITUTE(H493,{"0","1","2","3","4","5","6","7","8","9","."},"")))))))),ISNUMBER(I493),ISTEXT(J493))</f>
        <v>0</v>
      </c>
      <c r="AO493" s="19" t="b">
        <f t="shared" si="606"/>
        <v>0</v>
      </c>
      <c r="AP493" s="19" t="b">
        <f t="shared" si="607"/>
        <v>1</v>
      </c>
      <c r="AQ493" s="19" t="b">
        <f>IF(AND(COUNTBLANK(E493:J493)=6,OR(AN494:AN$523)),NOT(AN493))</f>
        <v>0</v>
      </c>
      <c r="AR493" s="19" t="str">
        <f t="shared" si="608"/>
        <v/>
      </c>
      <c r="AS493" s="19" t="b">
        <f t="shared" si="609"/>
        <v>1</v>
      </c>
      <c r="AT493" s="19" t="str">
        <f t="shared" si="610"/>
        <v/>
      </c>
      <c r="AU493" s="19" t="b">
        <f t="shared" si="611"/>
        <v>1</v>
      </c>
      <c r="AV493" s="140" t="str">
        <f t="shared" si="648"/>
        <v/>
      </c>
      <c r="AW493" s="19" t="str">
        <f t="shared" si="612"/>
        <v/>
      </c>
      <c r="AX493" s="81">
        <f t="shared" si="613"/>
        <v>0</v>
      </c>
      <c r="AY493" s="81" t="str">
        <f t="shared" si="614"/>
        <v/>
      </c>
      <c r="AZ493" s="307" t="str">
        <f t="shared" si="644"/>
        <v/>
      </c>
      <c r="BA493" s="281" t="str">
        <f t="shared" si="649"/>
        <v/>
      </c>
      <c r="BB493" s="281" t="str">
        <f t="shared" si="650"/>
        <v/>
      </c>
      <c r="BC493" s="953"/>
      <c r="BD493" s="955"/>
      <c r="BE493" s="219" t="str">
        <f t="shared" si="615"/>
        <v>n/a</v>
      </c>
      <c r="BF493" s="215" t="b">
        <f t="shared" si="616"/>
        <v>0</v>
      </c>
      <c r="BG493" s="145" t="b">
        <f t="shared" si="617"/>
        <v>0</v>
      </c>
      <c r="BH493" s="145" t="b">
        <f t="shared" si="618"/>
        <v>0</v>
      </c>
      <c r="BI493" s="216" t="b">
        <f t="shared" si="619"/>
        <v>0</v>
      </c>
      <c r="BJ493" s="215" t="b">
        <f t="shared" si="620"/>
        <v>0</v>
      </c>
      <c r="BK493" s="145" t="b">
        <f t="shared" si="621"/>
        <v>0</v>
      </c>
      <c r="BL493" s="216" t="b">
        <f t="shared" si="622"/>
        <v>0</v>
      </c>
      <c r="BM493" s="217" t="str">
        <f t="shared" si="651"/>
        <v/>
      </c>
      <c r="BN493" s="146" t="str">
        <f t="shared" si="652"/>
        <v/>
      </c>
      <c r="BO493" s="147" t="str">
        <f t="shared" si="653"/>
        <v/>
      </c>
      <c r="BP493" s="148" t="str">
        <f t="shared" si="654"/>
        <v/>
      </c>
      <c r="BT493" s="50">
        <f t="shared" si="596"/>
        <v>470</v>
      </c>
      <c r="BU493" s="50" t="str">
        <f t="shared" si="592"/>
        <v>-</v>
      </c>
      <c r="BW493" s="340"/>
      <c r="BX493" s="333"/>
      <c r="BY493" s="333"/>
      <c r="BZ493" s="333"/>
      <c r="CA493" s="333"/>
      <c r="CB493" s="333"/>
      <c r="CC493" s="333"/>
      <c r="CD493" s="333"/>
      <c r="CE493" s="333"/>
      <c r="CF493" s="333"/>
      <c r="CG493" s="354">
        <f t="shared" si="623"/>
        <v>470</v>
      </c>
      <c r="CH493" s="613">
        <f t="shared" si="624"/>
        <v>0</v>
      </c>
      <c r="CI493" s="613">
        <f t="shared" si="625"/>
        <v>0</v>
      </c>
      <c r="CJ493" s="614" t="str">
        <f t="shared" si="626"/>
        <v/>
      </c>
      <c r="CK493" s="615" t="str">
        <f t="shared" si="627"/>
        <v/>
      </c>
      <c r="CL493" s="610" t="str">
        <f>IF(ISBLANK(H493),"",IF(AND(ISNUMBER(F493),ISNUMBER(G493),ISNUMBER(H493)),ROUND(F493/(H493*G493),2),ROUND(F493/(VALUE(LEFT(H493,SUM(LEN(H493)-LEN(SUBSTITUTE(H493,{"0","1","2","3","4","5","6","7","8","9","."},"")))))*G493),2)))</f>
        <v/>
      </c>
      <c r="CM493" s="616" t="str">
        <f t="shared" si="655"/>
        <v/>
      </c>
      <c r="CN493" s="616" t="str">
        <f>IF(ISNUMBER(P493),MAX('Adjustment factors'!$S$16,(0.2+0.8*P493)),IF(ISTEXT(N493),VLOOKUP(N493,Afactors,2,FALSE),""))</f>
        <v/>
      </c>
      <c r="CO493" s="616" t="str">
        <f>IF(ISNUMBER(S493),MAX('Adjustment factors'!$S$16,0.2+0.8*S493),IF(ISTEXT(Q493),VLOOKUP(Q493,Afactors,2,FALSE),""))</f>
        <v/>
      </c>
      <c r="CP493" s="611" t="str">
        <f t="shared" si="645"/>
        <v/>
      </c>
      <c r="CQ493" s="612" t="str">
        <f t="shared" si="646"/>
        <v/>
      </c>
      <c r="CR493" s="340"/>
      <c r="CS493" s="340"/>
      <c r="CT493" s="340"/>
      <c r="CU493" s="340"/>
      <c r="CV493" s="333"/>
      <c r="CW493" s="333"/>
      <c r="CX493" s="333"/>
      <c r="CY493" s="333"/>
      <c r="DA493" s="313" t="str">
        <f t="shared" si="628"/>
        <v>OK</v>
      </c>
      <c r="DB493" s="313" t="str">
        <f t="shared" si="629"/>
        <v>OK</v>
      </c>
      <c r="DC493" s="313" t="str">
        <f t="shared" si="630"/>
        <v>OK</v>
      </c>
      <c r="DD493" s="313" t="str">
        <f t="shared" si="631"/>
        <v>OK</v>
      </c>
      <c r="DE493" s="153" t="str">
        <f t="shared" si="632"/>
        <v>OK</v>
      </c>
      <c r="DF493" s="314" t="str">
        <f t="shared" si="633"/>
        <v>OK</v>
      </c>
      <c r="DG493" s="482" t="str">
        <f t="shared" si="647"/>
        <v>OK</v>
      </c>
      <c r="DH493" s="482" t="str">
        <f>IF(OR(AND(T493='Adjustment factors'!$R$28,'Class 3, 5-9'!U493='Adjustment factors'!$R$29),AND('Class 3, 5-9'!T493='Adjustment factors'!$R$29,'Class 3, 5-9'!U493='Adjustment factors'!$R$28)),"Invalid combination of adjustment factors",IF(AND(T493=U493,NOT(ISBLANK(T493)),NOT(ISBLANK(U493))),"Same colour factor selected twice","OK"))</f>
        <v>OK</v>
      </c>
      <c r="DI493" s="313" t="str">
        <f t="shared" si="634"/>
        <v>OK</v>
      </c>
      <c r="DJ493" s="153" t="str">
        <f t="shared" si="656"/>
        <v>OK</v>
      </c>
      <c r="DK493" s="153" t="str">
        <f t="shared" si="635"/>
        <v>OK</v>
      </c>
      <c r="DL493" s="313" t="str">
        <f t="shared" si="636"/>
        <v>OK</v>
      </c>
      <c r="DM493" s="153" t="str">
        <f t="shared" si="637"/>
        <v>OK</v>
      </c>
      <c r="DN493" s="153" t="str">
        <f t="shared" si="657"/>
        <v>OK</v>
      </c>
      <c r="DO493" s="154" t="str">
        <f t="shared" si="658"/>
        <v>OK</v>
      </c>
      <c r="DP493" s="153" t="str">
        <f t="shared" si="638"/>
        <v>OK</v>
      </c>
      <c r="DQ493" s="313" t="str">
        <f t="shared" si="639"/>
        <v>OK</v>
      </c>
      <c r="DR493" s="153" t="str">
        <f t="shared" si="659"/>
        <v>OK</v>
      </c>
      <c r="DS493" s="153" t="str">
        <f t="shared" si="640"/>
        <v>OK</v>
      </c>
      <c r="DT493" s="313" t="str">
        <f t="shared" si="598"/>
        <v>OK</v>
      </c>
      <c r="DU493" s="153" t="str">
        <f t="shared" si="641"/>
        <v>OK</v>
      </c>
      <c r="DV493" s="153" t="str">
        <f t="shared" si="660"/>
        <v>OK</v>
      </c>
      <c r="DW493" s="154" t="str">
        <f t="shared" si="661"/>
        <v>OK</v>
      </c>
      <c r="DX493" s="157">
        <f t="shared" si="662"/>
        <v>0</v>
      </c>
      <c r="DY493" s="156" t="str">
        <f t="shared" si="663"/>
        <v>OK</v>
      </c>
    </row>
    <row r="494" spans="1:129" ht="13" hidden="1" x14ac:dyDescent="0.3">
      <c r="A494" s="333"/>
      <c r="B494" s="333"/>
      <c r="C494" s="332" t="str">
        <f t="shared" si="593"/>
        <v>-</v>
      </c>
      <c r="D494" s="584">
        <f t="shared" si="597"/>
        <v>471</v>
      </c>
      <c r="E494" s="585"/>
      <c r="F494" s="586"/>
      <c r="G494" s="600"/>
      <c r="H494" s="587"/>
      <c r="I494" s="601"/>
      <c r="J494" s="585"/>
      <c r="K494" s="617"/>
      <c r="L494" s="602"/>
      <c r="M494" s="603"/>
      <c r="N494" s="588"/>
      <c r="O494" s="604"/>
      <c r="P494" s="605"/>
      <c r="Q494" s="588"/>
      <c r="R494" s="604"/>
      <c r="S494" s="605"/>
      <c r="T494" s="606"/>
      <c r="U494" s="606"/>
      <c r="V494" s="429" t="str">
        <f t="shared" ref="V494:V523" si="668">AV494</f>
        <v/>
      </c>
      <c r="W494" s="430" t="str">
        <f t="shared" si="667"/>
        <v/>
      </c>
      <c r="X494" s="66" t="str">
        <f>IF(AND(ISNUMBER(P494),N494=FixedDim),MAX('Adjustment factors'!$S$16,0.2+0.8*P494),IF(ISTEXT(N494),VLOOKUP(N494,Afactors,2,TRUE),""))</f>
        <v/>
      </c>
      <c r="Y494" s="17" t="str">
        <f>IF(AND(ISNUMBER(S494),Q494=FixedDim),MAX('Adjustment factors'!$S$16,0.2+0.8*S494),IF(ISTEXT(Q494),VLOOKUP(Q494,Afactors,2,TRUE),""))</f>
        <v/>
      </c>
      <c r="Z494" s="297" t="str">
        <f>IF(ISBLANK(T494),"",VLOOKUP(T494,'Adjustment factors'!$R$27:$S$30,2,TRUE))</f>
        <v/>
      </c>
      <c r="AA494" s="297" t="str">
        <f>IF(ISBLANK(U494),"",VLOOKUP(U494,'Adjustment factors'!$R$27:$S$30,2,TRUE))</f>
        <v/>
      </c>
      <c r="AB494" s="480">
        <f t="shared" si="642"/>
        <v>1</v>
      </c>
      <c r="AC494" s="18" t="b">
        <f t="shared" si="599"/>
        <v>0</v>
      </c>
      <c r="AD494" s="18" t="b">
        <f t="shared" si="600"/>
        <v>0</v>
      </c>
      <c r="AE494" s="18" t="b">
        <f t="shared" si="664"/>
        <v>0</v>
      </c>
      <c r="AF494" s="17" t="str">
        <f t="shared" si="601"/>
        <v/>
      </c>
      <c r="AG494" s="18" t="str">
        <f t="shared" si="602"/>
        <v/>
      </c>
      <c r="AH494" s="17" t="str">
        <f t="shared" si="665"/>
        <v/>
      </c>
      <c r="AI494" s="297" t="e">
        <f t="shared" si="643"/>
        <v>#VALUE!</v>
      </c>
      <c r="AJ494" s="79" t="e">
        <f t="shared" si="603"/>
        <v>#VALUE!</v>
      </c>
      <c r="AK494" s="17" t="str">
        <f t="shared" si="666"/>
        <v/>
      </c>
      <c r="AL494" s="80" t="e">
        <f t="shared" si="604"/>
        <v>#VALUE!</v>
      </c>
      <c r="AM494" s="139" t="b">
        <f t="shared" si="605"/>
        <v>1</v>
      </c>
      <c r="AN494" s="139" t="b">
        <f>AND(COUNTA(E494)&gt;0,ISNUMBER(F494),OR(COUNT(G494:H494)=0,COUNT(G494:H494)=2,AND(ISNUMBER(G494),ISNUMBER(VALUE(LEFT(H494,SUM(LEN(H494)-LEN(SUBSTITUTE(H494,{"0","1","2","3","4","5","6","7","8","9","."},"")))))))),ISNUMBER(I494),ISTEXT(J494))</f>
        <v>0</v>
      </c>
      <c r="AO494" s="19" t="b">
        <f t="shared" si="606"/>
        <v>0</v>
      </c>
      <c r="AP494" s="19" t="b">
        <f t="shared" si="607"/>
        <v>1</v>
      </c>
      <c r="AQ494" s="19" t="b">
        <f>IF(AND(COUNTBLANK(E494:J494)=6,OR(AN495:AN$523)),NOT(AN494))</f>
        <v>0</v>
      </c>
      <c r="AR494" s="19" t="str">
        <f t="shared" si="608"/>
        <v/>
      </c>
      <c r="AS494" s="19" t="b">
        <f t="shared" si="609"/>
        <v>1</v>
      </c>
      <c r="AT494" s="19" t="str">
        <f t="shared" si="610"/>
        <v/>
      </c>
      <c r="AU494" s="19" t="b">
        <f t="shared" si="611"/>
        <v>1</v>
      </c>
      <c r="AV494" s="140" t="str">
        <f t="shared" si="648"/>
        <v/>
      </c>
      <c r="AW494" s="19" t="str">
        <f t="shared" si="612"/>
        <v/>
      </c>
      <c r="AX494" s="81">
        <f t="shared" si="613"/>
        <v>0</v>
      </c>
      <c r="AY494" s="81" t="str">
        <f t="shared" si="614"/>
        <v/>
      </c>
      <c r="AZ494" s="307" t="str">
        <f t="shared" si="644"/>
        <v/>
      </c>
      <c r="BA494" s="281" t="str">
        <f t="shared" si="649"/>
        <v/>
      </c>
      <c r="BB494" s="281" t="str">
        <f t="shared" si="650"/>
        <v/>
      </c>
      <c r="BC494" s="953"/>
      <c r="BD494" s="955"/>
      <c r="BE494" s="219" t="str">
        <f t="shared" si="615"/>
        <v>n/a</v>
      </c>
      <c r="BF494" s="215" t="b">
        <f t="shared" si="616"/>
        <v>0</v>
      </c>
      <c r="BG494" s="145" t="b">
        <f t="shared" si="617"/>
        <v>0</v>
      </c>
      <c r="BH494" s="145" t="b">
        <f t="shared" si="618"/>
        <v>0</v>
      </c>
      <c r="BI494" s="216" t="b">
        <f t="shared" si="619"/>
        <v>0</v>
      </c>
      <c r="BJ494" s="215" t="b">
        <f t="shared" si="620"/>
        <v>0</v>
      </c>
      <c r="BK494" s="145" t="b">
        <f t="shared" si="621"/>
        <v>0</v>
      </c>
      <c r="BL494" s="216" t="b">
        <f t="shared" si="622"/>
        <v>0</v>
      </c>
      <c r="BM494" s="217" t="str">
        <f t="shared" si="651"/>
        <v/>
      </c>
      <c r="BN494" s="146" t="str">
        <f t="shared" si="652"/>
        <v/>
      </c>
      <c r="BO494" s="147" t="str">
        <f t="shared" si="653"/>
        <v/>
      </c>
      <c r="BP494" s="148" t="str">
        <f t="shared" si="654"/>
        <v/>
      </c>
      <c r="BT494" s="50">
        <f t="shared" si="596"/>
        <v>471</v>
      </c>
      <c r="BU494" s="50" t="str">
        <f t="shared" si="592"/>
        <v>-</v>
      </c>
      <c r="BW494" s="340"/>
      <c r="BX494" s="333"/>
      <c r="BY494" s="333"/>
      <c r="BZ494" s="333"/>
      <c r="CA494" s="333"/>
      <c r="CB494" s="333"/>
      <c r="CC494" s="333"/>
      <c r="CD494" s="333"/>
      <c r="CE494" s="333"/>
      <c r="CF494" s="333"/>
      <c r="CG494" s="354">
        <f t="shared" si="623"/>
        <v>471</v>
      </c>
      <c r="CH494" s="613">
        <f t="shared" si="624"/>
        <v>0</v>
      </c>
      <c r="CI494" s="613">
        <f t="shared" si="625"/>
        <v>0</v>
      </c>
      <c r="CJ494" s="614" t="str">
        <f t="shared" si="626"/>
        <v/>
      </c>
      <c r="CK494" s="615" t="str">
        <f t="shared" si="627"/>
        <v/>
      </c>
      <c r="CL494" s="610" t="str">
        <f>IF(ISBLANK(H494),"",IF(AND(ISNUMBER(F494),ISNUMBER(G494),ISNUMBER(H494)),ROUND(F494/(H494*G494),2),ROUND(F494/(VALUE(LEFT(H494,SUM(LEN(H494)-LEN(SUBSTITUTE(H494,{"0","1","2","3","4","5","6","7","8","9","."},"")))))*G494),2)))</f>
        <v/>
      </c>
      <c r="CM494" s="616" t="str">
        <f t="shared" si="655"/>
        <v/>
      </c>
      <c r="CN494" s="616" t="str">
        <f>IF(ISNUMBER(P494),MAX('Adjustment factors'!$S$16,(0.2+0.8*P494)),IF(ISTEXT(N494),VLOOKUP(N494,Afactors,2,FALSE),""))</f>
        <v/>
      </c>
      <c r="CO494" s="616" t="str">
        <f>IF(ISNUMBER(S494),MAX('Adjustment factors'!$S$16,0.2+0.8*S494),IF(ISTEXT(Q494),VLOOKUP(Q494,Afactors,2,FALSE),""))</f>
        <v/>
      </c>
      <c r="CP494" s="611" t="str">
        <f t="shared" si="645"/>
        <v/>
      </c>
      <c r="CQ494" s="612" t="str">
        <f t="shared" si="646"/>
        <v/>
      </c>
      <c r="CR494" s="340"/>
      <c r="CS494" s="340"/>
      <c r="CT494" s="340"/>
      <c r="CU494" s="340"/>
      <c r="CV494" s="333"/>
      <c r="CW494" s="333"/>
      <c r="CX494" s="333"/>
      <c r="CY494" s="333"/>
      <c r="DA494" s="313" t="str">
        <f t="shared" si="628"/>
        <v>OK</v>
      </c>
      <c r="DB494" s="313" t="str">
        <f t="shared" si="629"/>
        <v>OK</v>
      </c>
      <c r="DC494" s="313" t="str">
        <f t="shared" si="630"/>
        <v>OK</v>
      </c>
      <c r="DD494" s="313" t="str">
        <f t="shared" si="631"/>
        <v>OK</v>
      </c>
      <c r="DE494" s="153" t="str">
        <f t="shared" si="632"/>
        <v>OK</v>
      </c>
      <c r="DF494" s="314" t="str">
        <f t="shared" si="633"/>
        <v>OK</v>
      </c>
      <c r="DG494" s="482" t="str">
        <f t="shared" si="647"/>
        <v>OK</v>
      </c>
      <c r="DH494" s="482" t="str">
        <f>IF(OR(AND(T494='Adjustment factors'!$R$28,'Class 3, 5-9'!U494='Adjustment factors'!$R$29),AND('Class 3, 5-9'!T494='Adjustment factors'!$R$29,'Class 3, 5-9'!U494='Adjustment factors'!$R$28)),"Invalid combination of adjustment factors",IF(AND(T494=U494,NOT(ISBLANK(T494)),NOT(ISBLANK(U494))),"Same colour factor selected twice","OK"))</f>
        <v>OK</v>
      </c>
      <c r="DI494" s="313" t="str">
        <f t="shared" si="634"/>
        <v>OK</v>
      </c>
      <c r="DJ494" s="153" t="str">
        <f t="shared" si="656"/>
        <v>OK</v>
      </c>
      <c r="DK494" s="153" t="str">
        <f t="shared" si="635"/>
        <v>OK</v>
      </c>
      <c r="DL494" s="313" t="str">
        <f t="shared" si="636"/>
        <v>OK</v>
      </c>
      <c r="DM494" s="153" t="str">
        <f t="shared" si="637"/>
        <v>OK</v>
      </c>
      <c r="DN494" s="153" t="str">
        <f t="shared" si="657"/>
        <v>OK</v>
      </c>
      <c r="DO494" s="154" t="str">
        <f t="shared" si="658"/>
        <v>OK</v>
      </c>
      <c r="DP494" s="153" t="str">
        <f t="shared" si="638"/>
        <v>OK</v>
      </c>
      <c r="DQ494" s="313" t="str">
        <f t="shared" si="639"/>
        <v>OK</v>
      </c>
      <c r="DR494" s="153" t="str">
        <f t="shared" si="659"/>
        <v>OK</v>
      </c>
      <c r="DS494" s="153" t="str">
        <f t="shared" si="640"/>
        <v>OK</v>
      </c>
      <c r="DT494" s="313" t="str">
        <f t="shared" si="598"/>
        <v>OK</v>
      </c>
      <c r="DU494" s="153" t="str">
        <f t="shared" si="641"/>
        <v>OK</v>
      </c>
      <c r="DV494" s="153" t="str">
        <f t="shared" si="660"/>
        <v>OK</v>
      </c>
      <c r="DW494" s="154" t="str">
        <f t="shared" si="661"/>
        <v>OK</v>
      </c>
      <c r="DX494" s="157">
        <f t="shared" si="662"/>
        <v>0</v>
      </c>
      <c r="DY494" s="156" t="str">
        <f t="shared" si="663"/>
        <v>OK</v>
      </c>
    </row>
    <row r="495" spans="1:129" ht="13" hidden="1" x14ac:dyDescent="0.3">
      <c r="A495" s="333"/>
      <c r="B495" s="333"/>
      <c r="C495" s="332" t="str">
        <f t="shared" si="593"/>
        <v>-</v>
      </c>
      <c r="D495" s="584">
        <f t="shared" si="597"/>
        <v>472</v>
      </c>
      <c r="E495" s="585"/>
      <c r="F495" s="586"/>
      <c r="G495" s="600"/>
      <c r="H495" s="587"/>
      <c r="I495" s="601"/>
      <c r="J495" s="585"/>
      <c r="K495" s="617"/>
      <c r="L495" s="602"/>
      <c r="M495" s="603"/>
      <c r="N495" s="588"/>
      <c r="O495" s="604"/>
      <c r="P495" s="605"/>
      <c r="Q495" s="588"/>
      <c r="R495" s="604"/>
      <c r="S495" s="605"/>
      <c r="T495" s="606"/>
      <c r="U495" s="606"/>
      <c r="V495" s="429" t="str">
        <f t="shared" si="668"/>
        <v/>
      </c>
      <c r="W495" s="430" t="str">
        <f t="shared" si="667"/>
        <v/>
      </c>
      <c r="X495" s="66" t="str">
        <f>IF(AND(ISNUMBER(P495),N495=FixedDim),MAX('Adjustment factors'!$S$16,0.2+0.8*P495),IF(ISTEXT(N495),VLOOKUP(N495,Afactors,2,TRUE),""))</f>
        <v/>
      </c>
      <c r="Y495" s="17" t="str">
        <f>IF(AND(ISNUMBER(S495),Q495=FixedDim),MAX('Adjustment factors'!$S$16,0.2+0.8*S495),IF(ISTEXT(Q495),VLOOKUP(Q495,Afactors,2,TRUE),""))</f>
        <v/>
      </c>
      <c r="Z495" s="297" t="str">
        <f>IF(ISBLANK(T495),"",VLOOKUP(T495,'Adjustment factors'!$R$27:$S$30,2,TRUE))</f>
        <v/>
      </c>
      <c r="AA495" s="297" t="str">
        <f>IF(ISBLANK(U495),"",VLOOKUP(U495,'Adjustment factors'!$R$27:$S$30,2,TRUE))</f>
        <v/>
      </c>
      <c r="AB495" s="480">
        <f t="shared" si="642"/>
        <v>1</v>
      </c>
      <c r="AC495" s="18" t="b">
        <f t="shared" si="599"/>
        <v>0</v>
      </c>
      <c r="AD495" s="18" t="b">
        <f t="shared" si="600"/>
        <v>0</v>
      </c>
      <c r="AE495" s="18" t="b">
        <f t="shared" si="664"/>
        <v>0</v>
      </c>
      <c r="AF495" s="17" t="str">
        <f t="shared" si="601"/>
        <v/>
      </c>
      <c r="AG495" s="18" t="str">
        <f t="shared" si="602"/>
        <v/>
      </c>
      <c r="AH495" s="17" t="str">
        <f t="shared" si="665"/>
        <v/>
      </c>
      <c r="AI495" s="297" t="e">
        <f t="shared" si="643"/>
        <v>#VALUE!</v>
      </c>
      <c r="AJ495" s="79" t="e">
        <f t="shared" si="603"/>
        <v>#VALUE!</v>
      </c>
      <c r="AK495" s="17" t="str">
        <f t="shared" si="666"/>
        <v/>
      </c>
      <c r="AL495" s="80" t="e">
        <f t="shared" si="604"/>
        <v>#VALUE!</v>
      </c>
      <c r="AM495" s="139" t="b">
        <f t="shared" si="605"/>
        <v>1</v>
      </c>
      <c r="AN495" s="139" t="b">
        <f>AND(COUNTA(E495)&gt;0,ISNUMBER(F495),OR(COUNT(G495:H495)=0,COUNT(G495:H495)=2,AND(ISNUMBER(G495),ISNUMBER(VALUE(LEFT(H495,SUM(LEN(H495)-LEN(SUBSTITUTE(H495,{"0","1","2","3","4","5","6","7","8","9","."},"")))))))),ISNUMBER(I495),ISTEXT(J495))</f>
        <v>0</v>
      </c>
      <c r="AO495" s="19" t="b">
        <f t="shared" si="606"/>
        <v>0</v>
      </c>
      <c r="AP495" s="19" t="b">
        <f t="shared" si="607"/>
        <v>1</v>
      </c>
      <c r="AQ495" s="19" t="b">
        <f>IF(AND(COUNTBLANK(E495:J495)=6,OR(AN496:AN$523)),NOT(AN495))</f>
        <v>0</v>
      </c>
      <c r="AR495" s="19" t="str">
        <f t="shared" si="608"/>
        <v/>
      </c>
      <c r="AS495" s="19" t="b">
        <f t="shared" si="609"/>
        <v>1</v>
      </c>
      <c r="AT495" s="19" t="str">
        <f t="shared" si="610"/>
        <v/>
      </c>
      <c r="AU495" s="19" t="b">
        <f t="shared" si="611"/>
        <v>1</v>
      </c>
      <c r="AV495" s="140" t="str">
        <f t="shared" si="648"/>
        <v/>
      </c>
      <c r="AW495" s="19" t="str">
        <f t="shared" si="612"/>
        <v/>
      </c>
      <c r="AX495" s="81">
        <f t="shared" si="613"/>
        <v>0</v>
      </c>
      <c r="AY495" s="81" t="str">
        <f t="shared" si="614"/>
        <v/>
      </c>
      <c r="AZ495" s="307" t="str">
        <f t="shared" si="644"/>
        <v/>
      </c>
      <c r="BA495" s="281" t="str">
        <f t="shared" si="649"/>
        <v/>
      </c>
      <c r="BB495" s="281" t="str">
        <f t="shared" si="650"/>
        <v/>
      </c>
      <c r="BC495" s="953"/>
      <c r="BD495" s="955"/>
      <c r="BE495" s="219" t="str">
        <f t="shared" si="615"/>
        <v>n/a</v>
      </c>
      <c r="BF495" s="215" t="b">
        <f t="shared" si="616"/>
        <v>0</v>
      </c>
      <c r="BG495" s="145" t="b">
        <f t="shared" si="617"/>
        <v>0</v>
      </c>
      <c r="BH495" s="145" t="b">
        <f t="shared" si="618"/>
        <v>0</v>
      </c>
      <c r="BI495" s="216" t="b">
        <f t="shared" si="619"/>
        <v>0</v>
      </c>
      <c r="BJ495" s="215" t="b">
        <f t="shared" si="620"/>
        <v>0</v>
      </c>
      <c r="BK495" s="145" t="b">
        <f t="shared" si="621"/>
        <v>0</v>
      </c>
      <c r="BL495" s="216" t="b">
        <f t="shared" si="622"/>
        <v>0</v>
      </c>
      <c r="BM495" s="217" t="str">
        <f t="shared" si="651"/>
        <v/>
      </c>
      <c r="BN495" s="146" t="str">
        <f t="shared" si="652"/>
        <v/>
      </c>
      <c r="BO495" s="147" t="str">
        <f t="shared" si="653"/>
        <v/>
      </c>
      <c r="BP495" s="148" t="str">
        <f t="shared" si="654"/>
        <v/>
      </c>
      <c r="BT495" s="50">
        <f t="shared" si="596"/>
        <v>472</v>
      </c>
      <c r="BU495" s="50" t="str">
        <f t="shared" si="592"/>
        <v>-</v>
      </c>
      <c r="BW495" s="340"/>
      <c r="BX495" s="333"/>
      <c r="BY495" s="333"/>
      <c r="BZ495" s="333"/>
      <c r="CA495" s="333"/>
      <c r="CB495" s="333"/>
      <c r="CC495" s="333"/>
      <c r="CD495" s="333"/>
      <c r="CE495" s="333"/>
      <c r="CF495" s="333"/>
      <c r="CG495" s="354">
        <f t="shared" si="623"/>
        <v>472</v>
      </c>
      <c r="CH495" s="613">
        <f t="shared" si="624"/>
        <v>0</v>
      </c>
      <c r="CI495" s="613">
        <f t="shared" si="625"/>
        <v>0</v>
      </c>
      <c r="CJ495" s="614" t="str">
        <f t="shared" si="626"/>
        <v/>
      </c>
      <c r="CK495" s="615" t="str">
        <f t="shared" si="627"/>
        <v/>
      </c>
      <c r="CL495" s="610" t="str">
        <f>IF(ISBLANK(H495),"",IF(AND(ISNUMBER(F495),ISNUMBER(G495),ISNUMBER(H495)),ROUND(F495/(H495*G495),2),ROUND(F495/(VALUE(LEFT(H495,SUM(LEN(H495)-LEN(SUBSTITUTE(H495,{"0","1","2","3","4","5","6","7","8","9","."},"")))))*G495),2)))</f>
        <v/>
      </c>
      <c r="CM495" s="616" t="str">
        <f t="shared" si="655"/>
        <v/>
      </c>
      <c r="CN495" s="616" t="str">
        <f>IF(ISNUMBER(P495),MAX('Adjustment factors'!$S$16,(0.2+0.8*P495)),IF(ISTEXT(N495),VLOOKUP(N495,Afactors,2,FALSE),""))</f>
        <v/>
      </c>
      <c r="CO495" s="616" t="str">
        <f>IF(ISNUMBER(S495),MAX('Adjustment factors'!$S$16,0.2+0.8*S495),IF(ISTEXT(Q495),VLOOKUP(Q495,Afactors,2,FALSE),""))</f>
        <v/>
      </c>
      <c r="CP495" s="611" t="str">
        <f t="shared" si="645"/>
        <v/>
      </c>
      <c r="CQ495" s="612" t="str">
        <f t="shared" si="646"/>
        <v/>
      </c>
      <c r="CR495" s="340"/>
      <c r="CS495" s="340"/>
      <c r="CT495" s="340"/>
      <c r="CU495" s="340"/>
      <c r="CV495" s="333"/>
      <c r="CW495" s="333"/>
      <c r="CX495" s="333"/>
      <c r="CY495" s="333"/>
      <c r="DA495" s="313" t="str">
        <f t="shared" si="628"/>
        <v>OK</v>
      </c>
      <c r="DB495" s="313" t="str">
        <f t="shared" si="629"/>
        <v>OK</v>
      </c>
      <c r="DC495" s="313" t="str">
        <f t="shared" si="630"/>
        <v>OK</v>
      </c>
      <c r="DD495" s="313" t="str">
        <f t="shared" si="631"/>
        <v>OK</v>
      </c>
      <c r="DE495" s="153" t="str">
        <f t="shared" si="632"/>
        <v>OK</v>
      </c>
      <c r="DF495" s="314" t="str">
        <f t="shared" si="633"/>
        <v>OK</v>
      </c>
      <c r="DG495" s="482" t="str">
        <f t="shared" si="647"/>
        <v>OK</v>
      </c>
      <c r="DH495" s="482" t="str">
        <f>IF(OR(AND(T495='Adjustment factors'!$R$28,'Class 3, 5-9'!U495='Adjustment factors'!$R$29),AND('Class 3, 5-9'!T495='Adjustment factors'!$R$29,'Class 3, 5-9'!U495='Adjustment factors'!$R$28)),"Invalid combination of adjustment factors",IF(AND(T495=U495,NOT(ISBLANK(T495)),NOT(ISBLANK(U495))),"Same colour factor selected twice","OK"))</f>
        <v>OK</v>
      </c>
      <c r="DI495" s="313" t="str">
        <f t="shared" si="634"/>
        <v>OK</v>
      </c>
      <c r="DJ495" s="153" t="str">
        <f t="shared" si="656"/>
        <v>OK</v>
      </c>
      <c r="DK495" s="153" t="str">
        <f t="shared" si="635"/>
        <v>OK</v>
      </c>
      <c r="DL495" s="313" t="str">
        <f t="shared" si="636"/>
        <v>OK</v>
      </c>
      <c r="DM495" s="153" t="str">
        <f t="shared" si="637"/>
        <v>OK</v>
      </c>
      <c r="DN495" s="153" t="str">
        <f t="shared" si="657"/>
        <v>OK</v>
      </c>
      <c r="DO495" s="154" t="str">
        <f t="shared" si="658"/>
        <v>OK</v>
      </c>
      <c r="DP495" s="153" t="str">
        <f t="shared" si="638"/>
        <v>OK</v>
      </c>
      <c r="DQ495" s="313" t="str">
        <f t="shared" si="639"/>
        <v>OK</v>
      </c>
      <c r="DR495" s="153" t="str">
        <f t="shared" si="659"/>
        <v>OK</v>
      </c>
      <c r="DS495" s="153" t="str">
        <f t="shared" si="640"/>
        <v>OK</v>
      </c>
      <c r="DT495" s="313" t="str">
        <f t="shared" si="598"/>
        <v>OK</v>
      </c>
      <c r="DU495" s="153" t="str">
        <f t="shared" si="641"/>
        <v>OK</v>
      </c>
      <c r="DV495" s="153" t="str">
        <f t="shared" si="660"/>
        <v>OK</v>
      </c>
      <c r="DW495" s="154" t="str">
        <f t="shared" si="661"/>
        <v>OK</v>
      </c>
      <c r="DX495" s="157">
        <f t="shared" si="662"/>
        <v>0</v>
      </c>
      <c r="DY495" s="156" t="str">
        <f t="shared" si="663"/>
        <v>OK</v>
      </c>
    </row>
    <row r="496" spans="1:129" ht="13" hidden="1" x14ac:dyDescent="0.3">
      <c r="A496" s="333"/>
      <c r="B496" s="333"/>
      <c r="C496" s="332" t="str">
        <f t="shared" si="593"/>
        <v>-</v>
      </c>
      <c r="D496" s="584">
        <f t="shared" si="597"/>
        <v>473</v>
      </c>
      <c r="E496" s="585"/>
      <c r="F496" s="586"/>
      <c r="G496" s="600"/>
      <c r="H496" s="587"/>
      <c r="I496" s="601"/>
      <c r="J496" s="585"/>
      <c r="K496" s="617"/>
      <c r="L496" s="602"/>
      <c r="M496" s="603"/>
      <c r="N496" s="588"/>
      <c r="O496" s="604"/>
      <c r="P496" s="605"/>
      <c r="Q496" s="588"/>
      <c r="R496" s="604"/>
      <c r="S496" s="605"/>
      <c r="T496" s="606"/>
      <c r="U496" s="606"/>
      <c r="V496" s="429" t="str">
        <f t="shared" si="668"/>
        <v/>
      </c>
      <c r="W496" s="430" t="str">
        <f t="shared" si="667"/>
        <v/>
      </c>
      <c r="X496" s="66" t="str">
        <f>IF(AND(ISNUMBER(P496),N496=FixedDim),MAX('Adjustment factors'!$S$16,0.2+0.8*P496),IF(ISTEXT(N496),VLOOKUP(N496,Afactors,2,TRUE),""))</f>
        <v/>
      </c>
      <c r="Y496" s="17" t="str">
        <f>IF(AND(ISNUMBER(S496),Q496=FixedDim),MAX('Adjustment factors'!$S$16,0.2+0.8*S496),IF(ISTEXT(Q496),VLOOKUP(Q496,Afactors,2,TRUE),""))</f>
        <v/>
      </c>
      <c r="Z496" s="297" t="str">
        <f>IF(ISBLANK(T496),"",VLOOKUP(T496,'Adjustment factors'!$R$27:$S$30,2,TRUE))</f>
        <v/>
      </c>
      <c r="AA496" s="297" t="str">
        <f>IF(ISBLANK(U496),"",VLOOKUP(U496,'Adjustment factors'!$R$27:$S$30,2,TRUE))</f>
        <v/>
      </c>
      <c r="AB496" s="480">
        <f t="shared" si="642"/>
        <v>1</v>
      </c>
      <c r="AC496" s="18" t="b">
        <f t="shared" si="599"/>
        <v>0</v>
      </c>
      <c r="AD496" s="18" t="b">
        <f t="shared" si="600"/>
        <v>0</v>
      </c>
      <c r="AE496" s="18" t="b">
        <f t="shared" si="664"/>
        <v>0</v>
      </c>
      <c r="AF496" s="17" t="str">
        <f t="shared" si="601"/>
        <v/>
      </c>
      <c r="AG496" s="18" t="str">
        <f t="shared" si="602"/>
        <v/>
      </c>
      <c r="AH496" s="17" t="str">
        <f t="shared" si="665"/>
        <v/>
      </c>
      <c r="AI496" s="297" t="e">
        <f t="shared" si="643"/>
        <v>#VALUE!</v>
      </c>
      <c r="AJ496" s="79" t="e">
        <f t="shared" si="603"/>
        <v>#VALUE!</v>
      </c>
      <c r="AK496" s="17" t="str">
        <f t="shared" si="666"/>
        <v/>
      </c>
      <c r="AL496" s="80" t="e">
        <f t="shared" si="604"/>
        <v>#VALUE!</v>
      </c>
      <c r="AM496" s="139" t="b">
        <f t="shared" si="605"/>
        <v>1</v>
      </c>
      <c r="AN496" s="139" t="b">
        <f>AND(COUNTA(E496)&gt;0,ISNUMBER(F496),OR(COUNT(G496:H496)=0,COUNT(G496:H496)=2,AND(ISNUMBER(G496),ISNUMBER(VALUE(LEFT(H496,SUM(LEN(H496)-LEN(SUBSTITUTE(H496,{"0","1","2","3","4","5","6","7","8","9","."},"")))))))),ISNUMBER(I496),ISTEXT(J496))</f>
        <v>0</v>
      </c>
      <c r="AO496" s="19" t="b">
        <f t="shared" si="606"/>
        <v>0</v>
      </c>
      <c r="AP496" s="19" t="b">
        <f t="shared" si="607"/>
        <v>1</v>
      </c>
      <c r="AQ496" s="19" t="b">
        <f>IF(AND(COUNTBLANK(E496:J496)=6,OR(AN497:AN$523)),NOT(AN496))</f>
        <v>0</v>
      </c>
      <c r="AR496" s="19" t="str">
        <f t="shared" si="608"/>
        <v/>
      </c>
      <c r="AS496" s="19" t="b">
        <f t="shared" si="609"/>
        <v>1</v>
      </c>
      <c r="AT496" s="19" t="str">
        <f t="shared" si="610"/>
        <v/>
      </c>
      <c r="AU496" s="19" t="b">
        <f t="shared" si="611"/>
        <v>1</v>
      </c>
      <c r="AV496" s="140" t="str">
        <f t="shared" si="648"/>
        <v/>
      </c>
      <c r="AW496" s="19" t="str">
        <f t="shared" si="612"/>
        <v/>
      </c>
      <c r="AX496" s="81">
        <f t="shared" si="613"/>
        <v>0</v>
      </c>
      <c r="AY496" s="81" t="str">
        <f t="shared" si="614"/>
        <v/>
      </c>
      <c r="AZ496" s="307" t="str">
        <f t="shared" si="644"/>
        <v/>
      </c>
      <c r="BA496" s="281" t="str">
        <f t="shared" si="649"/>
        <v/>
      </c>
      <c r="BB496" s="281" t="str">
        <f t="shared" si="650"/>
        <v/>
      </c>
      <c r="BC496" s="953"/>
      <c r="BD496" s="955"/>
      <c r="BE496" s="219" t="str">
        <f t="shared" si="615"/>
        <v>n/a</v>
      </c>
      <c r="BF496" s="215" t="b">
        <f t="shared" si="616"/>
        <v>0</v>
      </c>
      <c r="BG496" s="145" t="b">
        <f t="shared" si="617"/>
        <v>0</v>
      </c>
      <c r="BH496" s="145" t="b">
        <f t="shared" si="618"/>
        <v>0</v>
      </c>
      <c r="BI496" s="216" t="b">
        <f t="shared" si="619"/>
        <v>0</v>
      </c>
      <c r="BJ496" s="215" t="b">
        <f t="shared" si="620"/>
        <v>0</v>
      </c>
      <c r="BK496" s="145" t="b">
        <f t="shared" si="621"/>
        <v>0</v>
      </c>
      <c r="BL496" s="216" t="b">
        <f t="shared" si="622"/>
        <v>0</v>
      </c>
      <c r="BM496" s="217" t="str">
        <f t="shared" si="651"/>
        <v/>
      </c>
      <c r="BN496" s="146" t="str">
        <f t="shared" si="652"/>
        <v/>
      </c>
      <c r="BO496" s="147" t="str">
        <f t="shared" si="653"/>
        <v/>
      </c>
      <c r="BP496" s="148" t="str">
        <f t="shared" si="654"/>
        <v/>
      </c>
      <c r="BT496" s="50">
        <f t="shared" si="596"/>
        <v>473</v>
      </c>
      <c r="BU496" s="50" t="str">
        <f t="shared" si="592"/>
        <v>-</v>
      </c>
      <c r="BW496" s="340"/>
      <c r="BX496" s="333"/>
      <c r="BY496" s="333"/>
      <c r="BZ496" s="333"/>
      <c r="CA496" s="333"/>
      <c r="CB496" s="333"/>
      <c r="CC496" s="333"/>
      <c r="CD496" s="333"/>
      <c r="CE496" s="333"/>
      <c r="CF496" s="333"/>
      <c r="CG496" s="354">
        <f t="shared" si="623"/>
        <v>473</v>
      </c>
      <c r="CH496" s="613">
        <f t="shared" si="624"/>
        <v>0</v>
      </c>
      <c r="CI496" s="613">
        <f t="shared" si="625"/>
        <v>0</v>
      </c>
      <c r="CJ496" s="614" t="str">
        <f t="shared" si="626"/>
        <v/>
      </c>
      <c r="CK496" s="615" t="str">
        <f t="shared" si="627"/>
        <v/>
      </c>
      <c r="CL496" s="610" t="str">
        <f>IF(ISBLANK(H496),"",IF(AND(ISNUMBER(F496),ISNUMBER(G496),ISNUMBER(H496)),ROUND(F496/(H496*G496),2),ROUND(F496/(VALUE(LEFT(H496,SUM(LEN(H496)-LEN(SUBSTITUTE(H496,{"0","1","2","3","4","5","6","7","8","9","."},"")))))*G496),2)))</f>
        <v/>
      </c>
      <c r="CM496" s="616" t="str">
        <f t="shared" si="655"/>
        <v/>
      </c>
      <c r="CN496" s="616" t="str">
        <f>IF(ISNUMBER(P496),MAX('Adjustment factors'!$S$16,(0.2+0.8*P496)),IF(ISTEXT(N496),VLOOKUP(N496,Afactors,2,FALSE),""))</f>
        <v/>
      </c>
      <c r="CO496" s="616" t="str">
        <f>IF(ISNUMBER(S496),MAX('Adjustment factors'!$S$16,0.2+0.8*S496),IF(ISTEXT(Q496),VLOOKUP(Q496,Afactors,2,FALSE),""))</f>
        <v/>
      </c>
      <c r="CP496" s="611" t="str">
        <f t="shared" si="645"/>
        <v/>
      </c>
      <c r="CQ496" s="612" t="str">
        <f t="shared" si="646"/>
        <v/>
      </c>
      <c r="CR496" s="340"/>
      <c r="CS496" s="340"/>
      <c r="CT496" s="340"/>
      <c r="CU496" s="340"/>
      <c r="CV496" s="333"/>
      <c r="CW496" s="333"/>
      <c r="CX496" s="333"/>
      <c r="CY496" s="333"/>
      <c r="DA496" s="313" t="str">
        <f t="shared" si="628"/>
        <v>OK</v>
      </c>
      <c r="DB496" s="313" t="str">
        <f t="shared" si="629"/>
        <v>OK</v>
      </c>
      <c r="DC496" s="313" t="str">
        <f t="shared" si="630"/>
        <v>OK</v>
      </c>
      <c r="DD496" s="313" t="str">
        <f t="shared" si="631"/>
        <v>OK</v>
      </c>
      <c r="DE496" s="153" t="str">
        <f t="shared" si="632"/>
        <v>OK</v>
      </c>
      <c r="DF496" s="314" t="str">
        <f t="shared" si="633"/>
        <v>OK</v>
      </c>
      <c r="DG496" s="482" t="str">
        <f t="shared" si="647"/>
        <v>OK</v>
      </c>
      <c r="DH496" s="482" t="str">
        <f>IF(OR(AND(T496='Adjustment factors'!$R$28,'Class 3, 5-9'!U496='Adjustment factors'!$R$29),AND('Class 3, 5-9'!T496='Adjustment factors'!$R$29,'Class 3, 5-9'!U496='Adjustment factors'!$R$28)),"Invalid combination of adjustment factors",IF(AND(T496=U496,NOT(ISBLANK(T496)),NOT(ISBLANK(U496))),"Same colour factor selected twice","OK"))</f>
        <v>OK</v>
      </c>
      <c r="DI496" s="313" t="str">
        <f t="shared" si="634"/>
        <v>OK</v>
      </c>
      <c r="DJ496" s="153" t="str">
        <f t="shared" si="656"/>
        <v>OK</v>
      </c>
      <c r="DK496" s="153" t="str">
        <f t="shared" si="635"/>
        <v>OK</v>
      </c>
      <c r="DL496" s="313" t="str">
        <f t="shared" si="636"/>
        <v>OK</v>
      </c>
      <c r="DM496" s="153" t="str">
        <f t="shared" si="637"/>
        <v>OK</v>
      </c>
      <c r="DN496" s="153" t="str">
        <f t="shared" si="657"/>
        <v>OK</v>
      </c>
      <c r="DO496" s="154" t="str">
        <f t="shared" si="658"/>
        <v>OK</v>
      </c>
      <c r="DP496" s="153" t="str">
        <f t="shared" si="638"/>
        <v>OK</v>
      </c>
      <c r="DQ496" s="313" t="str">
        <f t="shared" si="639"/>
        <v>OK</v>
      </c>
      <c r="DR496" s="153" t="str">
        <f t="shared" si="659"/>
        <v>OK</v>
      </c>
      <c r="DS496" s="153" t="str">
        <f t="shared" si="640"/>
        <v>OK</v>
      </c>
      <c r="DT496" s="313" t="str">
        <f t="shared" si="598"/>
        <v>OK</v>
      </c>
      <c r="DU496" s="153" t="str">
        <f t="shared" si="641"/>
        <v>OK</v>
      </c>
      <c r="DV496" s="153" t="str">
        <f t="shared" si="660"/>
        <v>OK</v>
      </c>
      <c r="DW496" s="154" t="str">
        <f t="shared" si="661"/>
        <v>OK</v>
      </c>
      <c r="DX496" s="157">
        <f t="shared" si="662"/>
        <v>0</v>
      </c>
      <c r="DY496" s="156" t="str">
        <f t="shared" si="663"/>
        <v>OK</v>
      </c>
    </row>
    <row r="497" spans="1:129" ht="13" hidden="1" x14ac:dyDescent="0.3">
      <c r="A497" s="333"/>
      <c r="B497" s="333"/>
      <c r="C497" s="332" t="str">
        <f t="shared" si="593"/>
        <v>-</v>
      </c>
      <c r="D497" s="584">
        <f t="shared" si="597"/>
        <v>474</v>
      </c>
      <c r="E497" s="585"/>
      <c r="F497" s="586"/>
      <c r="G497" s="600"/>
      <c r="H497" s="587"/>
      <c r="I497" s="601"/>
      <c r="J497" s="585"/>
      <c r="K497" s="617"/>
      <c r="L497" s="602"/>
      <c r="M497" s="603"/>
      <c r="N497" s="588"/>
      <c r="O497" s="604"/>
      <c r="P497" s="605"/>
      <c r="Q497" s="588"/>
      <c r="R497" s="604"/>
      <c r="S497" s="605"/>
      <c r="T497" s="606"/>
      <c r="U497" s="606"/>
      <c r="V497" s="429" t="str">
        <f t="shared" si="668"/>
        <v/>
      </c>
      <c r="W497" s="430" t="str">
        <f t="shared" si="667"/>
        <v/>
      </c>
      <c r="X497" s="66" t="str">
        <f>IF(AND(ISNUMBER(P497),N497=FixedDim),MAX('Adjustment factors'!$S$16,0.2+0.8*P497),IF(ISTEXT(N497),VLOOKUP(N497,Afactors,2,TRUE),""))</f>
        <v/>
      </c>
      <c r="Y497" s="17" t="str">
        <f>IF(AND(ISNUMBER(S497),Q497=FixedDim),MAX('Adjustment factors'!$S$16,0.2+0.8*S497),IF(ISTEXT(Q497),VLOOKUP(Q497,Afactors,2,TRUE),""))</f>
        <v/>
      </c>
      <c r="Z497" s="297" t="str">
        <f>IF(ISBLANK(T497),"",VLOOKUP(T497,'Adjustment factors'!$R$27:$S$30,2,TRUE))</f>
        <v/>
      </c>
      <c r="AA497" s="297" t="str">
        <f>IF(ISBLANK(U497),"",VLOOKUP(U497,'Adjustment factors'!$R$27:$S$30,2,TRUE))</f>
        <v/>
      </c>
      <c r="AB497" s="480">
        <f t="shared" si="642"/>
        <v>1</v>
      </c>
      <c r="AC497" s="18" t="b">
        <f t="shared" si="599"/>
        <v>0</v>
      </c>
      <c r="AD497" s="18" t="b">
        <f t="shared" si="600"/>
        <v>0</v>
      </c>
      <c r="AE497" s="18" t="b">
        <f t="shared" si="664"/>
        <v>0</v>
      </c>
      <c r="AF497" s="17" t="str">
        <f t="shared" si="601"/>
        <v/>
      </c>
      <c r="AG497" s="18" t="str">
        <f t="shared" si="602"/>
        <v/>
      </c>
      <c r="AH497" s="17" t="str">
        <f t="shared" si="665"/>
        <v/>
      </c>
      <c r="AI497" s="297" t="e">
        <f t="shared" si="643"/>
        <v>#VALUE!</v>
      </c>
      <c r="AJ497" s="79" t="e">
        <f t="shared" si="603"/>
        <v>#VALUE!</v>
      </c>
      <c r="AK497" s="17" t="str">
        <f t="shared" si="666"/>
        <v/>
      </c>
      <c r="AL497" s="80" t="e">
        <f t="shared" si="604"/>
        <v>#VALUE!</v>
      </c>
      <c r="AM497" s="139" t="b">
        <f t="shared" si="605"/>
        <v>1</v>
      </c>
      <c r="AN497" s="139" t="b">
        <f>AND(COUNTA(E497)&gt;0,ISNUMBER(F497),OR(COUNT(G497:H497)=0,COUNT(G497:H497)=2,AND(ISNUMBER(G497),ISNUMBER(VALUE(LEFT(H497,SUM(LEN(H497)-LEN(SUBSTITUTE(H497,{"0","1","2","3","4","5","6","7","8","9","."},"")))))))),ISNUMBER(I497),ISTEXT(J497))</f>
        <v>0</v>
      </c>
      <c r="AO497" s="19" t="b">
        <f t="shared" si="606"/>
        <v>0</v>
      </c>
      <c r="AP497" s="19" t="b">
        <f t="shared" si="607"/>
        <v>1</v>
      </c>
      <c r="AQ497" s="19" t="b">
        <f>IF(AND(COUNTBLANK(E497:J497)=6,OR(AN498:AN$523)),NOT(AN497))</f>
        <v>0</v>
      </c>
      <c r="AR497" s="19" t="str">
        <f t="shared" si="608"/>
        <v/>
      </c>
      <c r="AS497" s="19" t="b">
        <f t="shared" si="609"/>
        <v>1</v>
      </c>
      <c r="AT497" s="19" t="str">
        <f t="shared" si="610"/>
        <v/>
      </c>
      <c r="AU497" s="19" t="b">
        <f t="shared" si="611"/>
        <v>1</v>
      </c>
      <c r="AV497" s="140" t="str">
        <f t="shared" si="648"/>
        <v/>
      </c>
      <c r="AW497" s="19" t="str">
        <f t="shared" si="612"/>
        <v/>
      </c>
      <c r="AX497" s="81">
        <f t="shared" si="613"/>
        <v>0</v>
      </c>
      <c r="AY497" s="81" t="str">
        <f t="shared" si="614"/>
        <v/>
      </c>
      <c r="AZ497" s="307" t="str">
        <f t="shared" si="644"/>
        <v/>
      </c>
      <c r="BA497" s="281" t="str">
        <f t="shared" si="649"/>
        <v/>
      </c>
      <c r="BB497" s="281" t="str">
        <f t="shared" si="650"/>
        <v/>
      </c>
      <c r="BC497" s="953"/>
      <c r="BD497" s="955"/>
      <c r="BE497" s="219" t="str">
        <f t="shared" si="615"/>
        <v>n/a</v>
      </c>
      <c r="BF497" s="215" t="b">
        <f t="shared" si="616"/>
        <v>0</v>
      </c>
      <c r="BG497" s="145" t="b">
        <f t="shared" si="617"/>
        <v>0</v>
      </c>
      <c r="BH497" s="145" t="b">
        <f t="shared" si="618"/>
        <v>0</v>
      </c>
      <c r="BI497" s="216" t="b">
        <f t="shared" si="619"/>
        <v>0</v>
      </c>
      <c r="BJ497" s="215" t="b">
        <f t="shared" si="620"/>
        <v>0</v>
      </c>
      <c r="BK497" s="145" t="b">
        <f t="shared" si="621"/>
        <v>0</v>
      </c>
      <c r="BL497" s="216" t="b">
        <f t="shared" si="622"/>
        <v>0</v>
      </c>
      <c r="BM497" s="217" t="str">
        <f t="shared" si="651"/>
        <v/>
      </c>
      <c r="BN497" s="146" t="str">
        <f t="shared" si="652"/>
        <v/>
      </c>
      <c r="BO497" s="147" t="str">
        <f t="shared" si="653"/>
        <v/>
      </c>
      <c r="BP497" s="148" t="str">
        <f t="shared" si="654"/>
        <v/>
      </c>
      <c r="BT497" s="50">
        <f t="shared" si="596"/>
        <v>474</v>
      </c>
      <c r="BU497" s="50" t="str">
        <f t="shared" si="592"/>
        <v>-</v>
      </c>
      <c r="BW497" s="340"/>
      <c r="BX497" s="333"/>
      <c r="BY497" s="333"/>
      <c r="BZ497" s="333"/>
      <c r="CA497" s="333"/>
      <c r="CB497" s="333"/>
      <c r="CC497" s="333"/>
      <c r="CD497" s="333"/>
      <c r="CE497" s="333"/>
      <c r="CF497" s="333"/>
      <c r="CG497" s="354">
        <f t="shared" si="623"/>
        <v>474</v>
      </c>
      <c r="CH497" s="613">
        <f t="shared" si="624"/>
        <v>0</v>
      </c>
      <c r="CI497" s="613">
        <f t="shared" si="625"/>
        <v>0</v>
      </c>
      <c r="CJ497" s="614" t="str">
        <f t="shared" si="626"/>
        <v/>
      </c>
      <c r="CK497" s="615" t="str">
        <f t="shared" si="627"/>
        <v/>
      </c>
      <c r="CL497" s="610" t="str">
        <f>IF(ISBLANK(H497),"",IF(AND(ISNUMBER(F497),ISNUMBER(G497),ISNUMBER(H497)),ROUND(F497/(H497*G497),2),ROUND(F497/(VALUE(LEFT(H497,SUM(LEN(H497)-LEN(SUBSTITUTE(H497,{"0","1","2","3","4","5","6","7","8","9","."},"")))))*G497),2)))</f>
        <v/>
      </c>
      <c r="CM497" s="616" t="str">
        <f t="shared" si="655"/>
        <v/>
      </c>
      <c r="CN497" s="616" t="str">
        <f>IF(ISNUMBER(P497),MAX('Adjustment factors'!$S$16,(0.2+0.8*P497)),IF(ISTEXT(N497),VLOOKUP(N497,Afactors,2,FALSE),""))</f>
        <v/>
      </c>
      <c r="CO497" s="616" t="str">
        <f>IF(ISNUMBER(S497),MAX('Adjustment factors'!$S$16,0.2+0.8*S497),IF(ISTEXT(Q497),VLOOKUP(Q497,Afactors,2,FALSE),""))</f>
        <v/>
      </c>
      <c r="CP497" s="611" t="str">
        <f t="shared" si="645"/>
        <v/>
      </c>
      <c r="CQ497" s="612" t="str">
        <f t="shared" si="646"/>
        <v/>
      </c>
      <c r="CR497" s="340"/>
      <c r="CS497" s="340"/>
      <c r="CT497" s="340"/>
      <c r="CU497" s="340"/>
      <c r="CV497" s="333"/>
      <c r="CW497" s="333"/>
      <c r="CX497" s="333"/>
      <c r="CY497" s="333"/>
      <c r="DA497" s="313" t="str">
        <f t="shared" si="628"/>
        <v>OK</v>
      </c>
      <c r="DB497" s="313" t="str">
        <f t="shared" si="629"/>
        <v>OK</v>
      </c>
      <c r="DC497" s="313" t="str">
        <f t="shared" si="630"/>
        <v>OK</v>
      </c>
      <c r="DD497" s="313" t="str">
        <f t="shared" si="631"/>
        <v>OK</v>
      </c>
      <c r="DE497" s="153" t="str">
        <f t="shared" si="632"/>
        <v>OK</v>
      </c>
      <c r="DF497" s="314" t="str">
        <f t="shared" si="633"/>
        <v>OK</v>
      </c>
      <c r="DG497" s="482" t="str">
        <f t="shared" si="647"/>
        <v>OK</v>
      </c>
      <c r="DH497" s="482" t="str">
        <f>IF(OR(AND(T497='Adjustment factors'!$R$28,'Class 3, 5-9'!U497='Adjustment factors'!$R$29),AND('Class 3, 5-9'!T497='Adjustment factors'!$R$29,'Class 3, 5-9'!U497='Adjustment factors'!$R$28)),"Invalid combination of adjustment factors",IF(AND(T497=U497,NOT(ISBLANK(T497)),NOT(ISBLANK(U497))),"Same colour factor selected twice","OK"))</f>
        <v>OK</v>
      </c>
      <c r="DI497" s="313" t="str">
        <f t="shared" si="634"/>
        <v>OK</v>
      </c>
      <c r="DJ497" s="153" t="str">
        <f t="shared" si="656"/>
        <v>OK</v>
      </c>
      <c r="DK497" s="153" t="str">
        <f t="shared" si="635"/>
        <v>OK</v>
      </c>
      <c r="DL497" s="313" t="str">
        <f t="shared" si="636"/>
        <v>OK</v>
      </c>
      <c r="DM497" s="153" t="str">
        <f t="shared" si="637"/>
        <v>OK</v>
      </c>
      <c r="DN497" s="153" t="str">
        <f t="shared" si="657"/>
        <v>OK</v>
      </c>
      <c r="DO497" s="154" t="str">
        <f t="shared" si="658"/>
        <v>OK</v>
      </c>
      <c r="DP497" s="153" t="str">
        <f t="shared" si="638"/>
        <v>OK</v>
      </c>
      <c r="DQ497" s="313" t="str">
        <f t="shared" si="639"/>
        <v>OK</v>
      </c>
      <c r="DR497" s="153" t="str">
        <f t="shared" si="659"/>
        <v>OK</v>
      </c>
      <c r="DS497" s="153" t="str">
        <f t="shared" si="640"/>
        <v>OK</v>
      </c>
      <c r="DT497" s="313" t="str">
        <f t="shared" si="598"/>
        <v>OK</v>
      </c>
      <c r="DU497" s="153" t="str">
        <f t="shared" si="641"/>
        <v>OK</v>
      </c>
      <c r="DV497" s="153" t="str">
        <f t="shared" si="660"/>
        <v>OK</v>
      </c>
      <c r="DW497" s="154" t="str">
        <f t="shared" si="661"/>
        <v>OK</v>
      </c>
      <c r="DX497" s="157">
        <f t="shared" si="662"/>
        <v>0</v>
      </c>
      <c r="DY497" s="156" t="str">
        <f t="shared" si="663"/>
        <v>OK</v>
      </c>
    </row>
    <row r="498" spans="1:129" ht="13" hidden="1" x14ac:dyDescent="0.3">
      <c r="A498" s="333"/>
      <c r="B498" s="333"/>
      <c r="C498" s="332" t="str">
        <f t="shared" si="593"/>
        <v>-</v>
      </c>
      <c r="D498" s="584">
        <f t="shared" si="597"/>
        <v>475</v>
      </c>
      <c r="E498" s="585"/>
      <c r="F498" s="586"/>
      <c r="G498" s="600"/>
      <c r="H498" s="587"/>
      <c r="I498" s="601"/>
      <c r="J498" s="585"/>
      <c r="K498" s="617"/>
      <c r="L498" s="602"/>
      <c r="M498" s="603"/>
      <c r="N498" s="588"/>
      <c r="O498" s="604"/>
      <c r="P498" s="605"/>
      <c r="Q498" s="588"/>
      <c r="R498" s="604"/>
      <c r="S498" s="605"/>
      <c r="T498" s="606"/>
      <c r="U498" s="606"/>
      <c r="V498" s="429" t="str">
        <f t="shared" si="668"/>
        <v/>
      </c>
      <c r="W498" s="430" t="str">
        <f t="shared" si="667"/>
        <v/>
      </c>
      <c r="X498" s="66" t="str">
        <f>IF(AND(ISNUMBER(P498),N498=FixedDim),MAX('Adjustment factors'!$S$16,0.2+0.8*P498),IF(ISTEXT(N498),VLOOKUP(N498,Afactors,2,TRUE),""))</f>
        <v/>
      </c>
      <c r="Y498" s="17" t="str">
        <f>IF(AND(ISNUMBER(S498),Q498=FixedDim),MAX('Adjustment factors'!$S$16,0.2+0.8*S498),IF(ISTEXT(Q498),VLOOKUP(Q498,Afactors,2,TRUE),""))</f>
        <v/>
      </c>
      <c r="Z498" s="297" t="str">
        <f>IF(ISBLANK(T498),"",VLOOKUP(T498,'Adjustment factors'!$R$27:$S$30,2,TRUE))</f>
        <v/>
      </c>
      <c r="AA498" s="297" t="str">
        <f>IF(ISBLANK(U498),"",VLOOKUP(U498,'Adjustment factors'!$R$27:$S$30,2,TRUE))</f>
        <v/>
      </c>
      <c r="AB498" s="480">
        <f t="shared" si="642"/>
        <v>1</v>
      </c>
      <c r="AC498" s="18" t="b">
        <f t="shared" si="599"/>
        <v>0</v>
      </c>
      <c r="AD498" s="18" t="b">
        <f t="shared" si="600"/>
        <v>0</v>
      </c>
      <c r="AE498" s="18" t="b">
        <f t="shared" si="664"/>
        <v>0</v>
      </c>
      <c r="AF498" s="17" t="str">
        <f t="shared" si="601"/>
        <v/>
      </c>
      <c r="AG498" s="18" t="str">
        <f t="shared" si="602"/>
        <v/>
      </c>
      <c r="AH498" s="17" t="str">
        <f t="shared" si="665"/>
        <v/>
      </c>
      <c r="AI498" s="297" t="e">
        <f t="shared" si="643"/>
        <v>#VALUE!</v>
      </c>
      <c r="AJ498" s="79" t="e">
        <f t="shared" si="603"/>
        <v>#VALUE!</v>
      </c>
      <c r="AK498" s="17" t="str">
        <f t="shared" si="666"/>
        <v/>
      </c>
      <c r="AL498" s="80" t="e">
        <f t="shared" si="604"/>
        <v>#VALUE!</v>
      </c>
      <c r="AM498" s="139" t="b">
        <f t="shared" si="605"/>
        <v>1</v>
      </c>
      <c r="AN498" s="139" t="b">
        <f>AND(COUNTA(E498)&gt;0,ISNUMBER(F498),OR(COUNT(G498:H498)=0,COUNT(G498:H498)=2,AND(ISNUMBER(G498),ISNUMBER(VALUE(LEFT(H498,SUM(LEN(H498)-LEN(SUBSTITUTE(H498,{"0","1","2","3","4","5","6","7","8","9","."},"")))))))),ISNUMBER(I498),ISTEXT(J498))</f>
        <v>0</v>
      </c>
      <c r="AO498" s="19" t="b">
        <f t="shared" si="606"/>
        <v>0</v>
      </c>
      <c r="AP498" s="19" t="b">
        <f t="shared" si="607"/>
        <v>1</v>
      </c>
      <c r="AQ498" s="19" t="b">
        <f>IF(AND(COUNTBLANK(E498:J498)=6,OR(AN499:AN$523)),NOT(AN498))</f>
        <v>0</v>
      </c>
      <c r="AR498" s="19" t="str">
        <f t="shared" si="608"/>
        <v/>
      </c>
      <c r="AS498" s="19" t="b">
        <f t="shared" si="609"/>
        <v>1</v>
      </c>
      <c r="AT498" s="19" t="str">
        <f t="shared" si="610"/>
        <v/>
      </c>
      <c r="AU498" s="19" t="b">
        <f t="shared" si="611"/>
        <v>1</v>
      </c>
      <c r="AV498" s="140" t="str">
        <f t="shared" si="648"/>
        <v/>
      </c>
      <c r="AW498" s="19" t="str">
        <f t="shared" si="612"/>
        <v/>
      </c>
      <c r="AX498" s="81">
        <f t="shared" si="613"/>
        <v>0</v>
      </c>
      <c r="AY498" s="81" t="str">
        <f t="shared" si="614"/>
        <v/>
      </c>
      <c r="AZ498" s="307" t="str">
        <f t="shared" si="644"/>
        <v/>
      </c>
      <c r="BA498" s="281" t="str">
        <f t="shared" si="649"/>
        <v/>
      </c>
      <c r="BB498" s="281" t="str">
        <f t="shared" si="650"/>
        <v/>
      </c>
      <c r="BC498" s="953"/>
      <c r="BD498" s="955"/>
      <c r="BE498" s="219" t="str">
        <f t="shared" si="615"/>
        <v>n/a</v>
      </c>
      <c r="BF498" s="215" t="b">
        <f t="shared" si="616"/>
        <v>0</v>
      </c>
      <c r="BG498" s="145" t="b">
        <f t="shared" si="617"/>
        <v>0</v>
      </c>
      <c r="BH498" s="145" t="b">
        <f t="shared" si="618"/>
        <v>0</v>
      </c>
      <c r="BI498" s="216" t="b">
        <f t="shared" si="619"/>
        <v>0</v>
      </c>
      <c r="BJ498" s="215" t="b">
        <f t="shared" si="620"/>
        <v>0</v>
      </c>
      <c r="BK498" s="145" t="b">
        <f t="shared" si="621"/>
        <v>0</v>
      </c>
      <c r="BL498" s="216" t="b">
        <f t="shared" si="622"/>
        <v>0</v>
      </c>
      <c r="BM498" s="217" t="str">
        <f t="shared" si="651"/>
        <v/>
      </c>
      <c r="BN498" s="146" t="str">
        <f t="shared" si="652"/>
        <v/>
      </c>
      <c r="BO498" s="147" t="str">
        <f t="shared" si="653"/>
        <v/>
      </c>
      <c r="BP498" s="148" t="str">
        <f t="shared" si="654"/>
        <v/>
      </c>
      <c r="BT498" s="50">
        <f t="shared" si="596"/>
        <v>475</v>
      </c>
      <c r="BU498" s="50" t="str">
        <f t="shared" ref="BU498:BU523" si="669">IF(RowsPreferredOne&gt;=BT498,RowsPreferredOne,"-")</f>
        <v>-</v>
      </c>
      <c r="BW498" s="340"/>
      <c r="BX498" s="333"/>
      <c r="BY498" s="333"/>
      <c r="BZ498" s="333"/>
      <c r="CA498" s="333"/>
      <c r="CB498" s="333"/>
      <c r="CC498" s="333"/>
      <c r="CD498" s="333"/>
      <c r="CE498" s="333"/>
      <c r="CF498" s="333"/>
      <c r="CG498" s="354">
        <f t="shared" si="623"/>
        <v>475</v>
      </c>
      <c r="CH498" s="613">
        <f t="shared" si="624"/>
        <v>0</v>
      </c>
      <c r="CI498" s="613">
        <f t="shared" si="625"/>
        <v>0</v>
      </c>
      <c r="CJ498" s="614" t="str">
        <f t="shared" si="626"/>
        <v/>
      </c>
      <c r="CK498" s="615" t="str">
        <f t="shared" si="627"/>
        <v/>
      </c>
      <c r="CL498" s="610" t="str">
        <f>IF(ISBLANK(H498),"",IF(AND(ISNUMBER(F498),ISNUMBER(G498),ISNUMBER(H498)),ROUND(F498/(H498*G498),2),ROUND(F498/(VALUE(LEFT(H498,SUM(LEN(H498)-LEN(SUBSTITUTE(H498,{"0","1","2","3","4","5","6","7","8","9","."},"")))))*G498),2)))</f>
        <v/>
      </c>
      <c r="CM498" s="616" t="str">
        <f t="shared" si="655"/>
        <v/>
      </c>
      <c r="CN498" s="616" t="str">
        <f>IF(ISNUMBER(P498),MAX('Adjustment factors'!$S$16,(0.2+0.8*P498)),IF(ISTEXT(N498),VLOOKUP(N498,Afactors,2,FALSE),""))</f>
        <v/>
      </c>
      <c r="CO498" s="616" t="str">
        <f>IF(ISNUMBER(S498),MAX('Adjustment factors'!$S$16,0.2+0.8*S498),IF(ISTEXT(Q498),VLOOKUP(Q498,Afactors,2,FALSE),""))</f>
        <v/>
      </c>
      <c r="CP498" s="611" t="str">
        <f t="shared" si="645"/>
        <v/>
      </c>
      <c r="CQ498" s="612" t="str">
        <f t="shared" si="646"/>
        <v/>
      </c>
      <c r="CR498" s="340"/>
      <c r="CS498" s="340"/>
      <c r="CT498" s="340"/>
      <c r="CU498" s="340"/>
      <c r="CV498" s="333"/>
      <c r="CW498" s="333"/>
      <c r="CX498" s="333"/>
      <c r="CY498" s="333"/>
      <c r="DA498" s="313" t="str">
        <f t="shared" si="628"/>
        <v>OK</v>
      </c>
      <c r="DB498" s="313" t="str">
        <f t="shared" si="629"/>
        <v>OK</v>
      </c>
      <c r="DC498" s="313" t="str">
        <f t="shared" si="630"/>
        <v>OK</v>
      </c>
      <c r="DD498" s="313" t="str">
        <f t="shared" si="631"/>
        <v>OK</v>
      </c>
      <c r="DE498" s="153" t="str">
        <f t="shared" si="632"/>
        <v>OK</v>
      </c>
      <c r="DF498" s="314" t="str">
        <f t="shared" si="633"/>
        <v>OK</v>
      </c>
      <c r="DG498" s="482" t="str">
        <f t="shared" si="647"/>
        <v>OK</v>
      </c>
      <c r="DH498" s="482" t="str">
        <f>IF(OR(AND(T498='Adjustment factors'!$R$28,'Class 3, 5-9'!U498='Adjustment factors'!$R$29),AND('Class 3, 5-9'!T498='Adjustment factors'!$R$29,'Class 3, 5-9'!U498='Adjustment factors'!$R$28)),"Invalid combination of adjustment factors",IF(AND(T498=U498,NOT(ISBLANK(T498)),NOT(ISBLANK(U498))),"Same colour factor selected twice","OK"))</f>
        <v>OK</v>
      </c>
      <c r="DI498" s="313" t="str">
        <f t="shared" si="634"/>
        <v>OK</v>
      </c>
      <c r="DJ498" s="153" t="str">
        <f t="shared" si="656"/>
        <v>OK</v>
      </c>
      <c r="DK498" s="153" t="str">
        <f t="shared" si="635"/>
        <v>OK</v>
      </c>
      <c r="DL498" s="313" t="str">
        <f t="shared" si="636"/>
        <v>OK</v>
      </c>
      <c r="DM498" s="153" t="str">
        <f t="shared" si="637"/>
        <v>OK</v>
      </c>
      <c r="DN498" s="153" t="str">
        <f t="shared" si="657"/>
        <v>OK</v>
      </c>
      <c r="DO498" s="154" t="str">
        <f t="shared" si="658"/>
        <v>OK</v>
      </c>
      <c r="DP498" s="153" t="str">
        <f t="shared" si="638"/>
        <v>OK</v>
      </c>
      <c r="DQ498" s="313" t="str">
        <f t="shared" si="639"/>
        <v>OK</v>
      </c>
      <c r="DR498" s="153" t="str">
        <f t="shared" si="659"/>
        <v>OK</v>
      </c>
      <c r="DS498" s="153" t="str">
        <f t="shared" si="640"/>
        <v>OK</v>
      </c>
      <c r="DT498" s="313" t="str">
        <f t="shared" si="598"/>
        <v>OK</v>
      </c>
      <c r="DU498" s="153" t="str">
        <f t="shared" si="641"/>
        <v>OK</v>
      </c>
      <c r="DV498" s="153" t="str">
        <f t="shared" si="660"/>
        <v>OK</v>
      </c>
      <c r="DW498" s="154" t="str">
        <f t="shared" si="661"/>
        <v>OK</v>
      </c>
      <c r="DX498" s="157">
        <f t="shared" si="662"/>
        <v>0</v>
      </c>
      <c r="DY498" s="156" t="str">
        <f t="shared" si="663"/>
        <v>OK</v>
      </c>
    </row>
    <row r="499" spans="1:129" ht="13" hidden="1" x14ac:dyDescent="0.3">
      <c r="A499" s="333"/>
      <c r="B499" s="333"/>
      <c r="C499" s="332" t="str">
        <f t="shared" si="593"/>
        <v>-</v>
      </c>
      <c r="D499" s="584">
        <f t="shared" si="597"/>
        <v>476</v>
      </c>
      <c r="E499" s="585"/>
      <c r="F499" s="586"/>
      <c r="G499" s="600"/>
      <c r="H499" s="587"/>
      <c r="I499" s="601"/>
      <c r="J499" s="585"/>
      <c r="K499" s="617"/>
      <c r="L499" s="602"/>
      <c r="M499" s="603"/>
      <c r="N499" s="588"/>
      <c r="O499" s="604"/>
      <c r="P499" s="605"/>
      <c r="Q499" s="588"/>
      <c r="R499" s="604"/>
      <c r="S499" s="605"/>
      <c r="T499" s="606"/>
      <c r="U499" s="606"/>
      <c r="V499" s="429" t="str">
        <f t="shared" si="668"/>
        <v/>
      </c>
      <c r="W499" s="430" t="str">
        <f t="shared" si="667"/>
        <v/>
      </c>
      <c r="X499" s="66" t="str">
        <f>IF(AND(ISNUMBER(P499),N499=FixedDim),MAX('Adjustment factors'!$S$16,0.2+0.8*P499),IF(ISTEXT(N499),VLOOKUP(N499,Afactors,2,TRUE),""))</f>
        <v/>
      </c>
      <c r="Y499" s="17" t="str">
        <f>IF(AND(ISNUMBER(S499),Q499=FixedDim),MAX('Adjustment factors'!$S$16,0.2+0.8*S499),IF(ISTEXT(Q499),VLOOKUP(Q499,Afactors,2,TRUE),""))</f>
        <v/>
      </c>
      <c r="Z499" s="297" t="str">
        <f>IF(ISBLANK(T499),"",VLOOKUP(T499,'Adjustment factors'!$R$27:$S$30,2,TRUE))</f>
        <v/>
      </c>
      <c r="AA499" s="297" t="str">
        <f>IF(ISBLANK(U499),"",VLOOKUP(U499,'Adjustment factors'!$R$27:$S$30,2,TRUE))</f>
        <v/>
      </c>
      <c r="AB499" s="480">
        <f t="shared" si="642"/>
        <v>1</v>
      </c>
      <c r="AC499" s="18" t="b">
        <f t="shared" si="599"/>
        <v>0</v>
      </c>
      <c r="AD499" s="18" t="b">
        <f t="shared" si="600"/>
        <v>0</v>
      </c>
      <c r="AE499" s="18" t="b">
        <f t="shared" si="664"/>
        <v>0</v>
      </c>
      <c r="AF499" s="17" t="str">
        <f t="shared" si="601"/>
        <v/>
      </c>
      <c r="AG499" s="18" t="str">
        <f t="shared" si="602"/>
        <v/>
      </c>
      <c r="AH499" s="17" t="str">
        <f t="shared" si="665"/>
        <v/>
      </c>
      <c r="AI499" s="297" t="e">
        <f t="shared" si="643"/>
        <v>#VALUE!</v>
      </c>
      <c r="AJ499" s="79" t="e">
        <f t="shared" si="603"/>
        <v>#VALUE!</v>
      </c>
      <c r="AK499" s="17" t="str">
        <f t="shared" si="666"/>
        <v/>
      </c>
      <c r="AL499" s="80" t="e">
        <f t="shared" si="604"/>
        <v>#VALUE!</v>
      </c>
      <c r="AM499" s="139" t="b">
        <f t="shared" si="605"/>
        <v>1</v>
      </c>
      <c r="AN499" s="139" t="b">
        <f>AND(COUNTA(E499)&gt;0,ISNUMBER(F499),OR(COUNT(G499:H499)=0,COUNT(G499:H499)=2,AND(ISNUMBER(G499),ISNUMBER(VALUE(LEFT(H499,SUM(LEN(H499)-LEN(SUBSTITUTE(H499,{"0","1","2","3","4","5","6","7","8","9","."},"")))))))),ISNUMBER(I499),ISTEXT(J499))</f>
        <v>0</v>
      </c>
      <c r="AO499" s="19" t="b">
        <f t="shared" si="606"/>
        <v>0</v>
      </c>
      <c r="AP499" s="19" t="b">
        <f t="shared" si="607"/>
        <v>1</v>
      </c>
      <c r="AQ499" s="19" t="b">
        <f>IF(AND(COUNTBLANK(E499:J499)=6,OR(AN500:AN$523)),NOT(AN499))</f>
        <v>0</v>
      </c>
      <c r="AR499" s="19" t="str">
        <f t="shared" si="608"/>
        <v/>
      </c>
      <c r="AS499" s="19" t="b">
        <f t="shared" si="609"/>
        <v>1</v>
      </c>
      <c r="AT499" s="19" t="str">
        <f t="shared" si="610"/>
        <v/>
      </c>
      <c r="AU499" s="19" t="b">
        <f t="shared" si="611"/>
        <v>1</v>
      </c>
      <c r="AV499" s="140" t="str">
        <f t="shared" si="648"/>
        <v/>
      </c>
      <c r="AW499" s="19" t="str">
        <f t="shared" si="612"/>
        <v/>
      </c>
      <c r="AX499" s="81">
        <f t="shared" si="613"/>
        <v>0</v>
      </c>
      <c r="AY499" s="81" t="str">
        <f t="shared" si="614"/>
        <v/>
      </c>
      <c r="AZ499" s="307" t="str">
        <f t="shared" si="644"/>
        <v/>
      </c>
      <c r="BA499" s="281" t="str">
        <f t="shared" si="649"/>
        <v/>
      </c>
      <c r="BB499" s="281" t="str">
        <f t="shared" si="650"/>
        <v/>
      </c>
      <c r="BC499" s="953"/>
      <c r="BD499" s="955"/>
      <c r="BE499" s="219" t="str">
        <f t="shared" si="615"/>
        <v>n/a</v>
      </c>
      <c r="BF499" s="215" t="b">
        <f t="shared" si="616"/>
        <v>0</v>
      </c>
      <c r="BG499" s="145" t="b">
        <f t="shared" si="617"/>
        <v>0</v>
      </c>
      <c r="BH499" s="145" t="b">
        <f t="shared" si="618"/>
        <v>0</v>
      </c>
      <c r="BI499" s="216" t="b">
        <f t="shared" si="619"/>
        <v>0</v>
      </c>
      <c r="BJ499" s="215" t="b">
        <f t="shared" si="620"/>
        <v>0</v>
      </c>
      <c r="BK499" s="145" t="b">
        <f t="shared" si="621"/>
        <v>0</v>
      </c>
      <c r="BL499" s="216" t="b">
        <f t="shared" si="622"/>
        <v>0</v>
      </c>
      <c r="BM499" s="217" t="str">
        <f t="shared" si="651"/>
        <v/>
      </c>
      <c r="BN499" s="146" t="str">
        <f t="shared" si="652"/>
        <v/>
      </c>
      <c r="BO499" s="147" t="str">
        <f t="shared" si="653"/>
        <v/>
      </c>
      <c r="BP499" s="148" t="str">
        <f t="shared" si="654"/>
        <v/>
      </c>
      <c r="BT499" s="50">
        <f t="shared" si="596"/>
        <v>476</v>
      </c>
      <c r="BU499" s="50" t="str">
        <f t="shared" si="669"/>
        <v>-</v>
      </c>
      <c r="BW499" s="340"/>
      <c r="BX499" s="333"/>
      <c r="BY499" s="333"/>
      <c r="BZ499" s="333"/>
      <c r="CA499" s="333"/>
      <c r="CB499" s="333"/>
      <c r="CC499" s="333"/>
      <c r="CD499" s="333"/>
      <c r="CE499" s="333"/>
      <c r="CF499" s="333"/>
      <c r="CG499" s="354">
        <f t="shared" si="623"/>
        <v>476</v>
      </c>
      <c r="CH499" s="613">
        <f t="shared" si="624"/>
        <v>0</v>
      </c>
      <c r="CI499" s="613">
        <f t="shared" si="625"/>
        <v>0</v>
      </c>
      <c r="CJ499" s="614" t="str">
        <f t="shared" si="626"/>
        <v/>
      </c>
      <c r="CK499" s="615" t="str">
        <f t="shared" si="627"/>
        <v/>
      </c>
      <c r="CL499" s="610" t="str">
        <f>IF(ISBLANK(H499),"",IF(AND(ISNUMBER(F499),ISNUMBER(G499),ISNUMBER(H499)),ROUND(F499/(H499*G499),2),ROUND(F499/(VALUE(LEFT(H499,SUM(LEN(H499)-LEN(SUBSTITUTE(H499,{"0","1","2","3","4","5","6","7","8","9","."},"")))))*G499),2)))</f>
        <v/>
      </c>
      <c r="CM499" s="616" t="str">
        <f t="shared" si="655"/>
        <v/>
      </c>
      <c r="CN499" s="616" t="str">
        <f>IF(ISNUMBER(P499),MAX('Adjustment factors'!$S$16,(0.2+0.8*P499)),IF(ISTEXT(N499),VLOOKUP(N499,Afactors,2,FALSE),""))</f>
        <v/>
      </c>
      <c r="CO499" s="616" t="str">
        <f>IF(ISNUMBER(S499),MAX('Adjustment factors'!$S$16,0.2+0.8*S499),IF(ISTEXT(Q499),VLOOKUP(Q499,Afactors,2,FALSE),""))</f>
        <v/>
      </c>
      <c r="CP499" s="611" t="str">
        <f t="shared" si="645"/>
        <v/>
      </c>
      <c r="CQ499" s="612" t="str">
        <f t="shared" si="646"/>
        <v/>
      </c>
      <c r="CR499" s="340"/>
      <c r="CS499" s="340"/>
      <c r="CT499" s="340"/>
      <c r="CU499" s="340"/>
      <c r="CV499" s="333"/>
      <c r="CW499" s="333"/>
      <c r="CX499" s="333"/>
      <c r="CY499" s="333"/>
      <c r="DA499" s="313" t="str">
        <f t="shared" si="628"/>
        <v>OK</v>
      </c>
      <c r="DB499" s="313" t="str">
        <f t="shared" si="629"/>
        <v>OK</v>
      </c>
      <c r="DC499" s="313" t="str">
        <f t="shared" si="630"/>
        <v>OK</v>
      </c>
      <c r="DD499" s="313" t="str">
        <f t="shared" si="631"/>
        <v>OK</v>
      </c>
      <c r="DE499" s="153" t="str">
        <f t="shared" si="632"/>
        <v>OK</v>
      </c>
      <c r="DF499" s="314" t="str">
        <f t="shared" si="633"/>
        <v>OK</v>
      </c>
      <c r="DG499" s="482" t="str">
        <f t="shared" si="647"/>
        <v>OK</v>
      </c>
      <c r="DH499" s="482" t="str">
        <f>IF(OR(AND(T499='Adjustment factors'!$R$28,'Class 3, 5-9'!U499='Adjustment factors'!$R$29),AND('Class 3, 5-9'!T499='Adjustment factors'!$R$29,'Class 3, 5-9'!U499='Adjustment factors'!$R$28)),"Invalid combination of adjustment factors",IF(AND(T499=U499,NOT(ISBLANK(T499)),NOT(ISBLANK(U499))),"Same colour factor selected twice","OK"))</f>
        <v>OK</v>
      </c>
      <c r="DI499" s="313" t="str">
        <f t="shared" si="634"/>
        <v>OK</v>
      </c>
      <c r="DJ499" s="153" t="str">
        <f t="shared" si="656"/>
        <v>OK</v>
      </c>
      <c r="DK499" s="153" t="str">
        <f t="shared" si="635"/>
        <v>OK</v>
      </c>
      <c r="DL499" s="313" t="str">
        <f t="shared" si="636"/>
        <v>OK</v>
      </c>
      <c r="DM499" s="153" t="str">
        <f t="shared" si="637"/>
        <v>OK</v>
      </c>
      <c r="DN499" s="153" t="str">
        <f t="shared" si="657"/>
        <v>OK</v>
      </c>
      <c r="DO499" s="154" t="str">
        <f t="shared" si="658"/>
        <v>OK</v>
      </c>
      <c r="DP499" s="153" t="str">
        <f t="shared" si="638"/>
        <v>OK</v>
      </c>
      <c r="DQ499" s="313" t="str">
        <f t="shared" si="639"/>
        <v>OK</v>
      </c>
      <c r="DR499" s="153" t="str">
        <f t="shared" si="659"/>
        <v>OK</v>
      </c>
      <c r="DS499" s="153" t="str">
        <f t="shared" si="640"/>
        <v>OK</v>
      </c>
      <c r="DT499" s="313" t="str">
        <f t="shared" si="598"/>
        <v>OK</v>
      </c>
      <c r="DU499" s="153" t="str">
        <f t="shared" si="641"/>
        <v>OK</v>
      </c>
      <c r="DV499" s="153" t="str">
        <f t="shared" si="660"/>
        <v>OK</v>
      </c>
      <c r="DW499" s="154" t="str">
        <f t="shared" si="661"/>
        <v>OK</v>
      </c>
      <c r="DX499" s="157">
        <f t="shared" si="662"/>
        <v>0</v>
      </c>
      <c r="DY499" s="156" t="str">
        <f t="shared" si="663"/>
        <v>OK</v>
      </c>
    </row>
    <row r="500" spans="1:129" ht="13" hidden="1" x14ac:dyDescent="0.3">
      <c r="A500" s="333"/>
      <c r="B500" s="333"/>
      <c r="C500" s="332" t="str">
        <f t="shared" ref="C500:C523" si="670">BU500</f>
        <v>-</v>
      </c>
      <c r="D500" s="584">
        <f t="shared" si="597"/>
        <v>477</v>
      </c>
      <c r="E500" s="585"/>
      <c r="F500" s="586"/>
      <c r="G500" s="600"/>
      <c r="H500" s="587"/>
      <c r="I500" s="601"/>
      <c r="J500" s="585"/>
      <c r="K500" s="617"/>
      <c r="L500" s="602"/>
      <c r="M500" s="603"/>
      <c r="N500" s="588"/>
      <c r="O500" s="604"/>
      <c r="P500" s="605"/>
      <c r="Q500" s="588"/>
      <c r="R500" s="604"/>
      <c r="S500" s="605"/>
      <c r="T500" s="606"/>
      <c r="U500" s="606"/>
      <c r="V500" s="429" t="str">
        <f t="shared" si="668"/>
        <v/>
      </c>
      <c r="W500" s="430" t="str">
        <f t="shared" si="667"/>
        <v/>
      </c>
      <c r="X500" s="66" t="str">
        <f>IF(AND(ISNUMBER(P500),N500=FixedDim),MAX('Adjustment factors'!$S$16,0.2+0.8*P500),IF(ISTEXT(N500),VLOOKUP(N500,Afactors,2,TRUE),""))</f>
        <v/>
      </c>
      <c r="Y500" s="17" t="str">
        <f>IF(AND(ISNUMBER(S500),Q500=FixedDim),MAX('Adjustment factors'!$S$16,0.2+0.8*S500),IF(ISTEXT(Q500),VLOOKUP(Q500,Afactors,2,TRUE),""))</f>
        <v/>
      </c>
      <c r="Z500" s="297" t="str">
        <f>IF(ISBLANK(T500),"",VLOOKUP(T500,'Adjustment factors'!$R$27:$S$30,2,TRUE))</f>
        <v/>
      </c>
      <c r="AA500" s="297" t="str">
        <f>IF(ISBLANK(U500),"",VLOOKUP(U500,'Adjustment factors'!$R$27:$S$30,2,TRUE))</f>
        <v/>
      </c>
      <c r="AB500" s="480">
        <f t="shared" si="642"/>
        <v>1</v>
      </c>
      <c r="AC500" s="18" t="b">
        <f t="shared" si="599"/>
        <v>0</v>
      </c>
      <c r="AD500" s="18" t="b">
        <f t="shared" si="600"/>
        <v>0</v>
      </c>
      <c r="AE500" s="18" t="b">
        <f t="shared" si="664"/>
        <v>0</v>
      </c>
      <c r="AF500" s="17" t="str">
        <f t="shared" si="601"/>
        <v/>
      </c>
      <c r="AG500" s="18" t="str">
        <f t="shared" si="602"/>
        <v/>
      </c>
      <c r="AH500" s="17" t="str">
        <f t="shared" si="665"/>
        <v/>
      </c>
      <c r="AI500" s="297" t="e">
        <f t="shared" si="643"/>
        <v>#VALUE!</v>
      </c>
      <c r="AJ500" s="79" t="e">
        <f t="shared" si="603"/>
        <v>#VALUE!</v>
      </c>
      <c r="AK500" s="17" t="str">
        <f t="shared" si="666"/>
        <v/>
      </c>
      <c r="AL500" s="80" t="e">
        <f t="shared" si="604"/>
        <v>#VALUE!</v>
      </c>
      <c r="AM500" s="139" t="b">
        <f t="shared" si="605"/>
        <v>1</v>
      </c>
      <c r="AN500" s="139" t="b">
        <f>AND(COUNTA(E500)&gt;0,ISNUMBER(F500),OR(COUNT(G500:H500)=0,COUNT(G500:H500)=2,AND(ISNUMBER(G500),ISNUMBER(VALUE(LEFT(H500,SUM(LEN(H500)-LEN(SUBSTITUTE(H500,{"0","1","2","3","4","5","6","7","8","9","."},"")))))))),ISNUMBER(I500),ISTEXT(J500))</f>
        <v>0</v>
      </c>
      <c r="AO500" s="19" t="b">
        <f t="shared" si="606"/>
        <v>0</v>
      </c>
      <c r="AP500" s="19" t="b">
        <f t="shared" si="607"/>
        <v>1</v>
      </c>
      <c r="AQ500" s="19" t="b">
        <f>IF(AND(COUNTBLANK(E500:J500)=6,OR(AN501:AN$523)),NOT(AN500))</f>
        <v>0</v>
      </c>
      <c r="AR500" s="19" t="str">
        <f t="shared" si="608"/>
        <v/>
      </c>
      <c r="AS500" s="19" t="b">
        <f t="shared" si="609"/>
        <v>1</v>
      </c>
      <c r="AT500" s="19" t="str">
        <f t="shared" si="610"/>
        <v/>
      </c>
      <c r="AU500" s="19" t="b">
        <f t="shared" si="611"/>
        <v>1</v>
      </c>
      <c r="AV500" s="140" t="str">
        <f t="shared" si="648"/>
        <v/>
      </c>
      <c r="AW500" s="19" t="str">
        <f t="shared" si="612"/>
        <v/>
      </c>
      <c r="AX500" s="81">
        <f t="shared" si="613"/>
        <v>0</v>
      </c>
      <c r="AY500" s="81" t="str">
        <f t="shared" si="614"/>
        <v/>
      </c>
      <c r="AZ500" s="307" t="str">
        <f t="shared" si="644"/>
        <v/>
      </c>
      <c r="BA500" s="281" t="str">
        <f t="shared" si="649"/>
        <v/>
      </c>
      <c r="BB500" s="281" t="str">
        <f t="shared" si="650"/>
        <v/>
      </c>
      <c r="BC500" s="953"/>
      <c r="BD500" s="955"/>
      <c r="BE500" s="219" t="str">
        <f t="shared" si="615"/>
        <v>n/a</v>
      </c>
      <c r="BF500" s="215" t="b">
        <f t="shared" si="616"/>
        <v>0</v>
      </c>
      <c r="BG500" s="145" t="b">
        <f t="shared" si="617"/>
        <v>0</v>
      </c>
      <c r="BH500" s="145" t="b">
        <f t="shared" si="618"/>
        <v>0</v>
      </c>
      <c r="BI500" s="216" t="b">
        <f t="shared" si="619"/>
        <v>0</v>
      </c>
      <c r="BJ500" s="215" t="b">
        <f t="shared" si="620"/>
        <v>0</v>
      </c>
      <c r="BK500" s="145" t="b">
        <f t="shared" si="621"/>
        <v>0</v>
      </c>
      <c r="BL500" s="216" t="b">
        <f t="shared" si="622"/>
        <v>0</v>
      </c>
      <c r="BM500" s="217" t="str">
        <f t="shared" si="651"/>
        <v/>
      </c>
      <c r="BN500" s="146" t="str">
        <f t="shared" si="652"/>
        <v/>
      </c>
      <c r="BO500" s="147" t="str">
        <f t="shared" si="653"/>
        <v/>
      </c>
      <c r="BP500" s="148" t="str">
        <f t="shared" si="654"/>
        <v/>
      </c>
      <c r="BT500" s="50">
        <f t="shared" si="596"/>
        <v>477</v>
      </c>
      <c r="BU500" s="50" t="str">
        <f t="shared" si="669"/>
        <v>-</v>
      </c>
      <c r="BW500" s="340"/>
      <c r="BX500" s="333"/>
      <c r="BY500" s="333"/>
      <c r="BZ500" s="333"/>
      <c r="CA500" s="333"/>
      <c r="CB500" s="333"/>
      <c r="CC500" s="333"/>
      <c r="CD500" s="333"/>
      <c r="CE500" s="333"/>
      <c r="CF500" s="333"/>
      <c r="CG500" s="354">
        <f t="shared" si="623"/>
        <v>477</v>
      </c>
      <c r="CH500" s="613">
        <f t="shared" si="624"/>
        <v>0</v>
      </c>
      <c r="CI500" s="613">
        <f t="shared" si="625"/>
        <v>0</v>
      </c>
      <c r="CJ500" s="614" t="str">
        <f t="shared" si="626"/>
        <v/>
      </c>
      <c r="CK500" s="615" t="str">
        <f t="shared" si="627"/>
        <v/>
      </c>
      <c r="CL500" s="610" t="str">
        <f>IF(ISBLANK(H500),"",IF(AND(ISNUMBER(F500),ISNUMBER(G500),ISNUMBER(H500)),ROUND(F500/(H500*G500),2),ROUND(F500/(VALUE(LEFT(H500,SUM(LEN(H500)-LEN(SUBSTITUTE(H500,{"0","1","2","3","4","5","6","7","8","9","."},"")))))*G500),2)))</f>
        <v/>
      </c>
      <c r="CM500" s="616" t="str">
        <f t="shared" si="655"/>
        <v/>
      </c>
      <c r="CN500" s="616" t="str">
        <f>IF(ISNUMBER(P500),MAX('Adjustment factors'!$S$16,(0.2+0.8*P500)),IF(ISTEXT(N500),VLOOKUP(N500,Afactors,2,FALSE),""))</f>
        <v/>
      </c>
      <c r="CO500" s="616" t="str">
        <f>IF(ISNUMBER(S500),MAX('Adjustment factors'!$S$16,0.2+0.8*S500),IF(ISTEXT(Q500),VLOOKUP(Q500,Afactors,2,FALSE),""))</f>
        <v/>
      </c>
      <c r="CP500" s="611" t="str">
        <f t="shared" si="645"/>
        <v/>
      </c>
      <c r="CQ500" s="612" t="str">
        <f t="shared" si="646"/>
        <v/>
      </c>
      <c r="CR500" s="340"/>
      <c r="CS500" s="340"/>
      <c r="CT500" s="340"/>
      <c r="CU500" s="340"/>
      <c r="CV500" s="333"/>
      <c r="CW500" s="333"/>
      <c r="CX500" s="333"/>
      <c r="CY500" s="333"/>
      <c r="DA500" s="313" t="str">
        <f t="shared" si="628"/>
        <v>OK</v>
      </c>
      <c r="DB500" s="313" t="str">
        <f t="shared" si="629"/>
        <v>OK</v>
      </c>
      <c r="DC500" s="313" t="str">
        <f t="shared" si="630"/>
        <v>OK</v>
      </c>
      <c r="DD500" s="313" t="str">
        <f t="shared" si="631"/>
        <v>OK</v>
      </c>
      <c r="DE500" s="153" t="str">
        <f t="shared" si="632"/>
        <v>OK</v>
      </c>
      <c r="DF500" s="314" t="str">
        <f t="shared" si="633"/>
        <v>OK</v>
      </c>
      <c r="DG500" s="482" t="str">
        <f t="shared" si="647"/>
        <v>OK</v>
      </c>
      <c r="DH500" s="482" t="str">
        <f>IF(OR(AND(T500='Adjustment factors'!$R$28,'Class 3, 5-9'!U500='Adjustment factors'!$R$29),AND('Class 3, 5-9'!T500='Adjustment factors'!$R$29,'Class 3, 5-9'!U500='Adjustment factors'!$R$28)),"Invalid combination of adjustment factors",IF(AND(T500=U500,NOT(ISBLANK(T500)),NOT(ISBLANK(U500))),"Same colour factor selected twice","OK"))</f>
        <v>OK</v>
      </c>
      <c r="DI500" s="313" t="str">
        <f t="shared" si="634"/>
        <v>OK</v>
      </c>
      <c r="DJ500" s="153" t="str">
        <f t="shared" si="656"/>
        <v>OK</v>
      </c>
      <c r="DK500" s="153" t="str">
        <f t="shared" si="635"/>
        <v>OK</v>
      </c>
      <c r="DL500" s="313" t="str">
        <f t="shared" si="636"/>
        <v>OK</v>
      </c>
      <c r="DM500" s="153" t="str">
        <f t="shared" si="637"/>
        <v>OK</v>
      </c>
      <c r="DN500" s="153" t="str">
        <f t="shared" si="657"/>
        <v>OK</v>
      </c>
      <c r="DO500" s="154" t="str">
        <f t="shared" si="658"/>
        <v>OK</v>
      </c>
      <c r="DP500" s="153" t="str">
        <f t="shared" si="638"/>
        <v>OK</v>
      </c>
      <c r="DQ500" s="313" t="str">
        <f t="shared" si="639"/>
        <v>OK</v>
      </c>
      <c r="DR500" s="153" t="str">
        <f t="shared" si="659"/>
        <v>OK</v>
      </c>
      <c r="DS500" s="153" t="str">
        <f t="shared" si="640"/>
        <v>OK</v>
      </c>
      <c r="DT500" s="313" t="str">
        <f t="shared" si="598"/>
        <v>OK</v>
      </c>
      <c r="DU500" s="153" t="str">
        <f t="shared" si="641"/>
        <v>OK</v>
      </c>
      <c r="DV500" s="153" t="str">
        <f t="shared" si="660"/>
        <v>OK</v>
      </c>
      <c r="DW500" s="154" t="str">
        <f t="shared" si="661"/>
        <v>OK</v>
      </c>
      <c r="DX500" s="157">
        <f t="shared" si="662"/>
        <v>0</v>
      </c>
      <c r="DY500" s="156" t="str">
        <f t="shared" si="663"/>
        <v>OK</v>
      </c>
    </row>
    <row r="501" spans="1:129" ht="13" hidden="1" x14ac:dyDescent="0.3">
      <c r="A501" s="333"/>
      <c r="B501" s="333"/>
      <c r="C501" s="332" t="str">
        <f t="shared" si="670"/>
        <v>-</v>
      </c>
      <c r="D501" s="584">
        <f t="shared" si="597"/>
        <v>478</v>
      </c>
      <c r="E501" s="585"/>
      <c r="F501" s="586"/>
      <c r="G501" s="600"/>
      <c r="H501" s="587"/>
      <c r="I501" s="601"/>
      <c r="J501" s="585"/>
      <c r="K501" s="617"/>
      <c r="L501" s="602"/>
      <c r="M501" s="603"/>
      <c r="N501" s="588"/>
      <c r="O501" s="604"/>
      <c r="P501" s="605"/>
      <c r="Q501" s="588"/>
      <c r="R501" s="604"/>
      <c r="S501" s="605"/>
      <c r="T501" s="606"/>
      <c r="U501" s="606"/>
      <c r="V501" s="429" t="str">
        <f t="shared" si="668"/>
        <v/>
      </c>
      <c r="W501" s="430" t="str">
        <f t="shared" si="667"/>
        <v/>
      </c>
      <c r="X501" s="66" t="str">
        <f>IF(AND(ISNUMBER(P501),N501=FixedDim),MAX('Adjustment factors'!$S$16,0.2+0.8*P501),IF(ISTEXT(N501),VLOOKUP(N501,Afactors,2,TRUE),""))</f>
        <v/>
      </c>
      <c r="Y501" s="17" t="str">
        <f>IF(AND(ISNUMBER(S501),Q501=FixedDim),MAX('Adjustment factors'!$S$16,0.2+0.8*S501),IF(ISTEXT(Q501),VLOOKUP(Q501,Afactors,2,TRUE),""))</f>
        <v/>
      </c>
      <c r="Z501" s="297" t="str">
        <f>IF(ISBLANK(T501),"",VLOOKUP(T501,'Adjustment factors'!$R$27:$S$30,2,TRUE))</f>
        <v/>
      </c>
      <c r="AA501" s="297" t="str">
        <f>IF(ISBLANK(U501),"",VLOOKUP(U501,'Adjustment factors'!$R$27:$S$30,2,TRUE))</f>
        <v/>
      </c>
      <c r="AB501" s="480">
        <f t="shared" si="642"/>
        <v>1</v>
      </c>
      <c r="AC501" s="18" t="b">
        <f t="shared" si="599"/>
        <v>0</v>
      </c>
      <c r="AD501" s="18" t="b">
        <f t="shared" si="600"/>
        <v>0</v>
      </c>
      <c r="AE501" s="18" t="b">
        <f t="shared" si="664"/>
        <v>0</v>
      </c>
      <c r="AF501" s="17" t="str">
        <f t="shared" si="601"/>
        <v/>
      </c>
      <c r="AG501" s="18" t="str">
        <f t="shared" si="602"/>
        <v/>
      </c>
      <c r="AH501" s="17" t="str">
        <f t="shared" si="665"/>
        <v/>
      </c>
      <c r="AI501" s="297" t="e">
        <f t="shared" si="643"/>
        <v>#VALUE!</v>
      </c>
      <c r="AJ501" s="79" t="e">
        <f t="shared" si="603"/>
        <v>#VALUE!</v>
      </c>
      <c r="AK501" s="17" t="str">
        <f t="shared" si="666"/>
        <v/>
      </c>
      <c r="AL501" s="80" t="e">
        <f t="shared" si="604"/>
        <v>#VALUE!</v>
      </c>
      <c r="AM501" s="139" t="b">
        <f t="shared" si="605"/>
        <v>1</v>
      </c>
      <c r="AN501" s="139" t="b">
        <f>AND(COUNTA(E501)&gt;0,ISNUMBER(F501),OR(COUNT(G501:H501)=0,COUNT(G501:H501)=2,AND(ISNUMBER(G501),ISNUMBER(VALUE(LEFT(H501,SUM(LEN(H501)-LEN(SUBSTITUTE(H501,{"0","1","2","3","4","5","6","7","8","9","."},"")))))))),ISNUMBER(I501),ISTEXT(J501))</f>
        <v>0</v>
      </c>
      <c r="AO501" s="19" t="b">
        <f t="shared" si="606"/>
        <v>0</v>
      </c>
      <c r="AP501" s="19" t="b">
        <f t="shared" si="607"/>
        <v>1</v>
      </c>
      <c r="AQ501" s="19" t="b">
        <f>IF(AND(COUNTBLANK(E501:J501)=6,OR(AN502:AN$523)),NOT(AN501))</f>
        <v>0</v>
      </c>
      <c r="AR501" s="19" t="str">
        <f t="shared" si="608"/>
        <v/>
      </c>
      <c r="AS501" s="19" t="b">
        <f t="shared" si="609"/>
        <v>1</v>
      </c>
      <c r="AT501" s="19" t="str">
        <f t="shared" si="610"/>
        <v/>
      </c>
      <c r="AU501" s="19" t="b">
        <f t="shared" si="611"/>
        <v>1</v>
      </c>
      <c r="AV501" s="140" t="str">
        <f t="shared" si="648"/>
        <v/>
      </c>
      <c r="AW501" s="19" t="str">
        <f t="shared" si="612"/>
        <v/>
      </c>
      <c r="AX501" s="81">
        <f t="shared" si="613"/>
        <v>0</v>
      </c>
      <c r="AY501" s="81" t="str">
        <f t="shared" si="614"/>
        <v/>
      </c>
      <c r="AZ501" s="307" t="str">
        <f t="shared" si="644"/>
        <v/>
      </c>
      <c r="BA501" s="281" t="str">
        <f t="shared" si="649"/>
        <v/>
      </c>
      <c r="BB501" s="281" t="str">
        <f t="shared" si="650"/>
        <v/>
      </c>
      <c r="BC501" s="953"/>
      <c r="BD501" s="955"/>
      <c r="BE501" s="219" t="str">
        <f t="shared" si="615"/>
        <v>n/a</v>
      </c>
      <c r="BF501" s="215" t="b">
        <f t="shared" si="616"/>
        <v>0</v>
      </c>
      <c r="BG501" s="145" t="b">
        <f t="shared" si="617"/>
        <v>0</v>
      </c>
      <c r="BH501" s="145" t="b">
        <f t="shared" si="618"/>
        <v>0</v>
      </c>
      <c r="BI501" s="216" t="b">
        <f t="shared" si="619"/>
        <v>0</v>
      </c>
      <c r="BJ501" s="215" t="b">
        <f t="shared" si="620"/>
        <v>0</v>
      </c>
      <c r="BK501" s="145" t="b">
        <f t="shared" si="621"/>
        <v>0</v>
      </c>
      <c r="BL501" s="216" t="b">
        <f t="shared" si="622"/>
        <v>0</v>
      </c>
      <c r="BM501" s="217" t="str">
        <f t="shared" si="651"/>
        <v/>
      </c>
      <c r="BN501" s="146" t="str">
        <f t="shared" si="652"/>
        <v/>
      </c>
      <c r="BO501" s="147" t="str">
        <f t="shared" si="653"/>
        <v/>
      </c>
      <c r="BP501" s="148" t="str">
        <f t="shared" si="654"/>
        <v/>
      </c>
      <c r="BT501" s="50">
        <f t="shared" si="596"/>
        <v>478</v>
      </c>
      <c r="BU501" s="50" t="str">
        <f t="shared" si="669"/>
        <v>-</v>
      </c>
      <c r="BW501" s="340"/>
      <c r="BX501" s="333"/>
      <c r="BY501" s="333"/>
      <c r="BZ501" s="333"/>
      <c r="CA501" s="333"/>
      <c r="CB501" s="333"/>
      <c r="CC501" s="333"/>
      <c r="CD501" s="333"/>
      <c r="CE501" s="333"/>
      <c r="CF501" s="333"/>
      <c r="CG501" s="354">
        <f t="shared" si="623"/>
        <v>478</v>
      </c>
      <c r="CH501" s="613">
        <f t="shared" si="624"/>
        <v>0</v>
      </c>
      <c r="CI501" s="613">
        <f t="shared" si="625"/>
        <v>0</v>
      </c>
      <c r="CJ501" s="614" t="str">
        <f t="shared" si="626"/>
        <v/>
      </c>
      <c r="CK501" s="615" t="str">
        <f t="shared" si="627"/>
        <v/>
      </c>
      <c r="CL501" s="610" t="str">
        <f>IF(ISBLANK(H501),"",IF(AND(ISNUMBER(F501),ISNUMBER(G501),ISNUMBER(H501)),ROUND(F501/(H501*G501),2),ROUND(F501/(VALUE(LEFT(H501,SUM(LEN(H501)-LEN(SUBSTITUTE(H501,{"0","1","2","3","4","5","6","7","8","9","."},"")))))*G501),2)))</f>
        <v/>
      </c>
      <c r="CM501" s="616" t="str">
        <f t="shared" si="655"/>
        <v/>
      </c>
      <c r="CN501" s="616" t="str">
        <f>IF(ISNUMBER(P501),MAX('Adjustment factors'!$S$16,(0.2+0.8*P501)),IF(ISTEXT(N501),VLOOKUP(N501,Afactors,2,FALSE),""))</f>
        <v/>
      </c>
      <c r="CO501" s="616" t="str">
        <f>IF(ISNUMBER(S501),MAX('Adjustment factors'!$S$16,0.2+0.8*S501),IF(ISTEXT(Q501),VLOOKUP(Q501,Afactors,2,FALSE),""))</f>
        <v/>
      </c>
      <c r="CP501" s="611" t="str">
        <f t="shared" si="645"/>
        <v/>
      </c>
      <c r="CQ501" s="612" t="str">
        <f t="shared" si="646"/>
        <v/>
      </c>
      <c r="CR501" s="340"/>
      <c r="CS501" s="340"/>
      <c r="CT501" s="340"/>
      <c r="CU501" s="340"/>
      <c r="CV501" s="333"/>
      <c r="CW501" s="333"/>
      <c r="CX501" s="333"/>
      <c r="CY501" s="333"/>
      <c r="DA501" s="313" t="str">
        <f t="shared" si="628"/>
        <v>OK</v>
      </c>
      <c r="DB501" s="313" t="str">
        <f t="shared" si="629"/>
        <v>OK</v>
      </c>
      <c r="DC501" s="313" t="str">
        <f t="shared" si="630"/>
        <v>OK</v>
      </c>
      <c r="DD501" s="313" t="str">
        <f t="shared" si="631"/>
        <v>OK</v>
      </c>
      <c r="DE501" s="153" t="str">
        <f t="shared" si="632"/>
        <v>OK</v>
      </c>
      <c r="DF501" s="314" t="str">
        <f t="shared" si="633"/>
        <v>OK</v>
      </c>
      <c r="DG501" s="482" t="str">
        <f t="shared" si="647"/>
        <v>OK</v>
      </c>
      <c r="DH501" s="482" t="str">
        <f>IF(OR(AND(T501='Adjustment factors'!$R$28,'Class 3, 5-9'!U501='Adjustment factors'!$R$29),AND('Class 3, 5-9'!T501='Adjustment factors'!$R$29,'Class 3, 5-9'!U501='Adjustment factors'!$R$28)),"Invalid combination of adjustment factors",IF(AND(T501=U501,NOT(ISBLANK(T501)),NOT(ISBLANK(U501))),"Same colour factor selected twice","OK"))</f>
        <v>OK</v>
      </c>
      <c r="DI501" s="313" t="str">
        <f t="shared" si="634"/>
        <v>OK</v>
      </c>
      <c r="DJ501" s="153" t="str">
        <f t="shared" si="656"/>
        <v>OK</v>
      </c>
      <c r="DK501" s="153" t="str">
        <f t="shared" si="635"/>
        <v>OK</v>
      </c>
      <c r="DL501" s="313" t="str">
        <f t="shared" si="636"/>
        <v>OK</v>
      </c>
      <c r="DM501" s="153" t="str">
        <f t="shared" si="637"/>
        <v>OK</v>
      </c>
      <c r="DN501" s="153" t="str">
        <f t="shared" si="657"/>
        <v>OK</v>
      </c>
      <c r="DO501" s="154" t="str">
        <f t="shared" si="658"/>
        <v>OK</v>
      </c>
      <c r="DP501" s="153" t="str">
        <f t="shared" si="638"/>
        <v>OK</v>
      </c>
      <c r="DQ501" s="313" t="str">
        <f t="shared" si="639"/>
        <v>OK</v>
      </c>
      <c r="DR501" s="153" t="str">
        <f t="shared" si="659"/>
        <v>OK</v>
      </c>
      <c r="DS501" s="153" t="str">
        <f t="shared" si="640"/>
        <v>OK</v>
      </c>
      <c r="DT501" s="313" t="str">
        <f t="shared" si="598"/>
        <v>OK</v>
      </c>
      <c r="DU501" s="153" t="str">
        <f t="shared" si="641"/>
        <v>OK</v>
      </c>
      <c r="DV501" s="153" t="str">
        <f t="shared" si="660"/>
        <v>OK</v>
      </c>
      <c r="DW501" s="154" t="str">
        <f t="shared" si="661"/>
        <v>OK</v>
      </c>
      <c r="DX501" s="157">
        <f t="shared" si="662"/>
        <v>0</v>
      </c>
      <c r="DY501" s="156" t="str">
        <f t="shared" si="663"/>
        <v>OK</v>
      </c>
    </row>
    <row r="502" spans="1:129" ht="13" hidden="1" x14ac:dyDescent="0.3">
      <c r="A502" s="333"/>
      <c r="B502" s="333"/>
      <c r="C502" s="332" t="str">
        <f t="shared" si="670"/>
        <v>-</v>
      </c>
      <c r="D502" s="584">
        <f t="shared" si="597"/>
        <v>479</v>
      </c>
      <c r="E502" s="585"/>
      <c r="F502" s="586"/>
      <c r="G502" s="600"/>
      <c r="H502" s="587"/>
      <c r="I502" s="601"/>
      <c r="J502" s="585"/>
      <c r="K502" s="617"/>
      <c r="L502" s="602"/>
      <c r="M502" s="603"/>
      <c r="N502" s="588"/>
      <c r="O502" s="604"/>
      <c r="P502" s="605"/>
      <c r="Q502" s="588"/>
      <c r="R502" s="604"/>
      <c r="S502" s="605"/>
      <c r="T502" s="606"/>
      <c r="U502" s="606"/>
      <c r="V502" s="429" t="str">
        <f t="shared" si="668"/>
        <v/>
      </c>
      <c r="W502" s="430" t="str">
        <f t="shared" si="667"/>
        <v/>
      </c>
      <c r="X502" s="66" t="str">
        <f>IF(AND(ISNUMBER(P502),N502=FixedDim),MAX('Adjustment factors'!$S$16,0.2+0.8*P502),IF(ISTEXT(N502),VLOOKUP(N502,Afactors,2,TRUE),""))</f>
        <v/>
      </c>
      <c r="Y502" s="17" t="str">
        <f>IF(AND(ISNUMBER(S502),Q502=FixedDim),MAX('Adjustment factors'!$S$16,0.2+0.8*S502),IF(ISTEXT(Q502),VLOOKUP(Q502,Afactors,2,TRUE),""))</f>
        <v/>
      </c>
      <c r="Z502" s="297" t="str">
        <f>IF(ISBLANK(T502),"",VLOOKUP(T502,'Adjustment factors'!$R$27:$S$30,2,TRUE))</f>
        <v/>
      </c>
      <c r="AA502" s="297" t="str">
        <f>IF(ISBLANK(U502),"",VLOOKUP(U502,'Adjustment factors'!$R$27:$S$30,2,TRUE))</f>
        <v/>
      </c>
      <c r="AB502" s="480">
        <f t="shared" si="642"/>
        <v>1</v>
      </c>
      <c r="AC502" s="18" t="b">
        <f t="shared" si="599"/>
        <v>0</v>
      </c>
      <c r="AD502" s="18" t="b">
        <f t="shared" si="600"/>
        <v>0</v>
      </c>
      <c r="AE502" s="18" t="b">
        <f t="shared" si="664"/>
        <v>0</v>
      </c>
      <c r="AF502" s="17" t="str">
        <f t="shared" si="601"/>
        <v/>
      </c>
      <c r="AG502" s="18" t="str">
        <f t="shared" si="602"/>
        <v/>
      </c>
      <c r="AH502" s="17" t="str">
        <f t="shared" si="665"/>
        <v/>
      </c>
      <c r="AI502" s="297" t="e">
        <f t="shared" si="643"/>
        <v>#VALUE!</v>
      </c>
      <c r="AJ502" s="79" t="e">
        <f t="shared" si="603"/>
        <v>#VALUE!</v>
      </c>
      <c r="AK502" s="17" t="str">
        <f t="shared" si="666"/>
        <v/>
      </c>
      <c r="AL502" s="80" t="e">
        <f t="shared" si="604"/>
        <v>#VALUE!</v>
      </c>
      <c r="AM502" s="139" t="b">
        <f t="shared" si="605"/>
        <v>1</v>
      </c>
      <c r="AN502" s="139" t="b">
        <f>AND(COUNTA(E502)&gt;0,ISNUMBER(F502),OR(COUNT(G502:H502)=0,COUNT(G502:H502)=2,AND(ISNUMBER(G502),ISNUMBER(VALUE(LEFT(H502,SUM(LEN(H502)-LEN(SUBSTITUTE(H502,{"0","1","2","3","4","5","6","7","8","9","."},"")))))))),ISNUMBER(I502),ISTEXT(J502))</f>
        <v>0</v>
      </c>
      <c r="AO502" s="19" t="b">
        <f t="shared" si="606"/>
        <v>0</v>
      </c>
      <c r="AP502" s="19" t="b">
        <f t="shared" si="607"/>
        <v>1</v>
      </c>
      <c r="AQ502" s="19" t="b">
        <f>IF(AND(COUNTBLANK(E502:J502)=6,OR(AN503:AN$523)),NOT(AN502))</f>
        <v>0</v>
      </c>
      <c r="AR502" s="19" t="str">
        <f t="shared" si="608"/>
        <v/>
      </c>
      <c r="AS502" s="19" t="b">
        <f t="shared" si="609"/>
        <v>1</v>
      </c>
      <c r="AT502" s="19" t="str">
        <f t="shared" si="610"/>
        <v/>
      </c>
      <c r="AU502" s="19" t="b">
        <f t="shared" si="611"/>
        <v>1</v>
      </c>
      <c r="AV502" s="140" t="str">
        <f t="shared" si="648"/>
        <v/>
      </c>
      <c r="AW502" s="19" t="str">
        <f t="shared" si="612"/>
        <v/>
      </c>
      <c r="AX502" s="81">
        <f t="shared" si="613"/>
        <v>0</v>
      </c>
      <c r="AY502" s="81" t="str">
        <f t="shared" si="614"/>
        <v/>
      </c>
      <c r="AZ502" s="307" t="str">
        <f t="shared" si="644"/>
        <v/>
      </c>
      <c r="BA502" s="281" t="str">
        <f t="shared" si="649"/>
        <v/>
      </c>
      <c r="BB502" s="281" t="str">
        <f t="shared" si="650"/>
        <v/>
      </c>
      <c r="BC502" s="953"/>
      <c r="BD502" s="955"/>
      <c r="BE502" s="219" t="str">
        <f t="shared" si="615"/>
        <v>n/a</v>
      </c>
      <c r="BF502" s="215" t="b">
        <f t="shared" si="616"/>
        <v>0</v>
      </c>
      <c r="BG502" s="145" t="b">
        <f t="shared" si="617"/>
        <v>0</v>
      </c>
      <c r="BH502" s="145" t="b">
        <f t="shared" si="618"/>
        <v>0</v>
      </c>
      <c r="BI502" s="216" t="b">
        <f t="shared" si="619"/>
        <v>0</v>
      </c>
      <c r="BJ502" s="215" t="b">
        <f t="shared" si="620"/>
        <v>0</v>
      </c>
      <c r="BK502" s="145" t="b">
        <f t="shared" si="621"/>
        <v>0</v>
      </c>
      <c r="BL502" s="216" t="b">
        <f t="shared" si="622"/>
        <v>0</v>
      </c>
      <c r="BM502" s="217" t="str">
        <f t="shared" si="651"/>
        <v/>
      </c>
      <c r="BN502" s="146" t="str">
        <f t="shared" si="652"/>
        <v/>
      </c>
      <c r="BO502" s="147" t="str">
        <f t="shared" si="653"/>
        <v/>
      </c>
      <c r="BP502" s="148" t="str">
        <f t="shared" si="654"/>
        <v/>
      </c>
      <c r="BT502" s="50">
        <f t="shared" si="596"/>
        <v>479</v>
      </c>
      <c r="BU502" s="50" t="str">
        <f t="shared" si="669"/>
        <v>-</v>
      </c>
      <c r="BW502" s="340"/>
      <c r="BX502" s="333"/>
      <c r="BY502" s="333"/>
      <c r="BZ502" s="333"/>
      <c r="CA502" s="333"/>
      <c r="CB502" s="333"/>
      <c r="CC502" s="333"/>
      <c r="CD502" s="333"/>
      <c r="CE502" s="333"/>
      <c r="CF502" s="333"/>
      <c r="CG502" s="354">
        <f t="shared" si="623"/>
        <v>479</v>
      </c>
      <c r="CH502" s="613">
        <f t="shared" si="624"/>
        <v>0</v>
      </c>
      <c r="CI502" s="613">
        <f t="shared" si="625"/>
        <v>0</v>
      </c>
      <c r="CJ502" s="614" t="str">
        <f t="shared" si="626"/>
        <v/>
      </c>
      <c r="CK502" s="615" t="str">
        <f t="shared" si="627"/>
        <v/>
      </c>
      <c r="CL502" s="610" t="str">
        <f>IF(ISBLANK(H502),"",IF(AND(ISNUMBER(F502),ISNUMBER(G502),ISNUMBER(H502)),ROUND(F502/(H502*G502),2),ROUND(F502/(VALUE(LEFT(H502,SUM(LEN(H502)-LEN(SUBSTITUTE(H502,{"0","1","2","3","4","5","6","7","8","9","."},"")))))*G502),2)))</f>
        <v/>
      </c>
      <c r="CM502" s="616" t="str">
        <f t="shared" si="655"/>
        <v/>
      </c>
      <c r="CN502" s="616" t="str">
        <f>IF(ISNUMBER(P502),MAX('Adjustment factors'!$S$16,(0.2+0.8*P502)),IF(ISTEXT(N502),VLOOKUP(N502,Afactors,2,FALSE),""))</f>
        <v/>
      </c>
      <c r="CO502" s="616" t="str">
        <f>IF(ISNUMBER(S502),MAX('Adjustment factors'!$S$16,0.2+0.8*S502),IF(ISTEXT(Q502),VLOOKUP(Q502,Afactors,2,FALSE),""))</f>
        <v/>
      </c>
      <c r="CP502" s="611" t="str">
        <f t="shared" si="645"/>
        <v/>
      </c>
      <c r="CQ502" s="612" t="str">
        <f t="shared" si="646"/>
        <v/>
      </c>
      <c r="CR502" s="340"/>
      <c r="CS502" s="340"/>
      <c r="CT502" s="340"/>
      <c r="CU502" s="340"/>
      <c r="CV502" s="333"/>
      <c r="CW502" s="333"/>
      <c r="CX502" s="333"/>
      <c r="CY502" s="333"/>
      <c r="DA502" s="313" t="str">
        <f t="shared" si="628"/>
        <v>OK</v>
      </c>
      <c r="DB502" s="313" t="str">
        <f t="shared" si="629"/>
        <v>OK</v>
      </c>
      <c r="DC502" s="313" t="str">
        <f t="shared" si="630"/>
        <v>OK</v>
      </c>
      <c r="DD502" s="313" t="str">
        <f t="shared" si="631"/>
        <v>OK</v>
      </c>
      <c r="DE502" s="153" t="str">
        <f t="shared" si="632"/>
        <v>OK</v>
      </c>
      <c r="DF502" s="314" t="str">
        <f t="shared" si="633"/>
        <v>OK</v>
      </c>
      <c r="DG502" s="482" t="str">
        <f t="shared" si="647"/>
        <v>OK</v>
      </c>
      <c r="DH502" s="482" t="str">
        <f>IF(OR(AND(T502='Adjustment factors'!$R$28,'Class 3, 5-9'!U502='Adjustment factors'!$R$29),AND('Class 3, 5-9'!T502='Adjustment factors'!$R$29,'Class 3, 5-9'!U502='Adjustment factors'!$R$28)),"Invalid combination of adjustment factors",IF(AND(T502=U502,NOT(ISBLANK(T502)),NOT(ISBLANK(U502))),"Same colour factor selected twice","OK"))</f>
        <v>OK</v>
      </c>
      <c r="DI502" s="313" t="str">
        <f t="shared" si="634"/>
        <v>OK</v>
      </c>
      <c r="DJ502" s="153" t="str">
        <f t="shared" si="656"/>
        <v>OK</v>
      </c>
      <c r="DK502" s="153" t="str">
        <f t="shared" si="635"/>
        <v>OK</v>
      </c>
      <c r="DL502" s="313" t="str">
        <f t="shared" si="636"/>
        <v>OK</v>
      </c>
      <c r="DM502" s="153" t="str">
        <f t="shared" si="637"/>
        <v>OK</v>
      </c>
      <c r="DN502" s="153" t="str">
        <f t="shared" si="657"/>
        <v>OK</v>
      </c>
      <c r="DO502" s="154" t="str">
        <f t="shared" si="658"/>
        <v>OK</v>
      </c>
      <c r="DP502" s="153" t="str">
        <f t="shared" si="638"/>
        <v>OK</v>
      </c>
      <c r="DQ502" s="313" t="str">
        <f t="shared" si="639"/>
        <v>OK</v>
      </c>
      <c r="DR502" s="153" t="str">
        <f t="shared" si="659"/>
        <v>OK</v>
      </c>
      <c r="DS502" s="153" t="str">
        <f t="shared" si="640"/>
        <v>OK</v>
      </c>
      <c r="DT502" s="313" t="str">
        <f t="shared" si="598"/>
        <v>OK</v>
      </c>
      <c r="DU502" s="153" t="str">
        <f t="shared" si="641"/>
        <v>OK</v>
      </c>
      <c r="DV502" s="153" t="str">
        <f t="shared" si="660"/>
        <v>OK</v>
      </c>
      <c r="DW502" s="154" t="str">
        <f t="shared" si="661"/>
        <v>OK</v>
      </c>
      <c r="DX502" s="157">
        <f t="shared" si="662"/>
        <v>0</v>
      </c>
      <c r="DY502" s="156" t="str">
        <f t="shared" si="663"/>
        <v>OK</v>
      </c>
    </row>
    <row r="503" spans="1:129" ht="13" hidden="1" x14ac:dyDescent="0.3">
      <c r="A503" s="333"/>
      <c r="B503" s="333"/>
      <c r="C503" s="332" t="str">
        <f t="shared" si="670"/>
        <v>-</v>
      </c>
      <c r="D503" s="584">
        <f t="shared" si="597"/>
        <v>480</v>
      </c>
      <c r="E503" s="585"/>
      <c r="F503" s="586"/>
      <c r="G503" s="600"/>
      <c r="H503" s="587"/>
      <c r="I503" s="601"/>
      <c r="J503" s="585"/>
      <c r="K503" s="617"/>
      <c r="L503" s="602"/>
      <c r="M503" s="603"/>
      <c r="N503" s="588"/>
      <c r="O503" s="604"/>
      <c r="P503" s="605"/>
      <c r="Q503" s="588"/>
      <c r="R503" s="604"/>
      <c r="S503" s="605"/>
      <c r="T503" s="606"/>
      <c r="U503" s="606"/>
      <c r="V503" s="429" t="str">
        <f t="shared" si="668"/>
        <v/>
      </c>
      <c r="W503" s="430" t="str">
        <f t="shared" si="667"/>
        <v/>
      </c>
      <c r="X503" s="66" t="str">
        <f>IF(AND(ISNUMBER(P503),N503=FixedDim),MAX('Adjustment factors'!$S$16,0.2+0.8*P503),IF(ISTEXT(N503),VLOOKUP(N503,Afactors,2,TRUE),""))</f>
        <v/>
      </c>
      <c r="Y503" s="17" t="str">
        <f>IF(AND(ISNUMBER(S503),Q503=FixedDim),MAX('Adjustment factors'!$S$16,0.2+0.8*S503),IF(ISTEXT(Q503),VLOOKUP(Q503,Afactors,2,TRUE),""))</f>
        <v/>
      </c>
      <c r="Z503" s="297" t="str">
        <f>IF(ISBLANK(T503),"",VLOOKUP(T503,'Adjustment factors'!$R$27:$S$30,2,TRUE))</f>
        <v/>
      </c>
      <c r="AA503" s="297" t="str">
        <f>IF(ISBLANK(U503),"",VLOOKUP(U503,'Adjustment factors'!$R$27:$S$30,2,TRUE))</f>
        <v/>
      </c>
      <c r="AB503" s="480">
        <f t="shared" si="642"/>
        <v>1</v>
      </c>
      <c r="AC503" s="18" t="b">
        <f t="shared" si="599"/>
        <v>0</v>
      </c>
      <c r="AD503" s="18" t="b">
        <f t="shared" si="600"/>
        <v>0</v>
      </c>
      <c r="AE503" s="18" t="b">
        <f t="shared" si="664"/>
        <v>0</v>
      </c>
      <c r="AF503" s="17" t="str">
        <f t="shared" si="601"/>
        <v/>
      </c>
      <c r="AG503" s="18" t="str">
        <f t="shared" si="602"/>
        <v/>
      </c>
      <c r="AH503" s="17" t="str">
        <f t="shared" si="665"/>
        <v/>
      </c>
      <c r="AI503" s="297" t="e">
        <f t="shared" si="643"/>
        <v>#VALUE!</v>
      </c>
      <c r="AJ503" s="79" t="e">
        <f t="shared" si="603"/>
        <v>#VALUE!</v>
      </c>
      <c r="AK503" s="17" t="str">
        <f t="shared" si="666"/>
        <v/>
      </c>
      <c r="AL503" s="80" t="e">
        <f t="shared" si="604"/>
        <v>#VALUE!</v>
      </c>
      <c r="AM503" s="139" t="b">
        <f t="shared" si="605"/>
        <v>1</v>
      </c>
      <c r="AN503" s="139" t="b">
        <f>AND(COUNTA(E503)&gt;0,ISNUMBER(F503),OR(COUNT(G503:H503)=0,COUNT(G503:H503)=2,AND(ISNUMBER(G503),ISNUMBER(VALUE(LEFT(H503,SUM(LEN(H503)-LEN(SUBSTITUTE(H503,{"0","1","2","3","4","5","6","7","8","9","."},"")))))))),ISNUMBER(I503),ISTEXT(J503))</f>
        <v>0</v>
      </c>
      <c r="AO503" s="19" t="b">
        <f t="shared" si="606"/>
        <v>0</v>
      </c>
      <c r="AP503" s="19" t="b">
        <f t="shared" si="607"/>
        <v>1</v>
      </c>
      <c r="AQ503" s="19" t="b">
        <f>IF(AND(COUNTBLANK(E503:J503)=6,OR(AN504:AN$523)),NOT(AN503))</f>
        <v>0</v>
      </c>
      <c r="AR503" s="19" t="str">
        <f t="shared" si="608"/>
        <v/>
      </c>
      <c r="AS503" s="19" t="b">
        <f t="shared" si="609"/>
        <v>1</v>
      </c>
      <c r="AT503" s="19" t="str">
        <f t="shared" si="610"/>
        <v/>
      </c>
      <c r="AU503" s="19" t="b">
        <f t="shared" si="611"/>
        <v>1</v>
      </c>
      <c r="AV503" s="140" t="str">
        <f t="shared" si="648"/>
        <v/>
      </c>
      <c r="AW503" s="19" t="str">
        <f t="shared" si="612"/>
        <v/>
      </c>
      <c r="AX503" s="81">
        <f t="shared" si="613"/>
        <v>0</v>
      </c>
      <c r="AY503" s="81" t="str">
        <f t="shared" si="614"/>
        <v/>
      </c>
      <c r="AZ503" s="307" t="str">
        <f t="shared" si="644"/>
        <v/>
      </c>
      <c r="BA503" s="281" t="str">
        <f t="shared" si="649"/>
        <v/>
      </c>
      <c r="BB503" s="281" t="str">
        <f t="shared" si="650"/>
        <v/>
      </c>
      <c r="BC503" s="953"/>
      <c r="BD503" s="955"/>
      <c r="BE503" s="219" t="str">
        <f t="shared" si="615"/>
        <v>n/a</v>
      </c>
      <c r="BF503" s="215" t="b">
        <f t="shared" si="616"/>
        <v>0</v>
      </c>
      <c r="BG503" s="145" t="b">
        <f t="shared" si="617"/>
        <v>0</v>
      </c>
      <c r="BH503" s="145" t="b">
        <f t="shared" si="618"/>
        <v>0</v>
      </c>
      <c r="BI503" s="216" t="b">
        <f t="shared" si="619"/>
        <v>0</v>
      </c>
      <c r="BJ503" s="215" t="b">
        <f t="shared" si="620"/>
        <v>0</v>
      </c>
      <c r="BK503" s="145" t="b">
        <f t="shared" si="621"/>
        <v>0</v>
      </c>
      <c r="BL503" s="216" t="b">
        <f t="shared" si="622"/>
        <v>0</v>
      </c>
      <c r="BM503" s="217" t="str">
        <f t="shared" si="651"/>
        <v/>
      </c>
      <c r="BN503" s="146" t="str">
        <f t="shared" si="652"/>
        <v/>
      </c>
      <c r="BO503" s="147" t="str">
        <f t="shared" si="653"/>
        <v/>
      </c>
      <c r="BP503" s="148" t="str">
        <f t="shared" si="654"/>
        <v/>
      </c>
      <c r="BT503" s="50">
        <f t="shared" si="596"/>
        <v>480</v>
      </c>
      <c r="BU503" s="50" t="str">
        <f t="shared" si="669"/>
        <v>-</v>
      </c>
      <c r="BW503" s="340"/>
      <c r="BX503" s="333"/>
      <c r="BY503" s="333"/>
      <c r="BZ503" s="333"/>
      <c r="CA503" s="333"/>
      <c r="CB503" s="333"/>
      <c r="CC503" s="333"/>
      <c r="CD503" s="333"/>
      <c r="CE503" s="333"/>
      <c r="CF503" s="333"/>
      <c r="CG503" s="354">
        <f t="shared" si="623"/>
        <v>480</v>
      </c>
      <c r="CH503" s="613">
        <f t="shared" si="624"/>
        <v>0</v>
      </c>
      <c r="CI503" s="613">
        <f t="shared" si="625"/>
        <v>0</v>
      </c>
      <c r="CJ503" s="614" t="str">
        <f t="shared" si="626"/>
        <v/>
      </c>
      <c r="CK503" s="615" t="str">
        <f t="shared" si="627"/>
        <v/>
      </c>
      <c r="CL503" s="610" t="str">
        <f>IF(ISBLANK(H503),"",IF(AND(ISNUMBER(F503),ISNUMBER(G503),ISNUMBER(H503)),ROUND(F503/(H503*G503),2),ROUND(F503/(VALUE(LEFT(H503,SUM(LEN(H503)-LEN(SUBSTITUTE(H503,{"0","1","2","3","4","5","6","7","8","9","."},"")))))*G503),2)))</f>
        <v/>
      </c>
      <c r="CM503" s="616" t="str">
        <f t="shared" si="655"/>
        <v/>
      </c>
      <c r="CN503" s="616" t="str">
        <f>IF(ISNUMBER(P503),MAX('Adjustment factors'!$S$16,(0.2+0.8*P503)),IF(ISTEXT(N503),VLOOKUP(N503,Afactors,2,FALSE),""))</f>
        <v/>
      </c>
      <c r="CO503" s="616" t="str">
        <f>IF(ISNUMBER(S503),MAX('Adjustment factors'!$S$16,0.2+0.8*S503),IF(ISTEXT(Q503),VLOOKUP(Q503,Afactors,2,FALSE),""))</f>
        <v/>
      </c>
      <c r="CP503" s="611" t="str">
        <f t="shared" si="645"/>
        <v/>
      </c>
      <c r="CQ503" s="612" t="str">
        <f t="shared" si="646"/>
        <v/>
      </c>
      <c r="CR503" s="340"/>
      <c r="CS503" s="340"/>
      <c r="CT503" s="340"/>
      <c r="CU503" s="340"/>
      <c r="CV503" s="333"/>
      <c r="CW503" s="333"/>
      <c r="CX503" s="333"/>
      <c r="CY503" s="333"/>
      <c r="DA503" s="313" t="str">
        <f t="shared" si="628"/>
        <v>OK</v>
      </c>
      <c r="DB503" s="313" t="str">
        <f t="shared" si="629"/>
        <v>OK</v>
      </c>
      <c r="DC503" s="313" t="str">
        <f t="shared" si="630"/>
        <v>OK</v>
      </c>
      <c r="DD503" s="313" t="str">
        <f t="shared" si="631"/>
        <v>OK</v>
      </c>
      <c r="DE503" s="153" t="str">
        <f t="shared" si="632"/>
        <v>OK</v>
      </c>
      <c r="DF503" s="314" t="str">
        <f t="shared" si="633"/>
        <v>OK</v>
      </c>
      <c r="DG503" s="482" t="str">
        <f t="shared" si="647"/>
        <v>OK</v>
      </c>
      <c r="DH503" s="482" t="str">
        <f>IF(OR(AND(T503='Adjustment factors'!$R$28,'Class 3, 5-9'!U503='Adjustment factors'!$R$29),AND('Class 3, 5-9'!T503='Adjustment factors'!$R$29,'Class 3, 5-9'!U503='Adjustment factors'!$R$28)),"Invalid combination of adjustment factors",IF(AND(T503=U503,NOT(ISBLANK(T503)),NOT(ISBLANK(U503))),"Same colour factor selected twice","OK"))</f>
        <v>OK</v>
      </c>
      <c r="DI503" s="313" t="str">
        <f t="shared" si="634"/>
        <v>OK</v>
      </c>
      <c r="DJ503" s="153" t="str">
        <f t="shared" si="656"/>
        <v>OK</v>
      </c>
      <c r="DK503" s="153" t="str">
        <f t="shared" si="635"/>
        <v>OK</v>
      </c>
      <c r="DL503" s="313" t="str">
        <f t="shared" si="636"/>
        <v>OK</v>
      </c>
      <c r="DM503" s="153" t="str">
        <f t="shared" si="637"/>
        <v>OK</v>
      </c>
      <c r="DN503" s="153" t="str">
        <f t="shared" si="657"/>
        <v>OK</v>
      </c>
      <c r="DO503" s="154" t="str">
        <f t="shared" si="658"/>
        <v>OK</v>
      </c>
      <c r="DP503" s="153" t="str">
        <f t="shared" si="638"/>
        <v>OK</v>
      </c>
      <c r="DQ503" s="313" t="str">
        <f t="shared" si="639"/>
        <v>OK</v>
      </c>
      <c r="DR503" s="153" t="str">
        <f t="shared" si="659"/>
        <v>OK</v>
      </c>
      <c r="DS503" s="153" t="str">
        <f t="shared" si="640"/>
        <v>OK</v>
      </c>
      <c r="DT503" s="313" t="str">
        <f t="shared" ref="DT503:DT523" si="671">IF(AND(ISNUMBER(S503),Q503&lt;&gt;FixedDim),"Select fixed dimming with an illuminance factor","OK")</f>
        <v>OK</v>
      </c>
      <c r="DU503" s="153" t="str">
        <f t="shared" si="641"/>
        <v>OK</v>
      </c>
      <c r="DV503" s="153" t="str">
        <f t="shared" si="660"/>
        <v>OK</v>
      </c>
      <c r="DW503" s="154" t="str">
        <f t="shared" si="661"/>
        <v>OK</v>
      </c>
      <c r="DX503" s="157">
        <f t="shared" si="662"/>
        <v>0</v>
      </c>
      <c r="DY503" s="156" t="str">
        <f t="shared" si="663"/>
        <v>OK</v>
      </c>
    </row>
    <row r="504" spans="1:129" ht="13" hidden="1" x14ac:dyDescent="0.3">
      <c r="A504" s="333"/>
      <c r="B504" s="333"/>
      <c r="C504" s="332" t="str">
        <f t="shared" si="670"/>
        <v>-</v>
      </c>
      <c r="D504" s="584">
        <f t="shared" si="597"/>
        <v>481</v>
      </c>
      <c r="E504" s="585"/>
      <c r="F504" s="586"/>
      <c r="G504" s="600"/>
      <c r="H504" s="587"/>
      <c r="I504" s="601"/>
      <c r="J504" s="585"/>
      <c r="K504" s="617"/>
      <c r="L504" s="602"/>
      <c r="M504" s="603"/>
      <c r="N504" s="588"/>
      <c r="O504" s="604"/>
      <c r="P504" s="605"/>
      <c r="Q504" s="588"/>
      <c r="R504" s="604"/>
      <c r="S504" s="605"/>
      <c r="T504" s="606"/>
      <c r="U504" s="606"/>
      <c r="V504" s="429" t="str">
        <f t="shared" si="668"/>
        <v/>
      </c>
      <c r="W504" s="430" t="str">
        <f t="shared" si="667"/>
        <v/>
      </c>
      <c r="X504" s="66" t="str">
        <f>IF(AND(ISNUMBER(P504),N504=FixedDim),MAX('Adjustment factors'!$S$16,0.2+0.8*P504),IF(ISTEXT(N504),VLOOKUP(N504,Afactors,2,TRUE),""))</f>
        <v/>
      </c>
      <c r="Y504" s="17" t="str">
        <f>IF(AND(ISNUMBER(S504),Q504=FixedDim),MAX('Adjustment factors'!$S$16,0.2+0.8*S504),IF(ISTEXT(Q504),VLOOKUP(Q504,Afactors,2,TRUE),""))</f>
        <v/>
      </c>
      <c r="Z504" s="297" t="str">
        <f>IF(ISBLANK(T504),"",VLOOKUP(T504,'Adjustment factors'!$R$27:$S$30,2,TRUE))</f>
        <v/>
      </c>
      <c r="AA504" s="297" t="str">
        <f>IF(ISBLANK(U504),"",VLOOKUP(U504,'Adjustment factors'!$R$27:$S$30,2,TRUE))</f>
        <v/>
      </c>
      <c r="AB504" s="480">
        <f t="shared" si="642"/>
        <v>1</v>
      </c>
      <c r="AC504" s="18" t="b">
        <f t="shared" si="599"/>
        <v>0</v>
      </c>
      <c r="AD504" s="18" t="b">
        <f t="shared" si="600"/>
        <v>0</v>
      </c>
      <c r="AE504" s="18" t="b">
        <f t="shared" si="664"/>
        <v>0</v>
      </c>
      <c r="AF504" s="17" t="str">
        <f t="shared" si="601"/>
        <v/>
      </c>
      <c r="AG504" s="18" t="str">
        <f t="shared" si="602"/>
        <v/>
      </c>
      <c r="AH504" s="17" t="str">
        <f t="shared" si="665"/>
        <v/>
      </c>
      <c r="AI504" s="297" t="e">
        <f t="shared" si="643"/>
        <v>#VALUE!</v>
      </c>
      <c r="AJ504" s="79" t="e">
        <f t="shared" si="603"/>
        <v>#VALUE!</v>
      </c>
      <c r="AK504" s="17" t="str">
        <f t="shared" si="666"/>
        <v/>
      </c>
      <c r="AL504" s="80" t="e">
        <f t="shared" si="604"/>
        <v>#VALUE!</v>
      </c>
      <c r="AM504" s="139" t="b">
        <f t="shared" si="605"/>
        <v>1</v>
      </c>
      <c r="AN504" s="139" t="b">
        <f>AND(COUNTA(E504)&gt;0,ISNUMBER(F504),OR(COUNT(G504:H504)=0,COUNT(G504:H504)=2,AND(ISNUMBER(G504),ISNUMBER(VALUE(LEFT(H504,SUM(LEN(H504)-LEN(SUBSTITUTE(H504,{"0","1","2","3","4","5","6","7","8","9","."},"")))))))),ISNUMBER(I504),ISTEXT(J504))</f>
        <v>0</v>
      </c>
      <c r="AO504" s="19" t="b">
        <f t="shared" si="606"/>
        <v>0</v>
      </c>
      <c r="AP504" s="19" t="b">
        <f t="shared" si="607"/>
        <v>1</v>
      </c>
      <c r="AQ504" s="19" t="b">
        <f>IF(AND(COUNTBLANK(E504:J504)=6,OR(AN505:AN$523)),NOT(AN504))</f>
        <v>0</v>
      </c>
      <c r="AR504" s="19" t="str">
        <f t="shared" si="608"/>
        <v/>
      </c>
      <c r="AS504" s="19" t="b">
        <f t="shared" si="609"/>
        <v>1</v>
      </c>
      <c r="AT504" s="19" t="str">
        <f t="shared" si="610"/>
        <v/>
      </c>
      <c r="AU504" s="19" t="b">
        <f t="shared" si="611"/>
        <v>1</v>
      </c>
      <c r="AV504" s="140" t="str">
        <f t="shared" si="648"/>
        <v/>
      </c>
      <c r="AW504" s="19" t="str">
        <f t="shared" si="612"/>
        <v/>
      </c>
      <c r="AX504" s="81">
        <f t="shared" si="613"/>
        <v>0</v>
      </c>
      <c r="AY504" s="81" t="str">
        <f t="shared" si="614"/>
        <v/>
      </c>
      <c r="AZ504" s="307" t="str">
        <f t="shared" si="644"/>
        <v/>
      </c>
      <c r="BA504" s="281" t="str">
        <f t="shared" si="649"/>
        <v/>
      </c>
      <c r="BB504" s="281" t="str">
        <f t="shared" si="650"/>
        <v/>
      </c>
      <c r="BC504" s="953"/>
      <c r="BD504" s="955"/>
      <c r="BE504" s="219" t="str">
        <f t="shared" si="615"/>
        <v>n/a</v>
      </c>
      <c r="BF504" s="215" t="b">
        <f t="shared" si="616"/>
        <v>0</v>
      </c>
      <c r="BG504" s="145" t="b">
        <f t="shared" si="617"/>
        <v>0</v>
      </c>
      <c r="BH504" s="145" t="b">
        <f t="shared" si="618"/>
        <v>0</v>
      </c>
      <c r="BI504" s="216" t="b">
        <f t="shared" si="619"/>
        <v>0</v>
      </c>
      <c r="BJ504" s="215" t="b">
        <f t="shared" si="620"/>
        <v>0</v>
      </c>
      <c r="BK504" s="145" t="b">
        <f t="shared" si="621"/>
        <v>0</v>
      </c>
      <c r="BL504" s="216" t="b">
        <f t="shared" si="622"/>
        <v>0</v>
      </c>
      <c r="BM504" s="217" t="str">
        <f t="shared" si="651"/>
        <v/>
      </c>
      <c r="BN504" s="146" t="str">
        <f t="shared" si="652"/>
        <v/>
      </c>
      <c r="BO504" s="147" t="str">
        <f t="shared" si="653"/>
        <v/>
      </c>
      <c r="BP504" s="148" t="str">
        <f t="shared" si="654"/>
        <v/>
      </c>
      <c r="BT504" s="50">
        <f t="shared" si="596"/>
        <v>481</v>
      </c>
      <c r="BU504" s="50" t="str">
        <f t="shared" si="669"/>
        <v>-</v>
      </c>
      <c r="BW504" s="340"/>
      <c r="BX504" s="333"/>
      <c r="BY504" s="333"/>
      <c r="BZ504" s="333"/>
      <c r="CA504" s="333"/>
      <c r="CB504" s="333"/>
      <c r="CC504" s="333"/>
      <c r="CD504" s="333"/>
      <c r="CE504" s="333"/>
      <c r="CF504" s="333"/>
      <c r="CG504" s="354">
        <f t="shared" si="623"/>
        <v>481</v>
      </c>
      <c r="CH504" s="613">
        <f t="shared" si="624"/>
        <v>0</v>
      </c>
      <c r="CI504" s="613">
        <f t="shared" si="625"/>
        <v>0</v>
      </c>
      <c r="CJ504" s="614" t="str">
        <f t="shared" si="626"/>
        <v/>
      </c>
      <c r="CK504" s="615" t="str">
        <f t="shared" si="627"/>
        <v/>
      </c>
      <c r="CL504" s="610" t="str">
        <f>IF(ISBLANK(H504),"",IF(AND(ISNUMBER(F504),ISNUMBER(G504),ISNUMBER(H504)),ROUND(F504/(H504*G504),2),ROUND(F504/(VALUE(LEFT(H504,SUM(LEN(H504)-LEN(SUBSTITUTE(H504,{"0","1","2","3","4","5","6","7","8","9","."},"")))))*G504),2)))</f>
        <v/>
      </c>
      <c r="CM504" s="616" t="str">
        <f t="shared" si="655"/>
        <v/>
      </c>
      <c r="CN504" s="616" t="str">
        <f>IF(ISNUMBER(P504),MAX('Adjustment factors'!$S$16,(0.2+0.8*P504)),IF(ISTEXT(N504),VLOOKUP(N504,Afactors,2,FALSE),""))</f>
        <v/>
      </c>
      <c r="CO504" s="616" t="str">
        <f>IF(ISNUMBER(S504),MAX('Adjustment factors'!$S$16,0.2+0.8*S504),IF(ISTEXT(Q504),VLOOKUP(Q504,Afactors,2,FALSE),""))</f>
        <v/>
      </c>
      <c r="CP504" s="611" t="str">
        <f t="shared" si="645"/>
        <v/>
      </c>
      <c r="CQ504" s="612" t="str">
        <f t="shared" si="646"/>
        <v/>
      </c>
      <c r="CR504" s="340"/>
      <c r="CS504" s="340"/>
      <c r="CT504" s="340"/>
      <c r="CU504" s="340"/>
      <c r="CV504" s="333"/>
      <c r="CW504" s="333"/>
      <c r="CX504" s="333"/>
      <c r="CY504" s="333"/>
      <c r="DA504" s="313" t="str">
        <f t="shared" si="628"/>
        <v>OK</v>
      </c>
      <c r="DB504" s="313" t="str">
        <f t="shared" si="629"/>
        <v>OK</v>
      </c>
      <c r="DC504" s="313" t="str">
        <f t="shared" si="630"/>
        <v>OK</v>
      </c>
      <c r="DD504" s="313" t="str">
        <f t="shared" si="631"/>
        <v>OK</v>
      </c>
      <c r="DE504" s="153" t="str">
        <f t="shared" si="632"/>
        <v>OK</v>
      </c>
      <c r="DF504" s="314" t="str">
        <f t="shared" si="633"/>
        <v>OK</v>
      </c>
      <c r="DG504" s="482" t="str">
        <f t="shared" si="647"/>
        <v>OK</v>
      </c>
      <c r="DH504" s="482" t="str">
        <f>IF(OR(AND(T504='Adjustment factors'!$R$28,'Class 3, 5-9'!U504='Adjustment factors'!$R$29),AND('Class 3, 5-9'!T504='Adjustment factors'!$R$29,'Class 3, 5-9'!U504='Adjustment factors'!$R$28)),"Invalid combination of adjustment factors",IF(AND(T504=U504,NOT(ISBLANK(T504)),NOT(ISBLANK(U504))),"Same colour factor selected twice","OK"))</f>
        <v>OK</v>
      </c>
      <c r="DI504" s="313" t="str">
        <f t="shared" si="634"/>
        <v>OK</v>
      </c>
      <c r="DJ504" s="153" t="str">
        <f t="shared" si="656"/>
        <v>OK</v>
      </c>
      <c r="DK504" s="153" t="str">
        <f t="shared" si="635"/>
        <v>OK</v>
      </c>
      <c r="DL504" s="313" t="str">
        <f t="shared" si="636"/>
        <v>OK</v>
      </c>
      <c r="DM504" s="153" t="str">
        <f t="shared" si="637"/>
        <v>OK</v>
      </c>
      <c r="DN504" s="153" t="str">
        <f t="shared" si="657"/>
        <v>OK</v>
      </c>
      <c r="DO504" s="154" t="str">
        <f t="shared" si="658"/>
        <v>OK</v>
      </c>
      <c r="DP504" s="153" t="str">
        <f t="shared" si="638"/>
        <v>OK</v>
      </c>
      <c r="DQ504" s="313" t="str">
        <f t="shared" si="639"/>
        <v>OK</v>
      </c>
      <c r="DR504" s="153" t="str">
        <f t="shared" si="659"/>
        <v>OK</v>
      </c>
      <c r="DS504" s="153" t="str">
        <f t="shared" si="640"/>
        <v>OK</v>
      </c>
      <c r="DT504" s="313" t="str">
        <f t="shared" si="671"/>
        <v>OK</v>
      </c>
      <c r="DU504" s="153" t="str">
        <f t="shared" si="641"/>
        <v>OK</v>
      </c>
      <c r="DV504" s="153" t="str">
        <f t="shared" si="660"/>
        <v>OK</v>
      </c>
      <c r="DW504" s="154" t="str">
        <f t="shared" si="661"/>
        <v>OK</v>
      </c>
      <c r="DX504" s="157">
        <f t="shared" si="662"/>
        <v>0</v>
      </c>
      <c r="DY504" s="156" t="str">
        <f t="shared" si="663"/>
        <v>OK</v>
      </c>
    </row>
    <row r="505" spans="1:129" ht="13" hidden="1" x14ac:dyDescent="0.3">
      <c r="A505" s="333"/>
      <c r="B505" s="333"/>
      <c r="C505" s="332" t="str">
        <f t="shared" si="670"/>
        <v>-</v>
      </c>
      <c r="D505" s="584">
        <f t="shared" si="597"/>
        <v>482</v>
      </c>
      <c r="E505" s="585"/>
      <c r="F505" s="586"/>
      <c r="G505" s="600"/>
      <c r="H505" s="587"/>
      <c r="I505" s="601"/>
      <c r="J505" s="585"/>
      <c r="K505" s="617"/>
      <c r="L505" s="602"/>
      <c r="M505" s="603"/>
      <c r="N505" s="588"/>
      <c r="O505" s="604"/>
      <c r="P505" s="605"/>
      <c r="Q505" s="588"/>
      <c r="R505" s="604"/>
      <c r="S505" s="605"/>
      <c r="T505" s="606"/>
      <c r="U505" s="606"/>
      <c r="V505" s="429" t="str">
        <f t="shared" si="668"/>
        <v/>
      </c>
      <c r="W505" s="430" t="str">
        <f t="shared" si="667"/>
        <v/>
      </c>
      <c r="X505" s="66" t="str">
        <f>IF(AND(ISNUMBER(P505),N505=FixedDim),MAX('Adjustment factors'!$S$16,0.2+0.8*P505),IF(ISTEXT(N505),VLOOKUP(N505,Afactors,2,TRUE),""))</f>
        <v/>
      </c>
      <c r="Y505" s="17" t="str">
        <f>IF(AND(ISNUMBER(S505),Q505=FixedDim),MAX('Adjustment factors'!$S$16,0.2+0.8*S505),IF(ISTEXT(Q505),VLOOKUP(Q505,Afactors,2,TRUE),""))</f>
        <v/>
      </c>
      <c r="Z505" s="297" t="str">
        <f>IF(ISBLANK(T505),"",VLOOKUP(T505,'Adjustment factors'!$R$27:$S$30,2,TRUE))</f>
        <v/>
      </c>
      <c r="AA505" s="297" t="str">
        <f>IF(ISBLANK(U505),"",VLOOKUP(U505,'Adjustment factors'!$R$27:$S$30,2,TRUE))</f>
        <v/>
      </c>
      <c r="AB505" s="480">
        <f t="shared" si="642"/>
        <v>1</v>
      </c>
      <c r="AC505" s="18" t="b">
        <f t="shared" si="599"/>
        <v>0</v>
      </c>
      <c r="AD505" s="18" t="b">
        <f t="shared" si="600"/>
        <v>0</v>
      </c>
      <c r="AE505" s="18" t="b">
        <f t="shared" si="664"/>
        <v>0</v>
      </c>
      <c r="AF505" s="17" t="str">
        <f t="shared" si="601"/>
        <v/>
      </c>
      <c r="AG505" s="18" t="str">
        <f t="shared" si="602"/>
        <v/>
      </c>
      <c r="AH505" s="17" t="str">
        <f t="shared" si="665"/>
        <v/>
      </c>
      <c r="AI505" s="297" t="e">
        <f t="shared" si="643"/>
        <v>#VALUE!</v>
      </c>
      <c r="AJ505" s="79" t="e">
        <f t="shared" si="603"/>
        <v>#VALUE!</v>
      </c>
      <c r="AK505" s="17" t="str">
        <f t="shared" si="666"/>
        <v/>
      </c>
      <c r="AL505" s="80" t="e">
        <f t="shared" si="604"/>
        <v>#VALUE!</v>
      </c>
      <c r="AM505" s="139" t="b">
        <f t="shared" si="605"/>
        <v>1</v>
      </c>
      <c r="AN505" s="139" t="b">
        <f>AND(COUNTA(E505)&gt;0,ISNUMBER(F505),OR(COUNT(G505:H505)=0,COUNT(G505:H505)=2,AND(ISNUMBER(G505),ISNUMBER(VALUE(LEFT(H505,SUM(LEN(H505)-LEN(SUBSTITUTE(H505,{"0","1","2","3","4","5","6","7","8","9","."},"")))))))),ISNUMBER(I505),ISTEXT(J505))</f>
        <v>0</v>
      </c>
      <c r="AO505" s="19" t="b">
        <f t="shared" si="606"/>
        <v>0</v>
      </c>
      <c r="AP505" s="19" t="b">
        <f t="shared" si="607"/>
        <v>1</v>
      </c>
      <c r="AQ505" s="19" t="b">
        <f>IF(AND(COUNTBLANK(E505:J505)=6,OR(AN506:AN$523)),NOT(AN505))</f>
        <v>0</v>
      </c>
      <c r="AR505" s="19" t="str">
        <f t="shared" si="608"/>
        <v/>
      </c>
      <c r="AS505" s="19" t="b">
        <f t="shared" si="609"/>
        <v>1</v>
      </c>
      <c r="AT505" s="19" t="str">
        <f t="shared" si="610"/>
        <v/>
      </c>
      <c r="AU505" s="19" t="b">
        <f t="shared" si="611"/>
        <v>1</v>
      </c>
      <c r="AV505" s="140" t="str">
        <f t="shared" si="648"/>
        <v/>
      </c>
      <c r="AW505" s="19" t="str">
        <f t="shared" si="612"/>
        <v/>
      </c>
      <c r="AX505" s="81">
        <f t="shared" si="613"/>
        <v>0</v>
      </c>
      <c r="AY505" s="81" t="str">
        <f t="shared" si="614"/>
        <v/>
      </c>
      <c r="AZ505" s="307" t="str">
        <f t="shared" si="644"/>
        <v/>
      </c>
      <c r="BA505" s="281" t="str">
        <f t="shared" si="649"/>
        <v/>
      </c>
      <c r="BB505" s="281" t="str">
        <f t="shared" si="650"/>
        <v/>
      </c>
      <c r="BC505" s="953"/>
      <c r="BD505" s="955"/>
      <c r="BE505" s="219" t="str">
        <f t="shared" si="615"/>
        <v>n/a</v>
      </c>
      <c r="BF505" s="215" t="b">
        <f t="shared" si="616"/>
        <v>0</v>
      </c>
      <c r="BG505" s="145" t="b">
        <f t="shared" si="617"/>
        <v>0</v>
      </c>
      <c r="BH505" s="145" t="b">
        <f t="shared" si="618"/>
        <v>0</v>
      </c>
      <c r="BI505" s="216" t="b">
        <f t="shared" si="619"/>
        <v>0</v>
      </c>
      <c r="BJ505" s="215" t="b">
        <f t="shared" si="620"/>
        <v>0</v>
      </c>
      <c r="BK505" s="145" t="b">
        <f t="shared" si="621"/>
        <v>0</v>
      </c>
      <c r="BL505" s="216" t="b">
        <f t="shared" si="622"/>
        <v>0</v>
      </c>
      <c r="BM505" s="217" t="str">
        <f t="shared" si="651"/>
        <v/>
      </c>
      <c r="BN505" s="146" t="str">
        <f t="shared" si="652"/>
        <v/>
      </c>
      <c r="BO505" s="147" t="str">
        <f t="shared" si="653"/>
        <v/>
      </c>
      <c r="BP505" s="148" t="str">
        <f t="shared" si="654"/>
        <v/>
      </c>
      <c r="BT505" s="50">
        <f t="shared" si="596"/>
        <v>482</v>
      </c>
      <c r="BU505" s="50" t="str">
        <f t="shared" si="669"/>
        <v>-</v>
      </c>
      <c r="BW505" s="340"/>
      <c r="BX505" s="333"/>
      <c r="BY505" s="333"/>
      <c r="BZ505" s="333"/>
      <c r="CA505" s="333"/>
      <c r="CB505" s="333"/>
      <c r="CC505" s="333"/>
      <c r="CD505" s="333"/>
      <c r="CE505" s="333"/>
      <c r="CF505" s="333"/>
      <c r="CG505" s="354">
        <f t="shared" si="623"/>
        <v>482</v>
      </c>
      <c r="CH505" s="613">
        <f t="shared" si="624"/>
        <v>0</v>
      </c>
      <c r="CI505" s="613">
        <f t="shared" si="625"/>
        <v>0</v>
      </c>
      <c r="CJ505" s="614" t="str">
        <f t="shared" si="626"/>
        <v/>
      </c>
      <c r="CK505" s="615" t="str">
        <f t="shared" si="627"/>
        <v/>
      </c>
      <c r="CL505" s="610" t="str">
        <f>IF(ISBLANK(H505),"",IF(AND(ISNUMBER(F505),ISNUMBER(G505),ISNUMBER(H505)),ROUND(F505/(H505*G505),2),ROUND(F505/(VALUE(LEFT(H505,SUM(LEN(H505)-LEN(SUBSTITUTE(H505,{"0","1","2","3","4","5","6","7","8","9","."},"")))))*G505),2)))</f>
        <v/>
      </c>
      <c r="CM505" s="616" t="str">
        <f t="shared" si="655"/>
        <v/>
      </c>
      <c r="CN505" s="616" t="str">
        <f>IF(ISNUMBER(P505),MAX('Adjustment factors'!$S$16,(0.2+0.8*P505)),IF(ISTEXT(N505),VLOOKUP(N505,Afactors,2,FALSE),""))</f>
        <v/>
      </c>
      <c r="CO505" s="616" t="str">
        <f>IF(ISNUMBER(S505),MAX('Adjustment factors'!$S$16,0.2+0.8*S505),IF(ISTEXT(Q505),VLOOKUP(Q505,Afactors,2,FALSE),""))</f>
        <v/>
      </c>
      <c r="CP505" s="611" t="str">
        <f t="shared" si="645"/>
        <v/>
      </c>
      <c r="CQ505" s="612" t="str">
        <f t="shared" si="646"/>
        <v/>
      </c>
      <c r="CR505" s="340"/>
      <c r="CS505" s="340"/>
      <c r="CT505" s="340"/>
      <c r="CU505" s="340"/>
      <c r="CV505" s="333"/>
      <c r="CW505" s="333"/>
      <c r="CX505" s="333"/>
      <c r="CY505" s="333"/>
      <c r="DA505" s="313" t="str">
        <f t="shared" si="628"/>
        <v>OK</v>
      </c>
      <c r="DB505" s="313" t="str">
        <f t="shared" si="629"/>
        <v>OK</v>
      </c>
      <c r="DC505" s="313" t="str">
        <f t="shared" si="630"/>
        <v>OK</v>
      </c>
      <c r="DD505" s="313" t="str">
        <f t="shared" si="631"/>
        <v>OK</v>
      </c>
      <c r="DE505" s="153" t="str">
        <f t="shared" si="632"/>
        <v>OK</v>
      </c>
      <c r="DF505" s="314" t="str">
        <f t="shared" si="633"/>
        <v>OK</v>
      </c>
      <c r="DG505" s="482" t="str">
        <f t="shared" si="647"/>
        <v>OK</v>
      </c>
      <c r="DH505" s="482" t="str">
        <f>IF(OR(AND(T505='Adjustment factors'!$R$28,'Class 3, 5-9'!U505='Adjustment factors'!$R$29),AND('Class 3, 5-9'!T505='Adjustment factors'!$R$29,'Class 3, 5-9'!U505='Adjustment factors'!$R$28)),"Invalid combination of adjustment factors",IF(AND(T505=U505,NOT(ISBLANK(T505)),NOT(ISBLANK(U505))),"Same colour factor selected twice","OK"))</f>
        <v>OK</v>
      </c>
      <c r="DI505" s="313" t="str">
        <f t="shared" si="634"/>
        <v>OK</v>
      </c>
      <c r="DJ505" s="153" t="str">
        <f t="shared" si="656"/>
        <v>OK</v>
      </c>
      <c r="DK505" s="153" t="str">
        <f t="shared" si="635"/>
        <v>OK</v>
      </c>
      <c r="DL505" s="313" t="str">
        <f t="shared" si="636"/>
        <v>OK</v>
      </c>
      <c r="DM505" s="153" t="str">
        <f t="shared" si="637"/>
        <v>OK</v>
      </c>
      <c r="DN505" s="153" t="str">
        <f t="shared" si="657"/>
        <v>OK</v>
      </c>
      <c r="DO505" s="154" t="str">
        <f t="shared" si="658"/>
        <v>OK</v>
      </c>
      <c r="DP505" s="153" t="str">
        <f t="shared" si="638"/>
        <v>OK</v>
      </c>
      <c r="DQ505" s="313" t="str">
        <f t="shared" si="639"/>
        <v>OK</v>
      </c>
      <c r="DR505" s="153" t="str">
        <f t="shared" si="659"/>
        <v>OK</v>
      </c>
      <c r="DS505" s="153" t="str">
        <f t="shared" si="640"/>
        <v>OK</v>
      </c>
      <c r="DT505" s="313" t="str">
        <f t="shared" si="671"/>
        <v>OK</v>
      </c>
      <c r="DU505" s="153" t="str">
        <f t="shared" si="641"/>
        <v>OK</v>
      </c>
      <c r="DV505" s="153" t="str">
        <f t="shared" si="660"/>
        <v>OK</v>
      </c>
      <c r="DW505" s="154" t="str">
        <f t="shared" si="661"/>
        <v>OK</v>
      </c>
      <c r="DX505" s="157">
        <f t="shared" si="662"/>
        <v>0</v>
      </c>
      <c r="DY505" s="156" t="str">
        <f t="shared" si="663"/>
        <v>OK</v>
      </c>
    </row>
    <row r="506" spans="1:129" ht="13" hidden="1" x14ac:dyDescent="0.3">
      <c r="A506" s="333"/>
      <c r="B506" s="333"/>
      <c r="C506" s="332" t="str">
        <f t="shared" si="670"/>
        <v>-</v>
      </c>
      <c r="D506" s="584">
        <f t="shared" si="597"/>
        <v>483</v>
      </c>
      <c r="E506" s="585"/>
      <c r="F506" s="586"/>
      <c r="G506" s="600"/>
      <c r="H506" s="587"/>
      <c r="I506" s="601"/>
      <c r="J506" s="585"/>
      <c r="K506" s="617"/>
      <c r="L506" s="602"/>
      <c r="M506" s="603"/>
      <c r="N506" s="588"/>
      <c r="O506" s="604"/>
      <c r="P506" s="605"/>
      <c r="Q506" s="588"/>
      <c r="R506" s="604"/>
      <c r="S506" s="605"/>
      <c r="T506" s="606"/>
      <c r="U506" s="606"/>
      <c r="V506" s="429" t="str">
        <f t="shared" si="668"/>
        <v/>
      </c>
      <c r="W506" s="430" t="str">
        <f t="shared" si="667"/>
        <v/>
      </c>
      <c r="X506" s="66" t="str">
        <f>IF(AND(ISNUMBER(P506),N506=FixedDim),MAX('Adjustment factors'!$S$16,0.2+0.8*P506),IF(ISTEXT(N506),VLOOKUP(N506,Afactors,2,TRUE),""))</f>
        <v/>
      </c>
      <c r="Y506" s="17" t="str">
        <f>IF(AND(ISNUMBER(S506),Q506=FixedDim),MAX('Adjustment factors'!$S$16,0.2+0.8*S506),IF(ISTEXT(Q506),VLOOKUP(Q506,Afactors,2,TRUE),""))</f>
        <v/>
      </c>
      <c r="Z506" s="297" t="str">
        <f>IF(ISBLANK(T506),"",VLOOKUP(T506,'Adjustment factors'!$R$27:$S$30,2,TRUE))</f>
        <v/>
      </c>
      <c r="AA506" s="297" t="str">
        <f>IF(ISBLANK(U506),"",VLOOKUP(U506,'Adjustment factors'!$R$27:$S$30,2,TRUE))</f>
        <v/>
      </c>
      <c r="AB506" s="480">
        <f t="shared" si="642"/>
        <v>1</v>
      </c>
      <c r="AC506" s="18" t="b">
        <f t="shared" si="599"/>
        <v>0</v>
      </c>
      <c r="AD506" s="18" t="b">
        <f t="shared" si="600"/>
        <v>0</v>
      </c>
      <c r="AE506" s="18" t="b">
        <f t="shared" si="664"/>
        <v>0</v>
      </c>
      <c r="AF506" s="17" t="str">
        <f t="shared" si="601"/>
        <v/>
      </c>
      <c r="AG506" s="18" t="str">
        <f t="shared" si="602"/>
        <v/>
      </c>
      <c r="AH506" s="17" t="str">
        <f t="shared" si="665"/>
        <v/>
      </c>
      <c r="AI506" s="297" t="e">
        <f t="shared" si="643"/>
        <v>#VALUE!</v>
      </c>
      <c r="AJ506" s="79" t="e">
        <f t="shared" si="603"/>
        <v>#VALUE!</v>
      </c>
      <c r="AK506" s="17" t="str">
        <f t="shared" si="666"/>
        <v/>
      </c>
      <c r="AL506" s="80" t="e">
        <f t="shared" si="604"/>
        <v>#VALUE!</v>
      </c>
      <c r="AM506" s="139" t="b">
        <f t="shared" si="605"/>
        <v>1</v>
      </c>
      <c r="AN506" s="139" t="b">
        <f>AND(COUNTA(E506)&gt;0,ISNUMBER(F506),OR(COUNT(G506:H506)=0,COUNT(G506:H506)=2,AND(ISNUMBER(G506),ISNUMBER(VALUE(LEFT(H506,SUM(LEN(H506)-LEN(SUBSTITUTE(H506,{"0","1","2","3","4","5","6","7","8","9","."},"")))))))),ISNUMBER(I506),ISTEXT(J506))</f>
        <v>0</v>
      </c>
      <c r="AO506" s="19" t="b">
        <f t="shared" si="606"/>
        <v>0</v>
      </c>
      <c r="AP506" s="19" t="b">
        <f t="shared" si="607"/>
        <v>1</v>
      </c>
      <c r="AQ506" s="19" t="b">
        <f>IF(AND(COUNTBLANK(E506:J506)=6,OR(AN507:AN$523)),NOT(AN506))</f>
        <v>0</v>
      </c>
      <c r="AR506" s="19" t="str">
        <f t="shared" si="608"/>
        <v/>
      </c>
      <c r="AS506" s="19" t="b">
        <f t="shared" si="609"/>
        <v>1</v>
      </c>
      <c r="AT506" s="19" t="str">
        <f t="shared" si="610"/>
        <v/>
      </c>
      <c r="AU506" s="19" t="b">
        <f t="shared" si="611"/>
        <v>1</v>
      </c>
      <c r="AV506" s="140" t="str">
        <f t="shared" si="648"/>
        <v/>
      </c>
      <c r="AW506" s="19" t="str">
        <f t="shared" si="612"/>
        <v/>
      </c>
      <c r="AX506" s="81">
        <f t="shared" si="613"/>
        <v>0</v>
      </c>
      <c r="AY506" s="81" t="str">
        <f t="shared" si="614"/>
        <v/>
      </c>
      <c r="AZ506" s="307" t="str">
        <f t="shared" si="644"/>
        <v/>
      </c>
      <c r="BA506" s="281" t="str">
        <f t="shared" si="649"/>
        <v/>
      </c>
      <c r="BB506" s="281" t="str">
        <f t="shared" si="650"/>
        <v/>
      </c>
      <c r="BC506" s="953"/>
      <c r="BD506" s="955"/>
      <c r="BE506" s="219" t="str">
        <f t="shared" si="615"/>
        <v>n/a</v>
      </c>
      <c r="BF506" s="215" t="b">
        <f t="shared" si="616"/>
        <v>0</v>
      </c>
      <c r="BG506" s="145" t="b">
        <f t="shared" si="617"/>
        <v>0</v>
      </c>
      <c r="BH506" s="145" t="b">
        <f t="shared" si="618"/>
        <v>0</v>
      </c>
      <c r="BI506" s="216" t="b">
        <f t="shared" si="619"/>
        <v>0</v>
      </c>
      <c r="BJ506" s="215" t="b">
        <f t="shared" si="620"/>
        <v>0</v>
      </c>
      <c r="BK506" s="145" t="b">
        <f t="shared" si="621"/>
        <v>0</v>
      </c>
      <c r="BL506" s="216" t="b">
        <f t="shared" si="622"/>
        <v>0</v>
      </c>
      <c r="BM506" s="217" t="str">
        <f t="shared" si="651"/>
        <v/>
      </c>
      <c r="BN506" s="146" t="str">
        <f t="shared" si="652"/>
        <v/>
      </c>
      <c r="BO506" s="147" t="str">
        <f t="shared" si="653"/>
        <v/>
      </c>
      <c r="BP506" s="148" t="str">
        <f t="shared" si="654"/>
        <v/>
      </c>
      <c r="BT506" s="50">
        <f t="shared" si="596"/>
        <v>483</v>
      </c>
      <c r="BU506" s="50" t="str">
        <f t="shared" si="669"/>
        <v>-</v>
      </c>
      <c r="BW506" s="340"/>
      <c r="BX506" s="333"/>
      <c r="BY506" s="333"/>
      <c r="BZ506" s="333"/>
      <c r="CA506" s="333"/>
      <c r="CB506" s="333"/>
      <c r="CC506" s="333"/>
      <c r="CD506" s="333"/>
      <c r="CE506" s="333"/>
      <c r="CF506" s="333"/>
      <c r="CG506" s="354">
        <f t="shared" si="623"/>
        <v>483</v>
      </c>
      <c r="CH506" s="613">
        <f t="shared" si="624"/>
        <v>0</v>
      </c>
      <c r="CI506" s="613">
        <f t="shared" si="625"/>
        <v>0</v>
      </c>
      <c r="CJ506" s="614" t="str">
        <f t="shared" si="626"/>
        <v/>
      </c>
      <c r="CK506" s="615" t="str">
        <f t="shared" si="627"/>
        <v/>
      </c>
      <c r="CL506" s="610" t="str">
        <f>IF(ISBLANK(H506),"",IF(AND(ISNUMBER(F506),ISNUMBER(G506),ISNUMBER(H506)),ROUND(F506/(H506*G506),2),ROUND(F506/(VALUE(LEFT(H506,SUM(LEN(H506)-LEN(SUBSTITUTE(H506,{"0","1","2","3","4","5","6","7","8","9","."},"")))))*G506),2)))</f>
        <v/>
      </c>
      <c r="CM506" s="616" t="str">
        <f t="shared" si="655"/>
        <v/>
      </c>
      <c r="CN506" s="616" t="str">
        <f>IF(ISNUMBER(P506),MAX('Adjustment factors'!$S$16,(0.2+0.8*P506)),IF(ISTEXT(N506),VLOOKUP(N506,Afactors,2,FALSE),""))</f>
        <v/>
      </c>
      <c r="CO506" s="616" t="str">
        <f>IF(ISNUMBER(S506),MAX('Adjustment factors'!$S$16,0.2+0.8*S506),IF(ISTEXT(Q506),VLOOKUP(Q506,Afactors,2,FALSE),""))</f>
        <v/>
      </c>
      <c r="CP506" s="611" t="str">
        <f t="shared" si="645"/>
        <v/>
      </c>
      <c r="CQ506" s="612" t="str">
        <f t="shared" si="646"/>
        <v/>
      </c>
      <c r="CR506" s="340"/>
      <c r="CS506" s="340"/>
      <c r="CT506" s="340"/>
      <c r="CU506" s="340"/>
      <c r="CV506" s="333"/>
      <c r="CW506" s="333"/>
      <c r="CX506" s="333"/>
      <c r="CY506" s="333"/>
      <c r="DA506" s="313" t="str">
        <f t="shared" si="628"/>
        <v>OK</v>
      </c>
      <c r="DB506" s="313" t="str">
        <f t="shared" si="629"/>
        <v>OK</v>
      </c>
      <c r="DC506" s="313" t="str">
        <f t="shared" si="630"/>
        <v>OK</v>
      </c>
      <c r="DD506" s="313" t="str">
        <f t="shared" si="631"/>
        <v>OK</v>
      </c>
      <c r="DE506" s="153" t="str">
        <f t="shared" si="632"/>
        <v>OK</v>
      </c>
      <c r="DF506" s="314" t="str">
        <f t="shared" si="633"/>
        <v>OK</v>
      </c>
      <c r="DG506" s="482" t="str">
        <f t="shared" si="647"/>
        <v>OK</v>
      </c>
      <c r="DH506" s="482" t="str">
        <f>IF(OR(AND(T506='Adjustment factors'!$R$28,'Class 3, 5-9'!U506='Adjustment factors'!$R$29),AND('Class 3, 5-9'!T506='Adjustment factors'!$R$29,'Class 3, 5-9'!U506='Adjustment factors'!$R$28)),"Invalid combination of adjustment factors",IF(AND(T506=U506,NOT(ISBLANK(T506)),NOT(ISBLANK(U506))),"Same colour factor selected twice","OK"))</f>
        <v>OK</v>
      </c>
      <c r="DI506" s="313" t="str">
        <f t="shared" si="634"/>
        <v>OK</v>
      </c>
      <c r="DJ506" s="153" t="str">
        <f t="shared" si="656"/>
        <v>OK</v>
      </c>
      <c r="DK506" s="153" t="str">
        <f t="shared" si="635"/>
        <v>OK</v>
      </c>
      <c r="DL506" s="313" t="str">
        <f t="shared" si="636"/>
        <v>OK</v>
      </c>
      <c r="DM506" s="153" t="str">
        <f t="shared" si="637"/>
        <v>OK</v>
      </c>
      <c r="DN506" s="153" t="str">
        <f t="shared" si="657"/>
        <v>OK</v>
      </c>
      <c r="DO506" s="154" t="str">
        <f t="shared" si="658"/>
        <v>OK</v>
      </c>
      <c r="DP506" s="153" t="str">
        <f t="shared" si="638"/>
        <v>OK</v>
      </c>
      <c r="DQ506" s="313" t="str">
        <f t="shared" si="639"/>
        <v>OK</v>
      </c>
      <c r="DR506" s="153" t="str">
        <f t="shared" si="659"/>
        <v>OK</v>
      </c>
      <c r="DS506" s="153" t="str">
        <f t="shared" si="640"/>
        <v>OK</v>
      </c>
      <c r="DT506" s="313" t="str">
        <f t="shared" si="671"/>
        <v>OK</v>
      </c>
      <c r="DU506" s="153" t="str">
        <f t="shared" si="641"/>
        <v>OK</v>
      </c>
      <c r="DV506" s="153" t="str">
        <f t="shared" si="660"/>
        <v>OK</v>
      </c>
      <c r="DW506" s="154" t="str">
        <f t="shared" si="661"/>
        <v>OK</v>
      </c>
      <c r="DX506" s="157">
        <f t="shared" si="662"/>
        <v>0</v>
      </c>
      <c r="DY506" s="156" t="str">
        <f t="shared" si="663"/>
        <v>OK</v>
      </c>
    </row>
    <row r="507" spans="1:129" ht="13" hidden="1" x14ac:dyDescent="0.3">
      <c r="A507" s="333"/>
      <c r="B507" s="333"/>
      <c r="C507" s="332" t="str">
        <f t="shared" si="670"/>
        <v>-</v>
      </c>
      <c r="D507" s="584">
        <f t="shared" si="597"/>
        <v>484</v>
      </c>
      <c r="E507" s="585"/>
      <c r="F507" s="586"/>
      <c r="G507" s="600"/>
      <c r="H507" s="587"/>
      <c r="I507" s="601"/>
      <c r="J507" s="585"/>
      <c r="K507" s="617"/>
      <c r="L507" s="602"/>
      <c r="M507" s="603"/>
      <c r="N507" s="588"/>
      <c r="O507" s="604"/>
      <c r="P507" s="605"/>
      <c r="Q507" s="588"/>
      <c r="R507" s="604"/>
      <c r="S507" s="605"/>
      <c r="T507" s="606"/>
      <c r="U507" s="606"/>
      <c r="V507" s="429" t="str">
        <f t="shared" si="668"/>
        <v/>
      </c>
      <c r="W507" s="430" t="str">
        <f t="shared" si="667"/>
        <v/>
      </c>
      <c r="X507" s="66" t="str">
        <f>IF(AND(ISNUMBER(P507),N507=FixedDim),MAX('Adjustment factors'!$S$16,0.2+0.8*P507),IF(ISTEXT(N507),VLOOKUP(N507,Afactors,2,TRUE),""))</f>
        <v/>
      </c>
      <c r="Y507" s="17" t="str">
        <f>IF(AND(ISNUMBER(S507),Q507=FixedDim),MAX('Adjustment factors'!$S$16,0.2+0.8*S507),IF(ISTEXT(Q507),VLOOKUP(Q507,Afactors,2,TRUE),""))</f>
        <v/>
      </c>
      <c r="Z507" s="297" t="str">
        <f>IF(ISBLANK(T507),"",VLOOKUP(T507,'Adjustment factors'!$R$27:$S$30,2,TRUE))</f>
        <v/>
      </c>
      <c r="AA507" s="297" t="str">
        <f>IF(ISBLANK(U507),"",VLOOKUP(U507,'Adjustment factors'!$R$27:$S$30,2,TRUE))</f>
        <v/>
      </c>
      <c r="AB507" s="480">
        <f t="shared" si="642"/>
        <v>1</v>
      </c>
      <c r="AC507" s="18" t="b">
        <f t="shared" si="599"/>
        <v>0</v>
      </c>
      <c r="AD507" s="18" t="b">
        <f t="shared" si="600"/>
        <v>0</v>
      </c>
      <c r="AE507" s="18" t="b">
        <f t="shared" si="664"/>
        <v>0</v>
      </c>
      <c r="AF507" s="17" t="str">
        <f t="shared" si="601"/>
        <v/>
      </c>
      <c r="AG507" s="18" t="str">
        <f t="shared" si="602"/>
        <v/>
      </c>
      <c r="AH507" s="17" t="str">
        <f t="shared" si="665"/>
        <v/>
      </c>
      <c r="AI507" s="297" t="e">
        <f t="shared" si="643"/>
        <v>#VALUE!</v>
      </c>
      <c r="AJ507" s="79" t="e">
        <f t="shared" si="603"/>
        <v>#VALUE!</v>
      </c>
      <c r="AK507" s="17" t="str">
        <f t="shared" si="666"/>
        <v/>
      </c>
      <c r="AL507" s="80" t="e">
        <f t="shared" si="604"/>
        <v>#VALUE!</v>
      </c>
      <c r="AM507" s="139" t="b">
        <f t="shared" si="605"/>
        <v>1</v>
      </c>
      <c r="AN507" s="139" t="b">
        <f>AND(COUNTA(E507)&gt;0,ISNUMBER(F507),OR(COUNT(G507:H507)=0,COUNT(G507:H507)=2,AND(ISNUMBER(G507),ISNUMBER(VALUE(LEFT(H507,SUM(LEN(H507)-LEN(SUBSTITUTE(H507,{"0","1","2","3","4","5","6","7","8","9","."},"")))))))),ISNUMBER(I507),ISTEXT(J507))</f>
        <v>0</v>
      </c>
      <c r="AO507" s="19" t="b">
        <f t="shared" si="606"/>
        <v>0</v>
      </c>
      <c r="AP507" s="19" t="b">
        <f t="shared" si="607"/>
        <v>1</v>
      </c>
      <c r="AQ507" s="19" t="b">
        <f>IF(AND(COUNTBLANK(E507:J507)=6,OR(AN508:AN$523)),NOT(AN507))</f>
        <v>0</v>
      </c>
      <c r="AR507" s="19" t="str">
        <f t="shared" si="608"/>
        <v/>
      </c>
      <c r="AS507" s="19" t="b">
        <f t="shared" si="609"/>
        <v>1</v>
      </c>
      <c r="AT507" s="19" t="str">
        <f t="shared" si="610"/>
        <v/>
      </c>
      <c r="AU507" s="19" t="b">
        <f t="shared" si="611"/>
        <v>1</v>
      </c>
      <c r="AV507" s="140" t="str">
        <f t="shared" si="648"/>
        <v/>
      </c>
      <c r="AW507" s="19" t="str">
        <f t="shared" si="612"/>
        <v/>
      </c>
      <c r="AX507" s="81">
        <f t="shared" si="613"/>
        <v>0</v>
      </c>
      <c r="AY507" s="81" t="str">
        <f t="shared" si="614"/>
        <v/>
      </c>
      <c r="AZ507" s="307" t="str">
        <f t="shared" si="644"/>
        <v/>
      </c>
      <c r="BA507" s="281" t="str">
        <f t="shared" si="649"/>
        <v/>
      </c>
      <c r="BB507" s="281" t="str">
        <f t="shared" si="650"/>
        <v/>
      </c>
      <c r="BC507" s="953"/>
      <c r="BD507" s="955"/>
      <c r="BE507" s="219" t="str">
        <f t="shared" si="615"/>
        <v>n/a</v>
      </c>
      <c r="BF507" s="215" t="b">
        <f t="shared" si="616"/>
        <v>0</v>
      </c>
      <c r="BG507" s="145" t="b">
        <f t="shared" si="617"/>
        <v>0</v>
      </c>
      <c r="BH507" s="145" t="b">
        <f t="shared" si="618"/>
        <v>0</v>
      </c>
      <c r="BI507" s="216" t="b">
        <f t="shared" si="619"/>
        <v>0</v>
      </c>
      <c r="BJ507" s="215" t="b">
        <f t="shared" si="620"/>
        <v>0</v>
      </c>
      <c r="BK507" s="145" t="b">
        <f t="shared" si="621"/>
        <v>0</v>
      </c>
      <c r="BL507" s="216" t="b">
        <f t="shared" si="622"/>
        <v>0</v>
      </c>
      <c r="BM507" s="217" t="str">
        <f t="shared" si="651"/>
        <v/>
      </c>
      <c r="BN507" s="146" t="str">
        <f t="shared" si="652"/>
        <v/>
      </c>
      <c r="BO507" s="147" t="str">
        <f t="shared" si="653"/>
        <v/>
      </c>
      <c r="BP507" s="148" t="str">
        <f t="shared" si="654"/>
        <v/>
      </c>
      <c r="BT507" s="50">
        <f t="shared" si="596"/>
        <v>484</v>
      </c>
      <c r="BU507" s="50" t="str">
        <f t="shared" si="669"/>
        <v>-</v>
      </c>
      <c r="BW507" s="340"/>
      <c r="BX507" s="333"/>
      <c r="BY507" s="333"/>
      <c r="BZ507" s="333"/>
      <c r="CA507" s="333"/>
      <c r="CB507" s="333"/>
      <c r="CC507" s="333"/>
      <c r="CD507" s="333"/>
      <c r="CE507" s="333"/>
      <c r="CF507" s="333"/>
      <c r="CG507" s="354">
        <f t="shared" si="623"/>
        <v>484</v>
      </c>
      <c r="CH507" s="613">
        <f t="shared" si="624"/>
        <v>0</v>
      </c>
      <c r="CI507" s="613">
        <f t="shared" si="625"/>
        <v>0</v>
      </c>
      <c r="CJ507" s="614" t="str">
        <f t="shared" si="626"/>
        <v/>
      </c>
      <c r="CK507" s="615" t="str">
        <f t="shared" si="627"/>
        <v/>
      </c>
      <c r="CL507" s="610" t="str">
        <f>IF(ISBLANK(H507),"",IF(AND(ISNUMBER(F507),ISNUMBER(G507),ISNUMBER(H507)),ROUND(F507/(H507*G507),2),ROUND(F507/(VALUE(LEFT(H507,SUM(LEN(H507)-LEN(SUBSTITUTE(H507,{"0","1","2","3","4","5","6","7","8","9","."},"")))))*G507),2)))</f>
        <v/>
      </c>
      <c r="CM507" s="616" t="str">
        <f t="shared" si="655"/>
        <v/>
      </c>
      <c r="CN507" s="616" t="str">
        <f>IF(ISNUMBER(P507),MAX('Adjustment factors'!$S$16,(0.2+0.8*P507)),IF(ISTEXT(N507),VLOOKUP(N507,Afactors,2,FALSE),""))</f>
        <v/>
      </c>
      <c r="CO507" s="616" t="str">
        <f>IF(ISNUMBER(S507),MAX('Adjustment factors'!$S$16,0.2+0.8*S507),IF(ISTEXT(Q507),VLOOKUP(Q507,Afactors,2,FALSE),""))</f>
        <v/>
      </c>
      <c r="CP507" s="611" t="str">
        <f t="shared" si="645"/>
        <v/>
      </c>
      <c r="CQ507" s="612" t="str">
        <f t="shared" si="646"/>
        <v/>
      </c>
      <c r="CR507" s="340"/>
      <c r="CS507" s="340"/>
      <c r="CT507" s="340"/>
      <c r="CU507" s="340"/>
      <c r="CV507" s="333"/>
      <c r="CW507" s="333"/>
      <c r="CX507" s="333"/>
      <c r="CY507" s="333"/>
      <c r="DA507" s="313" t="str">
        <f t="shared" si="628"/>
        <v>OK</v>
      </c>
      <c r="DB507" s="313" t="str">
        <f t="shared" si="629"/>
        <v>OK</v>
      </c>
      <c r="DC507" s="313" t="str">
        <f t="shared" si="630"/>
        <v>OK</v>
      </c>
      <c r="DD507" s="313" t="str">
        <f t="shared" si="631"/>
        <v>OK</v>
      </c>
      <c r="DE507" s="153" t="str">
        <f t="shared" si="632"/>
        <v>OK</v>
      </c>
      <c r="DF507" s="314" t="str">
        <f t="shared" si="633"/>
        <v>OK</v>
      </c>
      <c r="DG507" s="482" t="str">
        <f t="shared" si="647"/>
        <v>OK</v>
      </c>
      <c r="DH507" s="482" t="str">
        <f>IF(OR(AND(T507='Adjustment factors'!$R$28,'Class 3, 5-9'!U507='Adjustment factors'!$R$29),AND('Class 3, 5-9'!T507='Adjustment factors'!$R$29,'Class 3, 5-9'!U507='Adjustment factors'!$R$28)),"Invalid combination of adjustment factors",IF(AND(T507=U507,NOT(ISBLANK(T507)),NOT(ISBLANK(U507))),"Same colour factor selected twice","OK"))</f>
        <v>OK</v>
      </c>
      <c r="DI507" s="313" t="str">
        <f t="shared" si="634"/>
        <v>OK</v>
      </c>
      <c r="DJ507" s="153" t="str">
        <f t="shared" si="656"/>
        <v>OK</v>
      </c>
      <c r="DK507" s="153" t="str">
        <f t="shared" si="635"/>
        <v>OK</v>
      </c>
      <c r="DL507" s="313" t="str">
        <f t="shared" si="636"/>
        <v>OK</v>
      </c>
      <c r="DM507" s="153" t="str">
        <f t="shared" si="637"/>
        <v>OK</v>
      </c>
      <c r="DN507" s="153" t="str">
        <f t="shared" si="657"/>
        <v>OK</v>
      </c>
      <c r="DO507" s="154" t="str">
        <f t="shared" si="658"/>
        <v>OK</v>
      </c>
      <c r="DP507" s="153" t="str">
        <f t="shared" si="638"/>
        <v>OK</v>
      </c>
      <c r="DQ507" s="313" t="str">
        <f t="shared" si="639"/>
        <v>OK</v>
      </c>
      <c r="DR507" s="153" t="str">
        <f t="shared" si="659"/>
        <v>OK</v>
      </c>
      <c r="DS507" s="153" t="str">
        <f t="shared" si="640"/>
        <v>OK</v>
      </c>
      <c r="DT507" s="313" t="str">
        <f t="shared" si="671"/>
        <v>OK</v>
      </c>
      <c r="DU507" s="153" t="str">
        <f t="shared" si="641"/>
        <v>OK</v>
      </c>
      <c r="DV507" s="153" t="str">
        <f t="shared" si="660"/>
        <v>OK</v>
      </c>
      <c r="DW507" s="154" t="str">
        <f t="shared" si="661"/>
        <v>OK</v>
      </c>
      <c r="DX507" s="157">
        <f t="shared" si="662"/>
        <v>0</v>
      </c>
      <c r="DY507" s="156" t="str">
        <f t="shared" si="663"/>
        <v>OK</v>
      </c>
    </row>
    <row r="508" spans="1:129" ht="13" hidden="1" x14ac:dyDescent="0.3">
      <c r="A508" s="333"/>
      <c r="B508" s="333"/>
      <c r="C508" s="332" t="str">
        <f t="shared" si="670"/>
        <v>-</v>
      </c>
      <c r="D508" s="584">
        <f t="shared" si="597"/>
        <v>485</v>
      </c>
      <c r="E508" s="585"/>
      <c r="F508" s="586"/>
      <c r="G508" s="600"/>
      <c r="H508" s="587"/>
      <c r="I508" s="601"/>
      <c r="J508" s="585"/>
      <c r="K508" s="617"/>
      <c r="L508" s="602"/>
      <c r="M508" s="603"/>
      <c r="N508" s="588"/>
      <c r="O508" s="604"/>
      <c r="P508" s="605"/>
      <c r="Q508" s="588"/>
      <c r="R508" s="604"/>
      <c r="S508" s="605"/>
      <c r="T508" s="606"/>
      <c r="U508" s="606"/>
      <c r="V508" s="429" t="str">
        <f t="shared" si="668"/>
        <v/>
      </c>
      <c r="W508" s="430" t="str">
        <f t="shared" si="667"/>
        <v/>
      </c>
      <c r="X508" s="66" t="str">
        <f>IF(AND(ISNUMBER(P508),N508=FixedDim),MAX('Adjustment factors'!$S$16,0.2+0.8*P508),IF(ISTEXT(N508),VLOOKUP(N508,Afactors,2,TRUE),""))</f>
        <v/>
      </c>
      <c r="Y508" s="17" t="str">
        <f>IF(AND(ISNUMBER(S508),Q508=FixedDim),MAX('Adjustment factors'!$S$16,0.2+0.8*S508),IF(ISTEXT(Q508),VLOOKUP(Q508,Afactors,2,TRUE),""))</f>
        <v/>
      </c>
      <c r="Z508" s="297" t="str">
        <f>IF(ISBLANK(T508),"",VLOOKUP(T508,'Adjustment factors'!$R$27:$S$30,2,TRUE))</f>
        <v/>
      </c>
      <c r="AA508" s="297" t="str">
        <f>IF(ISBLANK(U508),"",VLOOKUP(U508,'Adjustment factors'!$R$27:$S$30,2,TRUE))</f>
        <v/>
      </c>
      <c r="AB508" s="480">
        <f t="shared" si="642"/>
        <v>1</v>
      </c>
      <c r="AC508" s="18" t="b">
        <f t="shared" si="599"/>
        <v>0</v>
      </c>
      <c r="AD508" s="18" t="b">
        <f t="shared" si="600"/>
        <v>0</v>
      </c>
      <c r="AE508" s="18" t="b">
        <f t="shared" si="664"/>
        <v>0</v>
      </c>
      <c r="AF508" s="17" t="str">
        <f t="shared" si="601"/>
        <v/>
      </c>
      <c r="AG508" s="18" t="str">
        <f t="shared" si="602"/>
        <v/>
      </c>
      <c r="AH508" s="17" t="str">
        <f t="shared" si="665"/>
        <v/>
      </c>
      <c r="AI508" s="297" t="e">
        <f t="shared" si="643"/>
        <v>#VALUE!</v>
      </c>
      <c r="AJ508" s="79" t="e">
        <f t="shared" si="603"/>
        <v>#VALUE!</v>
      </c>
      <c r="AK508" s="17" t="str">
        <f t="shared" si="666"/>
        <v/>
      </c>
      <c r="AL508" s="80" t="e">
        <f t="shared" si="604"/>
        <v>#VALUE!</v>
      </c>
      <c r="AM508" s="139" t="b">
        <f t="shared" si="605"/>
        <v>1</v>
      </c>
      <c r="AN508" s="139" t="b">
        <f>AND(COUNTA(E508)&gt;0,ISNUMBER(F508),OR(COUNT(G508:H508)=0,COUNT(G508:H508)=2,AND(ISNUMBER(G508),ISNUMBER(VALUE(LEFT(H508,SUM(LEN(H508)-LEN(SUBSTITUTE(H508,{"0","1","2","3","4","5","6","7","8","9","."},"")))))))),ISNUMBER(I508),ISTEXT(J508))</f>
        <v>0</v>
      </c>
      <c r="AO508" s="19" t="b">
        <f t="shared" si="606"/>
        <v>0</v>
      </c>
      <c r="AP508" s="19" t="b">
        <f t="shared" si="607"/>
        <v>1</v>
      </c>
      <c r="AQ508" s="19" t="b">
        <f>IF(AND(COUNTBLANK(E508:J508)=6,OR(AN509:AN$523)),NOT(AN508))</f>
        <v>0</v>
      </c>
      <c r="AR508" s="19" t="str">
        <f t="shared" si="608"/>
        <v/>
      </c>
      <c r="AS508" s="19" t="b">
        <f t="shared" si="609"/>
        <v>1</v>
      </c>
      <c r="AT508" s="19" t="str">
        <f t="shared" si="610"/>
        <v/>
      </c>
      <c r="AU508" s="19" t="b">
        <f t="shared" si="611"/>
        <v>1</v>
      </c>
      <c r="AV508" s="140" t="str">
        <f t="shared" si="648"/>
        <v/>
      </c>
      <c r="AW508" s="19" t="str">
        <f t="shared" si="612"/>
        <v/>
      </c>
      <c r="AX508" s="81">
        <f t="shared" si="613"/>
        <v>0</v>
      </c>
      <c r="AY508" s="81" t="str">
        <f t="shared" si="614"/>
        <v/>
      </c>
      <c r="AZ508" s="307" t="str">
        <f t="shared" si="644"/>
        <v/>
      </c>
      <c r="BA508" s="281" t="str">
        <f t="shared" si="649"/>
        <v/>
      </c>
      <c r="BB508" s="281" t="str">
        <f t="shared" si="650"/>
        <v/>
      </c>
      <c r="BC508" s="953"/>
      <c r="BD508" s="955"/>
      <c r="BE508" s="219" t="str">
        <f t="shared" si="615"/>
        <v>n/a</v>
      </c>
      <c r="BF508" s="215" t="b">
        <f t="shared" si="616"/>
        <v>0</v>
      </c>
      <c r="BG508" s="145" t="b">
        <f t="shared" si="617"/>
        <v>0</v>
      </c>
      <c r="BH508" s="145" t="b">
        <f t="shared" si="618"/>
        <v>0</v>
      </c>
      <c r="BI508" s="216" t="b">
        <f t="shared" si="619"/>
        <v>0</v>
      </c>
      <c r="BJ508" s="215" t="b">
        <f t="shared" si="620"/>
        <v>0</v>
      </c>
      <c r="BK508" s="145" t="b">
        <f t="shared" si="621"/>
        <v>0</v>
      </c>
      <c r="BL508" s="216" t="b">
        <f t="shared" si="622"/>
        <v>0</v>
      </c>
      <c r="BM508" s="217" t="str">
        <f t="shared" si="651"/>
        <v/>
      </c>
      <c r="BN508" s="146" t="str">
        <f t="shared" si="652"/>
        <v/>
      </c>
      <c r="BO508" s="147" t="str">
        <f t="shared" si="653"/>
        <v/>
      </c>
      <c r="BP508" s="148" t="str">
        <f t="shared" si="654"/>
        <v/>
      </c>
      <c r="BT508" s="50">
        <f t="shared" si="596"/>
        <v>485</v>
      </c>
      <c r="BU508" s="50" t="str">
        <f t="shared" si="669"/>
        <v>-</v>
      </c>
      <c r="BW508" s="340"/>
      <c r="BX508" s="333"/>
      <c r="BY508" s="333"/>
      <c r="BZ508" s="333"/>
      <c r="CA508" s="333"/>
      <c r="CB508" s="333"/>
      <c r="CC508" s="333"/>
      <c r="CD508" s="333"/>
      <c r="CE508" s="333"/>
      <c r="CF508" s="333"/>
      <c r="CG508" s="354">
        <f t="shared" si="623"/>
        <v>485</v>
      </c>
      <c r="CH508" s="613">
        <f t="shared" si="624"/>
        <v>0</v>
      </c>
      <c r="CI508" s="613">
        <f t="shared" si="625"/>
        <v>0</v>
      </c>
      <c r="CJ508" s="614" t="str">
        <f t="shared" si="626"/>
        <v/>
      </c>
      <c r="CK508" s="615" t="str">
        <f t="shared" si="627"/>
        <v/>
      </c>
      <c r="CL508" s="610" t="str">
        <f>IF(ISBLANK(H508),"",IF(AND(ISNUMBER(F508),ISNUMBER(G508),ISNUMBER(H508)),ROUND(F508/(H508*G508),2),ROUND(F508/(VALUE(LEFT(H508,SUM(LEN(H508)-LEN(SUBSTITUTE(H508,{"0","1","2","3","4","5","6","7","8","9","."},"")))))*G508),2)))</f>
        <v/>
      </c>
      <c r="CM508" s="616" t="str">
        <f t="shared" si="655"/>
        <v/>
      </c>
      <c r="CN508" s="616" t="str">
        <f>IF(ISNUMBER(P508),MAX('Adjustment factors'!$S$16,(0.2+0.8*P508)),IF(ISTEXT(N508),VLOOKUP(N508,Afactors,2,FALSE),""))</f>
        <v/>
      </c>
      <c r="CO508" s="616" t="str">
        <f>IF(ISNUMBER(S508),MAX('Adjustment factors'!$S$16,0.2+0.8*S508),IF(ISTEXT(Q508),VLOOKUP(Q508,Afactors,2,FALSE),""))</f>
        <v/>
      </c>
      <c r="CP508" s="611" t="str">
        <f t="shared" si="645"/>
        <v/>
      </c>
      <c r="CQ508" s="612" t="str">
        <f t="shared" si="646"/>
        <v/>
      </c>
      <c r="CR508" s="340"/>
      <c r="CS508" s="340"/>
      <c r="CT508" s="340"/>
      <c r="CU508" s="340"/>
      <c r="CV508" s="333"/>
      <c r="CW508" s="333"/>
      <c r="CX508" s="333"/>
      <c r="CY508" s="333"/>
      <c r="DA508" s="313" t="str">
        <f t="shared" si="628"/>
        <v>OK</v>
      </c>
      <c r="DB508" s="313" t="str">
        <f t="shared" si="629"/>
        <v>OK</v>
      </c>
      <c r="DC508" s="313" t="str">
        <f t="shared" si="630"/>
        <v>OK</v>
      </c>
      <c r="DD508" s="313" t="str">
        <f t="shared" si="631"/>
        <v>OK</v>
      </c>
      <c r="DE508" s="153" t="str">
        <f t="shared" si="632"/>
        <v>OK</v>
      </c>
      <c r="DF508" s="314" t="str">
        <f t="shared" si="633"/>
        <v>OK</v>
      </c>
      <c r="DG508" s="482" t="str">
        <f t="shared" si="647"/>
        <v>OK</v>
      </c>
      <c r="DH508" s="482" t="str">
        <f>IF(OR(AND(T508='Adjustment factors'!$R$28,'Class 3, 5-9'!U508='Adjustment factors'!$R$29),AND('Class 3, 5-9'!T508='Adjustment factors'!$R$29,'Class 3, 5-9'!U508='Adjustment factors'!$R$28)),"Invalid combination of adjustment factors",IF(AND(T508=U508,NOT(ISBLANK(T508)),NOT(ISBLANK(U508))),"Same colour factor selected twice","OK"))</f>
        <v>OK</v>
      </c>
      <c r="DI508" s="313" t="str">
        <f t="shared" si="634"/>
        <v>OK</v>
      </c>
      <c r="DJ508" s="153" t="str">
        <f t="shared" si="656"/>
        <v>OK</v>
      </c>
      <c r="DK508" s="153" t="str">
        <f t="shared" si="635"/>
        <v>OK</v>
      </c>
      <c r="DL508" s="313" t="str">
        <f t="shared" si="636"/>
        <v>OK</v>
      </c>
      <c r="DM508" s="153" t="str">
        <f t="shared" si="637"/>
        <v>OK</v>
      </c>
      <c r="DN508" s="153" t="str">
        <f t="shared" si="657"/>
        <v>OK</v>
      </c>
      <c r="DO508" s="154" t="str">
        <f t="shared" si="658"/>
        <v>OK</v>
      </c>
      <c r="DP508" s="153" t="str">
        <f t="shared" si="638"/>
        <v>OK</v>
      </c>
      <c r="DQ508" s="313" t="str">
        <f t="shared" si="639"/>
        <v>OK</v>
      </c>
      <c r="DR508" s="153" t="str">
        <f t="shared" si="659"/>
        <v>OK</v>
      </c>
      <c r="DS508" s="153" t="str">
        <f t="shared" si="640"/>
        <v>OK</v>
      </c>
      <c r="DT508" s="313" t="str">
        <f t="shared" si="671"/>
        <v>OK</v>
      </c>
      <c r="DU508" s="153" t="str">
        <f t="shared" si="641"/>
        <v>OK</v>
      </c>
      <c r="DV508" s="153" t="str">
        <f t="shared" si="660"/>
        <v>OK</v>
      </c>
      <c r="DW508" s="154" t="str">
        <f t="shared" si="661"/>
        <v>OK</v>
      </c>
      <c r="DX508" s="157">
        <f t="shared" si="662"/>
        <v>0</v>
      </c>
      <c r="DY508" s="156" t="str">
        <f t="shared" si="663"/>
        <v>OK</v>
      </c>
    </row>
    <row r="509" spans="1:129" ht="13" hidden="1" x14ac:dyDescent="0.3">
      <c r="A509" s="333"/>
      <c r="B509" s="333"/>
      <c r="C509" s="332" t="str">
        <f t="shared" si="670"/>
        <v>-</v>
      </c>
      <c r="D509" s="584">
        <f t="shared" si="597"/>
        <v>486</v>
      </c>
      <c r="E509" s="585"/>
      <c r="F509" s="586"/>
      <c r="G509" s="600"/>
      <c r="H509" s="587"/>
      <c r="I509" s="601"/>
      <c r="J509" s="585"/>
      <c r="K509" s="617"/>
      <c r="L509" s="602"/>
      <c r="M509" s="603"/>
      <c r="N509" s="588"/>
      <c r="O509" s="604"/>
      <c r="P509" s="605"/>
      <c r="Q509" s="588"/>
      <c r="R509" s="604"/>
      <c r="S509" s="605"/>
      <c r="T509" s="606"/>
      <c r="U509" s="606"/>
      <c r="V509" s="429" t="str">
        <f t="shared" si="668"/>
        <v/>
      </c>
      <c r="W509" s="430" t="str">
        <f t="shared" si="667"/>
        <v/>
      </c>
      <c r="X509" s="66" t="str">
        <f>IF(AND(ISNUMBER(P509),N509=FixedDim),MAX('Adjustment factors'!$S$16,0.2+0.8*P509),IF(ISTEXT(N509),VLOOKUP(N509,Afactors,2,TRUE),""))</f>
        <v/>
      </c>
      <c r="Y509" s="17" t="str">
        <f>IF(AND(ISNUMBER(S509),Q509=FixedDim),MAX('Adjustment factors'!$S$16,0.2+0.8*S509),IF(ISTEXT(Q509),VLOOKUP(Q509,Afactors,2,TRUE),""))</f>
        <v/>
      </c>
      <c r="Z509" s="297" t="str">
        <f>IF(ISBLANK(T509),"",VLOOKUP(T509,'Adjustment factors'!$R$27:$S$30,2,TRUE))</f>
        <v/>
      </c>
      <c r="AA509" s="297" t="str">
        <f>IF(ISBLANK(U509),"",VLOOKUP(U509,'Adjustment factors'!$R$27:$S$30,2,TRUE))</f>
        <v/>
      </c>
      <c r="AB509" s="480">
        <f t="shared" si="642"/>
        <v>1</v>
      </c>
      <c r="AC509" s="18" t="b">
        <f t="shared" si="599"/>
        <v>0</v>
      </c>
      <c r="AD509" s="18" t="b">
        <f t="shared" si="600"/>
        <v>0</v>
      </c>
      <c r="AE509" s="18" t="b">
        <f t="shared" si="664"/>
        <v>0</v>
      </c>
      <c r="AF509" s="17" t="str">
        <f t="shared" si="601"/>
        <v/>
      </c>
      <c r="AG509" s="18" t="str">
        <f t="shared" si="602"/>
        <v/>
      </c>
      <c r="AH509" s="17" t="str">
        <f t="shared" si="665"/>
        <v/>
      </c>
      <c r="AI509" s="297" t="e">
        <f t="shared" si="643"/>
        <v>#VALUE!</v>
      </c>
      <c r="AJ509" s="79" t="e">
        <f t="shared" si="603"/>
        <v>#VALUE!</v>
      </c>
      <c r="AK509" s="17" t="str">
        <f t="shared" si="666"/>
        <v/>
      </c>
      <c r="AL509" s="80" t="e">
        <f t="shared" si="604"/>
        <v>#VALUE!</v>
      </c>
      <c r="AM509" s="139" t="b">
        <f t="shared" si="605"/>
        <v>1</v>
      </c>
      <c r="AN509" s="139" t="b">
        <f>AND(COUNTA(E509)&gt;0,ISNUMBER(F509),OR(COUNT(G509:H509)=0,COUNT(G509:H509)=2,AND(ISNUMBER(G509),ISNUMBER(VALUE(LEFT(H509,SUM(LEN(H509)-LEN(SUBSTITUTE(H509,{"0","1","2","3","4","5","6","7","8","9","."},"")))))))),ISNUMBER(I509),ISTEXT(J509))</f>
        <v>0</v>
      </c>
      <c r="AO509" s="19" t="b">
        <f t="shared" si="606"/>
        <v>0</v>
      </c>
      <c r="AP509" s="19" t="b">
        <f t="shared" si="607"/>
        <v>1</v>
      </c>
      <c r="AQ509" s="19" t="b">
        <f>IF(AND(COUNTBLANK(E509:J509)=6,OR(AN510:AN$523)),NOT(AN509))</f>
        <v>0</v>
      </c>
      <c r="AR509" s="19" t="str">
        <f t="shared" si="608"/>
        <v/>
      </c>
      <c r="AS509" s="19" t="b">
        <f t="shared" si="609"/>
        <v>1</v>
      </c>
      <c r="AT509" s="19" t="str">
        <f t="shared" si="610"/>
        <v/>
      </c>
      <c r="AU509" s="19" t="b">
        <f t="shared" si="611"/>
        <v>1</v>
      </c>
      <c r="AV509" s="140" t="str">
        <f t="shared" si="648"/>
        <v/>
      </c>
      <c r="AW509" s="19" t="str">
        <f t="shared" si="612"/>
        <v/>
      </c>
      <c r="AX509" s="81">
        <f t="shared" si="613"/>
        <v>0</v>
      </c>
      <c r="AY509" s="81" t="str">
        <f t="shared" si="614"/>
        <v/>
      </c>
      <c r="AZ509" s="307" t="str">
        <f t="shared" si="644"/>
        <v/>
      </c>
      <c r="BA509" s="281" t="str">
        <f t="shared" si="649"/>
        <v/>
      </c>
      <c r="BB509" s="281" t="str">
        <f t="shared" si="650"/>
        <v/>
      </c>
      <c r="BC509" s="953"/>
      <c r="BD509" s="955"/>
      <c r="BE509" s="219" t="str">
        <f t="shared" si="615"/>
        <v>n/a</v>
      </c>
      <c r="BF509" s="215" t="b">
        <f t="shared" si="616"/>
        <v>0</v>
      </c>
      <c r="BG509" s="145" t="b">
        <f t="shared" si="617"/>
        <v>0</v>
      </c>
      <c r="BH509" s="145" t="b">
        <f t="shared" si="618"/>
        <v>0</v>
      </c>
      <c r="BI509" s="216" t="b">
        <f t="shared" si="619"/>
        <v>0</v>
      </c>
      <c r="BJ509" s="215" t="b">
        <f t="shared" si="620"/>
        <v>0</v>
      </c>
      <c r="BK509" s="145" t="b">
        <f t="shared" si="621"/>
        <v>0</v>
      </c>
      <c r="BL509" s="216" t="b">
        <f t="shared" si="622"/>
        <v>0</v>
      </c>
      <c r="BM509" s="217" t="str">
        <f t="shared" si="651"/>
        <v/>
      </c>
      <c r="BN509" s="146" t="str">
        <f t="shared" si="652"/>
        <v/>
      </c>
      <c r="BO509" s="147" t="str">
        <f t="shared" si="653"/>
        <v/>
      </c>
      <c r="BP509" s="148" t="str">
        <f t="shared" si="654"/>
        <v/>
      </c>
      <c r="BT509" s="50">
        <f t="shared" si="596"/>
        <v>486</v>
      </c>
      <c r="BU509" s="50" t="str">
        <f t="shared" si="669"/>
        <v>-</v>
      </c>
      <c r="BW509" s="340"/>
      <c r="BX509" s="333"/>
      <c r="BY509" s="333"/>
      <c r="BZ509" s="333"/>
      <c r="CA509" s="333"/>
      <c r="CB509" s="333"/>
      <c r="CC509" s="333"/>
      <c r="CD509" s="333"/>
      <c r="CE509" s="333"/>
      <c r="CF509" s="333"/>
      <c r="CG509" s="354">
        <f t="shared" si="623"/>
        <v>486</v>
      </c>
      <c r="CH509" s="613">
        <f t="shared" si="624"/>
        <v>0</v>
      </c>
      <c r="CI509" s="613">
        <f t="shared" si="625"/>
        <v>0</v>
      </c>
      <c r="CJ509" s="614" t="str">
        <f t="shared" si="626"/>
        <v/>
      </c>
      <c r="CK509" s="615" t="str">
        <f t="shared" si="627"/>
        <v/>
      </c>
      <c r="CL509" s="610" t="str">
        <f>IF(ISBLANK(H509),"",IF(AND(ISNUMBER(F509),ISNUMBER(G509),ISNUMBER(H509)),ROUND(F509/(H509*G509),2),ROUND(F509/(VALUE(LEFT(H509,SUM(LEN(H509)-LEN(SUBSTITUTE(H509,{"0","1","2","3","4","5","6","7","8","9","."},"")))))*G509),2)))</f>
        <v/>
      </c>
      <c r="CM509" s="616" t="str">
        <f t="shared" si="655"/>
        <v/>
      </c>
      <c r="CN509" s="616" t="str">
        <f>IF(ISNUMBER(P509),MAX('Adjustment factors'!$S$16,(0.2+0.8*P509)),IF(ISTEXT(N509),VLOOKUP(N509,Afactors,2,FALSE),""))</f>
        <v/>
      </c>
      <c r="CO509" s="616" t="str">
        <f>IF(ISNUMBER(S509),MAX('Adjustment factors'!$S$16,0.2+0.8*S509),IF(ISTEXT(Q509),VLOOKUP(Q509,Afactors,2,FALSE),""))</f>
        <v/>
      </c>
      <c r="CP509" s="611" t="str">
        <f t="shared" si="645"/>
        <v/>
      </c>
      <c r="CQ509" s="612" t="str">
        <f t="shared" si="646"/>
        <v/>
      </c>
      <c r="CR509" s="340"/>
      <c r="CS509" s="340"/>
      <c r="CT509" s="340"/>
      <c r="CU509" s="340"/>
      <c r="CV509" s="333"/>
      <c r="CW509" s="333"/>
      <c r="CX509" s="333"/>
      <c r="CY509" s="333"/>
      <c r="DA509" s="313" t="str">
        <f t="shared" si="628"/>
        <v>OK</v>
      </c>
      <c r="DB509" s="313" t="str">
        <f t="shared" si="629"/>
        <v>OK</v>
      </c>
      <c r="DC509" s="313" t="str">
        <f t="shared" si="630"/>
        <v>OK</v>
      </c>
      <c r="DD509" s="313" t="str">
        <f t="shared" si="631"/>
        <v>OK</v>
      </c>
      <c r="DE509" s="153" t="str">
        <f t="shared" si="632"/>
        <v>OK</v>
      </c>
      <c r="DF509" s="314" t="str">
        <f t="shared" si="633"/>
        <v>OK</v>
      </c>
      <c r="DG509" s="482" t="str">
        <f t="shared" si="647"/>
        <v>OK</v>
      </c>
      <c r="DH509" s="482" t="str">
        <f>IF(OR(AND(T509='Adjustment factors'!$R$28,'Class 3, 5-9'!U509='Adjustment factors'!$R$29),AND('Class 3, 5-9'!T509='Adjustment factors'!$R$29,'Class 3, 5-9'!U509='Adjustment factors'!$R$28)),"Invalid combination of adjustment factors",IF(AND(T509=U509,NOT(ISBLANK(T509)),NOT(ISBLANK(U509))),"Same colour factor selected twice","OK"))</f>
        <v>OK</v>
      </c>
      <c r="DI509" s="313" t="str">
        <f t="shared" si="634"/>
        <v>OK</v>
      </c>
      <c r="DJ509" s="153" t="str">
        <f t="shared" si="656"/>
        <v>OK</v>
      </c>
      <c r="DK509" s="153" t="str">
        <f t="shared" si="635"/>
        <v>OK</v>
      </c>
      <c r="DL509" s="313" t="str">
        <f t="shared" si="636"/>
        <v>OK</v>
      </c>
      <c r="DM509" s="153" t="str">
        <f t="shared" si="637"/>
        <v>OK</v>
      </c>
      <c r="DN509" s="153" t="str">
        <f t="shared" si="657"/>
        <v>OK</v>
      </c>
      <c r="DO509" s="154" t="str">
        <f t="shared" si="658"/>
        <v>OK</v>
      </c>
      <c r="DP509" s="153" t="str">
        <f t="shared" si="638"/>
        <v>OK</v>
      </c>
      <c r="DQ509" s="313" t="str">
        <f t="shared" si="639"/>
        <v>OK</v>
      </c>
      <c r="DR509" s="153" t="str">
        <f t="shared" si="659"/>
        <v>OK</v>
      </c>
      <c r="DS509" s="153" t="str">
        <f t="shared" si="640"/>
        <v>OK</v>
      </c>
      <c r="DT509" s="313" t="str">
        <f t="shared" si="671"/>
        <v>OK</v>
      </c>
      <c r="DU509" s="153" t="str">
        <f t="shared" si="641"/>
        <v>OK</v>
      </c>
      <c r="DV509" s="153" t="str">
        <f t="shared" si="660"/>
        <v>OK</v>
      </c>
      <c r="DW509" s="154" t="str">
        <f t="shared" si="661"/>
        <v>OK</v>
      </c>
      <c r="DX509" s="157">
        <f t="shared" si="662"/>
        <v>0</v>
      </c>
      <c r="DY509" s="156" t="str">
        <f t="shared" si="663"/>
        <v>OK</v>
      </c>
    </row>
    <row r="510" spans="1:129" ht="13" hidden="1" x14ac:dyDescent="0.3">
      <c r="A510" s="333"/>
      <c r="B510" s="333"/>
      <c r="C510" s="332" t="str">
        <f t="shared" si="670"/>
        <v>-</v>
      </c>
      <c r="D510" s="584">
        <f t="shared" si="597"/>
        <v>487</v>
      </c>
      <c r="E510" s="585"/>
      <c r="F510" s="586"/>
      <c r="G510" s="600"/>
      <c r="H510" s="587"/>
      <c r="I510" s="601"/>
      <c r="J510" s="585"/>
      <c r="K510" s="617"/>
      <c r="L510" s="602"/>
      <c r="M510" s="603"/>
      <c r="N510" s="588"/>
      <c r="O510" s="604"/>
      <c r="P510" s="605"/>
      <c r="Q510" s="588"/>
      <c r="R510" s="604"/>
      <c r="S510" s="605"/>
      <c r="T510" s="606"/>
      <c r="U510" s="606"/>
      <c r="V510" s="429" t="str">
        <f t="shared" si="668"/>
        <v/>
      </c>
      <c r="W510" s="430" t="str">
        <f t="shared" si="667"/>
        <v/>
      </c>
      <c r="X510" s="66" t="str">
        <f>IF(AND(ISNUMBER(P510),N510=FixedDim),MAX('Adjustment factors'!$S$16,0.2+0.8*P510),IF(ISTEXT(N510),VLOOKUP(N510,Afactors,2,TRUE),""))</f>
        <v/>
      </c>
      <c r="Y510" s="17" t="str">
        <f>IF(AND(ISNUMBER(S510),Q510=FixedDim),MAX('Adjustment factors'!$S$16,0.2+0.8*S510),IF(ISTEXT(Q510),VLOOKUP(Q510,Afactors,2,TRUE),""))</f>
        <v/>
      </c>
      <c r="Z510" s="297" t="str">
        <f>IF(ISBLANK(T510),"",VLOOKUP(T510,'Adjustment factors'!$R$27:$S$30,2,TRUE))</f>
        <v/>
      </c>
      <c r="AA510" s="297" t="str">
        <f>IF(ISBLANK(U510),"",VLOOKUP(U510,'Adjustment factors'!$R$27:$S$30,2,TRUE))</f>
        <v/>
      </c>
      <c r="AB510" s="480">
        <f t="shared" si="642"/>
        <v>1</v>
      </c>
      <c r="AC510" s="18" t="b">
        <f t="shared" si="599"/>
        <v>0</v>
      </c>
      <c r="AD510" s="18" t="b">
        <f t="shared" si="600"/>
        <v>0</v>
      </c>
      <c r="AE510" s="18" t="b">
        <f t="shared" si="664"/>
        <v>0</v>
      </c>
      <c r="AF510" s="17" t="str">
        <f t="shared" si="601"/>
        <v/>
      </c>
      <c r="AG510" s="18" t="str">
        <f t="shared" si="602"/>
        <v/>
      </c>
      <c r="AH510" s="17" t="str">
        <f t="shared" si="665"/>
        <v/>
      </c>
      <c r="AI510" s="297" t="e">
        <f t="shared" si="643"/>
        <v>#VALUE!</v>
      </c>
      <c r="AJ510" s="79" t="e">
        <f t="shared" si="603"/>
        <v>#VALUE!</v>
      </c>
      <c r="AK510" s="17" t="str">
        <f t="shared" si="666"/>
        <v/>
      </c>
      <c r="AL510" s="80" t="e">
        <f t="shared" si="604"/>
        <v>#VALUE!</v>
      </c>
      <c r="AM510" s="139" t="b">
        <f t="shared" si="605"/>
        <v>1</v>
      </c>
      <c r="AN510" s="139" t="b">
        <f>AND(COUNTA(E510)&gt;0,ISNUMBER(F510),OR(COUNT(G510:H510)=0,COUNT(G510:H510)=2,AND(ISNUMBER(G510),ISNUMBER(VALUE(LEFT(H510,SUM(LEN(H510)-LEN(SUBSTITUTE(H510,{"0","1","2","3","4","5","6","7","8","9","."},"")))))))),ISNUMBER(I510),ISTEXT(J510))</f>
        <v>0</v>
      </c>
      <c r="AO510" s="19" t="b">
        <f t="shared" si="606"/>
        <v>0</v>
      </c>
      <c r="AP510" s="19" t="b">
        <f t="shared" si="607"/>
        <v>1</v>
      </c>
      <c r="AQ510" s="19" t="b">
        <f>IF(AND(COUNTBLANK(E510:J510)=6,OR(AN511:AN$523)),NOT(AN510))</f>
        <v>0</v>
      </c>
      <c r="AR510" s="19" t="str">
        <f t="shared" si="608"/>
        <v/>
      </c>
      <c r="AS510" s="19" t="b">
        <f t="shared" si="609"/>
        <v>1</v>
      </c>
      <c r="AT510" s="19" t="str">
        <f t="shared" si="610"/>
        <v/>
      </c>
      <c r="AU510" s="19" t="b">
        <f t="shared" si="611"/>
        <v>1</v>
      </c>
      <c r="AV510" s="140" t="str">
        <f t="shared" si="648"/>
        <v/>
      </c>
      <c r="AW510" s="19" t="str">
        <f t="shared" si="612"/>
        <v/>
      </c>
      <c r="AX510" s="81">
        <f t="shared" si="613"/>
        <v>0</v>
      </c>
      <c r="AY510" s="81" t="str">
        <f t="shared" si="614"/>
        <v/>
      </c>
      <c r="AZ510" s="307" t="str">
        <f t="shared" si="644"/>
        <v/>
      </c>
      <c r="BA510" s="281" t="str">
        <f t="shared" si="649"/>
        <v/>
      </c>
      <c r="BB510" s="281" t="str">
        <f t="shared" si="650"/>
        <v/>
      </c>
      <c r="BC510" s="953"/>
      <c r="BD510" s="955"/>
      <c r="BE510" s="219" t="str">
        <f t="shared" si="615"/>
        <v>n/a</v>
      </c>
      <c r="BF510" s="215" t="b">
        <f t="shared" si="616"/>
        <v>0</v>
      </c>
      <c r="BG510" s="145" t="b">
        <f t="shared" si="617"/>
        <v>0</v>
      </c>
      <c r="BH510" s="145" t="b">
        <f t="shared" si="618"/>
        <v>0</v>
      </c>
      <c r="BI510" s="216" t="b">
        <f t="shared" si="619"/>
        <v>0</v>
      </c>
      <c r="BJ510" s="215" t="b">
        <f t="shared" si="620"/>
        <v>0</v>
      </c>
      <c r="BK510" s="145" t="b">
        <f t="shared" si="621"/>
        <v>0</v>
      </c>
      <c r="BL510" s="216" t="b">
        <f t="shared" si="622"/>
        <v>0</v>
      </c>
      <c r="BM510" s="217" t="str">
        <f t="shared" si="651"/>
        <v/>
      </c>
      <c r="BN510" s="146" t="str">
        <f t="shared" si="652"/>
        <v/>
      </c>
      <c r="BO510" s="147" t="str">
        <f t="shared" si="653"/>
        <v/>
      </c>
      <c r="BP510" s="148" t="str">
        <f t="shared" si="654"/>
        <v/>
      </c>
      <c r="BT510" s="50">
        <f t="shared" si="596"/>
        <v>487</v>
      </c>
      <c r="BU510" s="50" t="str">
        <f t="shared" si="669"/>
        <v>-</v>
      </c>
      <c r="BW510" s="340"/>
      <c r="BX510" s="333"/>
      <c r="BY510" s="333"/>
      <c r="BZ510" s="333"/>
      <c r="CA510" s="333"/>
      <c r="CB510" s="333"/>
      <c r="CC510" s="333"/>
      <c r="CD510" s="333"/>
      <c r="CE510" s="333"/>
      <c r="CF510" s="333"/>
      <c r="CG510" s="354">
        <f t="shared" si="623"/>
        <v>487</v>
      </c>
      <c r="CH510" s="613">
        <f t="shared" si="624"/>
        <v>0</v>
      </c>
      <c r="CI510" s="613">
        <f t="shared" si="625"/>
        <v>0</v>
      </c>
      <c r="CJ510" s="614" t="str">
        <f t="shared" si="626"/>
        <v/>
      </c>
      <c r="CK510" s="615" t="str">
        <f t="shared" si="627"/>
        <v/>
      </c>
      <c r="CL510" s="610" t="str">
        <f>IF(ISBLANK(H510),"",IF(AND(ISNUMBER(F510),ISNUMBER(G510),ISNUMBER(H510)),ROUND(F510/(H510*G510),2),ROUND(F510/(VALUE(LEFT(H510,SUM(LEN(H510)-LEN(SUBSTITUTE(H510,{"0","1","2","3","4","5","6","7","8","9","."},"")))))*G510),2)))</f>
        <v/>
      </c>
      <c r="CM510" s="616" t="str">
        <f t="shared" si="655"/>
        <v/>
      </c>
      <c r="CN510" s="616" t="str">
        <f>IF(ISNUMBER(P510),MAX('Adjustment factors'!$S$16,(0.2+0.8*P510)),IF(ISTEXT(N510),VLOOKUP(N510,Afactors,2,FALSE),""))</f>
        <v/>
      </c>
      <c r="CO510" s="616" t="str">
        <f>IF(ISNUMBER(S510),MAX('Adjustment factors'!$S$16,0.2+0.8*S510),IF(ISTEXT(Q510),VLOOKUP(Q510,Afactors,2,FALSE),""))</f>
        <v/>
      </c>
      <c r="CP510" s="611" t="str">
        <f t="shared" si="645"/>
        <v/>
      </c>
      <c r="CQ510" s="612" t="str">
        <f t="shared" si="646"/>
        <v/>
      </c>
      <c r="CR510" s="340"/>
      <c r="CS510" s="340"/>
      <c r="CT510" s="340"/>
      <c r="CU510" s="340"/>
      <c r="CV510" s="333"/>
      <c r="CW510" s="333"/>
      <c r="CX510" s="333"/>
      <c r="CY510" s="333"/>
      <c r="DA510" s="313" t="str">
        <f t="shared" si="628"/>
        <v>OK</v>
      </c>
      <c r="DB510" s="313" t="str">
        <f t="shared" si="629"/>
        <v>OK</v>
      </c>
      <c r="DC510" s="313" t="str">
        <f t="shared" si="630"/>
        <v>OK</v>
      </c>
      <c r="DD510" s="313" t="str">
        <f t="shared" si="631"/>
        <v>OK</v>
      </c>
      <c r="DE510" s="153" t="str">
        <f t="shared" si="632"/>
        <v>OK</v>
      </c>
      <c r="DF510" s="314" t="str">
        <f t="shared" si="633"/>
        <v>OK</v>
      </c>
      <c r="DG510" s="482" t="str">
        <f t="shared" si="647"/>
        <v>OK</v>
      </c>
      <c r="DH510" s="482" t="str">
        <f>IF(OR(AND(T510='Adjustment factors'!$R$28,'Class 3, 5-9'!U510='Adjustment factors'!$R$29),AND('Class 3, 5-9'!T510='Adjustment factors'!$R$29,'Class 3, 5-9'!U510='Adjustment factors'!$R$28)),"Invalid combination of adjustment factors",IF(AND(T510=U510,NOT(ISBLANK(T510)),NOT(ISBLANK(U510))),"Same colour factor selected twice","OK"))</f>
        <v>OK</v>
      </c>
      <c r="DI510" s="313" t="str">
        <f t="shared" si="634"/>
        <v>OK</v>
      </c>
      <c r="DJ510" s="153" t="str">
        <f t="shared" si="656"/>
        <v>OK</v>
      </c>
      <c r="DK510" s="153" t="str">
        <f t="shared" si="635"/>
        <v>OK</v>
      </c>
      <c r="DL510" s="313" t="str">
        <f t="shared" si="636"/>
        <v>OK</v>
      </c>
      <c r="DM510" s="153" t="str">
        <f t="shared" si="637"/>
        <v>OK</v>
      </c>
      <c r="DN510" s="153" t="str">
        <f t="shared" si="657"/>
        <v>OK</v>
      </c>
      <c r="DO510" s="154" t="str">
        <f t="shared" si="658"/>
        <v>OK</v>
      </c>
      <c r="DP510" s="153" t="str">
        <f t="shared" si="638"/>
        <v>OK</v>
      </c>
      <c r="DQ510" s="313" t="str">
        <f t="shared" si="639"/>
        <v>OK</v>
      </c>
      <c r="DR510" s="153" t="str">
        <f t="shared" si="659"/>
        <v>OK</v>
      </c>
      <c r="DS510" s="153" t="str">
        <f t="shared" si="640"/>
        <v>OK</v>
      </c>
      <c r="DT510" s="313" t="str">
        <f t="shared" si="671"/>
        <v>OK</v>
      </c>
      <c r="DU510" s="153" t="str">
        <f t="shared" si="641"/>
        <v>OK</v>
      </c>
      <c r="DV510" s="153" t="str">
        <f t="shared" si="660"/>
        <v>OK</v>
      </c>
      <c r="DW510" s="154" t="str">
        <f t="shared" si="661"/>
        <v>OK</v>
      </c>
      <c r="DX510" s="157">
        <f t="shared" si="662"/>
        <v>0</v>
      </c>
      <c r="DY510" s="156" t="str">
        <f t="shared" si="663"/>
        <v>OK</v>
      </c>
    </row>
    <row r="511" spans="1:129" ht="13" hidden="1" x14ac:dyDescent="0.3">
      <c r="A511" s="333"/>
      <c r="B511" s="333"/>
      <c r="C511" s="332" t="str">
        <f t="shared" si="670"/>
        <v>-</v>
      </c>
      <c r="D511" s="584">
        <f t="shared" si="597"/>
        <v>488</v>
      </c>
      <c r="E511" s="585"/>
      <c r="F511" s="586"/>
      <c r="G511" s="600"/>
      <c r="H511" s="587"/>
      <c r="I511" s="601"/>
      <c r="J511" s="585"/>
      <c r="K511" s="617"/>
      <c r="L511" s="602"/>
      <c r="M511" s="603"/>
      <c r="N511" s="588"/>
      <c r="O511" s="604"/>
      <c r="P511" s="605"/>
      <c r="Q511" s="588"/>
      <c r="R511" s="604"/>
      <c r="S511" s="605"/>
      <c r="T511" s="606"/>
      <c r="U511" s="606"/>
      <c r="V511" s="429" t="str">
        <f t="shared" si="668"/>
        <v/>
      </c>
      <c r="W511" s="430" t="str">
        <f t="shared" si="667"/>
        <v/>
      </c>
      <c r="X511" s="66" t="str">
        <f>IF(AND(ISNUMBER(P511),N511=FixedDim),MAX('Adjustment factors'!$S$16,0.2+0.8*P511),IF(ISTEXT(N511),VLOOKUP(N511,Afactors,2,TRUE),""))</f>
        <v/>
      </c>
      <c r="Y511" s="17" t="str">
        <f>IF(AND(ISNUMBER(S511),Q511=FixedDim),MAX('Adjustment factors'!$S$16,0.2+0.8*S511),IF(ISTEXT(Q511),VLOOKUP(Q511,Afactors,2,TRUE),""))</f>
        <v/>
      </c>
      <c r="Z511" s="297" t="str">
        <f>IF(ISBLANK(T511),"",VLOOKUP(T511,'Adjustment factors'!$R$27:$S$30,2,TRUE))</f>
        <v/>
      </c>
      <c r="AA511" s="297" t="str">
        <f>IF(ISBLANK(U511),"",VLOOKUP(U511,'Adjustment factors'!$R$27:$S$30,2,TRUE))</f>
        <v/>
      </c>
      <c r="AB511" s="480">
        <f t="shared" si="642"/>
        <v>1</v>
      </c>
      <c r="AC511" s="18" t="b">
        <f t="shared" si="599"/>
        <v>0</v>
      </c>
      <c r="AD511" s="18" t="b">
        <f t="shared" si="600"/>
        <v>0</v>
      </c>
      <c r="AE511" s="18" t="b">
        <f t="shared" si="664"/>
        <v>0</v>
      </c>
      <c r="AF511" s="17" t="str">
        <f t="shared" si="601"/>
        <v/>
      </c>
      <c r="AG511" s="18" t="str">
        <f t="shared" si="602"/>
        <v/>
      </c>
      <c r="AH511" s="17" t="str">
        <f t="shared" si="665"/>
        <v/>
      </c>
      <c r="AI511" s="297" t="e">
        <f t="shared" si="643"/>
        <v>#VALUE!</v>
      </c>
      <c r="AJ511" s="79" t="e">
        <f t="shared" si="603"/>
        <v>#VALUE!</v>
      </c>
      <c r="AK511" s="17" t="str">
        <f t="shared" si="666"/>
        <v/>
      </c>
      <c r="AL511" s="80" t="e">
        <f t="shared" si="604"/>
        <v>#VALUE!</v>
      </c>
      <c r="AM511" s="139" t="b">
        <f t="shared" si="605"/>
        <v>1</v>
      </c>
      <c r="AN511" s="139" t="b">
        <f>AND(COUNTA(E511)&gt;0,ISNUMBER(F511),OR(COUNT(G511:H511)=0,COUNT(G511:H511)=2,AND(ISNUMBER(G511),ISNUMBER(VALUE(LEFT(H511,SUM(LEN(H511)-LEN(SUBSTITUTE(H511,{"0","1","2","3","4","5","6","7","8","9","."},"")))))))),ISNUMBER(I511),ISTEXT(J511))</f>
        <v>0</v>
      </c>
      <c r="AO511" s="19" t="b">
        <f t="shared" si="606"/>
        <v>0</v>
      </c>
      <c r="AP511" s="19" t="b">
        <f t="shared" si="607"/>
        <v>1</v>
      </c>
      <c r="AQ511" s="19" t="b">
        <f>IF(AND(COUNTBLANK(E511:J511)=6,OR(AN512:AN$523)),NOT(AN511))</f>
        <v>0</v>
      </c>
      <c r="AR511" s="19" t="str">
        <f t="shared" si="608"/>
        <v/>
      </c>
      <c r="AS511" s="19" t="b">
        <f t="shared" si="609"/>
        <v>1</v>
      </c>
      <c r="AT511" s="19" t="str">
        <f t="shared" si="610"/>
        <v/>
      </c>
      <c r="AU511" s="19" t="b">
        <f t="shared" si="611"/>
        <v>1</v>
      </c>
      <c r="AV511" s="140" t="str">
        <f t="shared" si="648"/>
        <v/>
      </c>
      <c r="AW511" s="19" t="str">
        <f t="shared" si="612"/>
        <v/>
      </c>
      <c r="AX511" s="81">
        <f t="shared" si="613"/>
        <v>0</v>
      </c>
      <c r="AY511" s="81" t="str">
        <f t="shared" si="614"/>
        <v/>
      </c>
      <c r="AZ511" s="307" t="str">
        <f t="shared" si="644"/>
        <v/>
      </c>
      <c r="BA511" s="281" t="str">
        <f t="shared" si="649"/>
        <v/>
      </c>
      <c r="BB511" s="281" t="str">
        <f t="shared" si="650"/>
        <v/>
      </c>
      <c r="BC511" s="953"/>
      <c r="BD511" s="955"/>
      <c r="BE511" s="219" t="str">
        <f t="shared" si="615"/>
        <v>n/a</v>
      </c>
      <c r="BF511" s="215" t="b">
        <f t="shared" si="616"/>
        <v>0</v>
      </c>
      <c r="BG511" s="145" t="b">
        <f t="shared" si="617"/>
        <v>0</v>
      </c>
      <c r="BH511" s="145" t="b">
        <f t="shared" si="618"/>
        <v>0</v>
      </c>
      <c r="BI511" s="216" t="b">
        <f t="shared" si="619"/>
        <v>0</v>
      </c>
      <c r="BJ511" s="215" t="b">
        <f t="shared" si="620"/>
        <v>0</v>
      </c>
      <c r="BK511" s="145" t="b">
        <f t="shared" si="621"/>
        <v>0</v>
      </c>
      <c r="BL511" s="216" t="b">
        <f t="shared" si="622"/>
        <v>0</v>
      </c>
      <c r="BM511" s="217" t="str">
        <f t="shared" si="651"/>
        <v/>
      </c>
      <c r="BN511" s="146" t="str">
        <f t="shared" si="652"/>
        <v/>
      </c>
      <c r="BO511" s="147" t="str">
        <f t="shared" si="653"/>
        <v/>
      </c>
      <c r="BP511" s="148" t="str">
        <f t="shared" si="654"/>
        <v/>
      </c>
      <c r="BT511" s="50">
        <f t="shared" si="596"/>
        <v>488</v>
      </c>
      <c r="BU511" s="50" t="str">
        <f t="shared" si="669"/>
        <v>-</v>
      </c>
      <c r="BW511" s="340"/>
      <c r="BX511" s="333"/>
      <c r="BY511" s="333"/>
      <c r="BZ511" s="333"/>
      <c r="CA511" s="333"/>
      <c r="CB511" s="333"/>
      <c r="CC511" s="333"/>
      <c r="CD511" s="333"/>
      <c r="CE511" s="333"/>
      <c r="CF511" s="333"/>
      <c r="CG511" s="354">
        <f t="shared" si="623"/>
        <v>488</v>
      </c>
      <c r="CH511" s="613">
        <f t="shared" si="624"/>
        <v>0</v>
      </c>
      <c r="CI511" s="613">
        <f t="shared" si="625"/>
        <v>0</v>
      </c>
      <c r="CJ511" s="614" t="str">
        <f t="shared" si="626"/>
        <v/>
      </c>
      <c r="CK511" s="615" t="str">
        <f t="shared" si="627"/>
        <v/>
      </c>
      <c r="CL511" s="610" t="str">
        <f>IF(ISBLANK(H511),"",IF(AND(ISNUMBER(F511),ISNUMBER(G511),ISNUMBER(H511)),ROUND(F511/(H511*G511),2),ROUND(F511/(VALUE(LEFT(H511,SUM(LEN(H511)-LEN(SUBSTITUTE(H511,{"0","1","2","3","4","5","6","7","8","9","."},"")))))*G511),2)))</f>
        <v/>
      </c>
      <c r="CM511" s="616" t="str">
        <f t="shared" si="655"/>
        <v/>
      </c>
      <c r="CN511" s="616" t="str">
        <f>IF(ISNUMBER(P511),MAX('Adjustment factors'!$S$16,(0.2+0.8*P511)),IF(ISTEXT(N511),VLOOKUP(N511,Afactors,2,FALSE),""))</f>
        <v/>
      </c>
      <c r="CO511" s="616" t="str">
        <f>IF(ISNUMBER(S511),MAX('Adjustment factors'!$S$16,0.2+0.8*S511),IF(ISTEXT(Q511),VLOOKUP(Q511,Afactors,2,FALSE),""))</f>
        <v/>
      </c>
      <c r="CP511" s="611" t="str">
        <f t="shared" si="645"/>
        <v/>
      </c>
      <c r="CQ511" s="612" t="str">
        <f t="shared" si="646"/>
        <v/>
      </c>
      <c r="CR511" s="340"/>
      <c r="CS511" s="340"/>
      <c r="CT511" s="340"/>
      <c r="CU511" s="340"/>
      <c r="CV511" s="333"/>
      <c r="CW511" s="333"/>
      <c r="CX511" s="333"/>
      <c r="CY511" s="333"/>
      <c r="DA511" s="313" t="str">
        <f t="shared" si="628"/>
        <v>OK</v>
      </c>
      <c r="DB511" s="313" t="str">
        <f t="shared" si="629"/>
        <v>OK</v>
      </c>
      <c r="DC511" s="313" t="str">
        <f t="shared" si="630"/>
        <v>OK</v>
      </c>
      <c r="DD511" s="313" t="str">
        <f t="shared" si="631"/>
        <v>OK</v>
      </c>
      <c r="DE511" s="153" t="str">
        <f t="shared" si="632"/>
        <v>OK</v>
      </c>
      <c r="DF511" s="314" t="str">
        <f t="shared" si="633"/>
        <v>OK</v>
      </c>
      <c r="DG511" s="482" t="str">
        <f t="shared" si="647"/>
        <v>OK</v>
      </c>
      <c r="DH511" s="482" t="str">
        <f>IF(OR(AND(T511='Adjustment factors'!$R$28,'Class 3, 5-9'!U511='Adjustment factors'!$R$29),AND('Class 3, 5-9'!T511='Adjustment factors'!$R$29,'Class 3, 5-9'!U511='Adjustment factors'!$R$28)),"Invalid combination of adjustment factors",IF(AND(T511=U511,NOT(ISBLANK(T511)),NOT(ISBLANK(U511))),"Same colour factor selected twice","OK"))</f>
        <v>OK</v>
      </c>
      <c r="DI511" s="313" t="str">
        <f t="shared" si="634"/>
        <v>OK</v>
      </c>
      <c r="DJ511" s="153" t="str">
        <f t="shared" si="656"/>
        <v>OK</v>
      </c>
      <c r="DK511" s="153" t="str">
        <f t="shared" si="635"/>
        <v>OK</v>
      </c>
      <c r="DL511" s="313" t="str">
        <f t="shared" si="636"/>
        <v>OK</v>
      </c>
      <c r="DM511" s="153" t="str">
        <f t="shared" si="637"/>
        <v>OK</v>
      </c>
      <c r="DN511" s="153" t="str">
        <f t="shared" si="657"/>
        <v>OK</v>
      </c>
      <c r="DO511" s="154" t="str">
        <f t="shared" si="658"/>
        <v>OK</v>
      </c>
      <c r="DP511" s="153" t="str">
        <f t="shared" si="638"/>
        <v>OK</v>
      </c>
      <c r="DQ511" s="313" t="str">
        <f t="shared" si="639"/>
        <v>OK</v>
      </c>
      <c r="DR511" s="153" t="str">
        <f t="shared" si="659"/>
        <v>OK</v>
      </c>
      <c r="DS511" s="153" t="str">
        <f t="shared" si="640"/>
        <v>OK</v>
      </c>
      <c r="DT511" s="313" t="str">
        <f t="shared" si="671"/>
        <v>OK</v>
      </c>
      <c r="DU511" s="153" t="str">
        <f t="shared" si="641"/>
        <v>OK</v>
      </c>
      <c r="DV511" s="153" t="str">
        <f t="shared" si="660"/>
        <v>OK</v>
      </c>
      <c r="DW511" s="154" t="str">
        <f t="shared" si="661"/>
        <v>OK</v>
      </c>
      <c r="DX511" s="157">
        <f t="shared" si="662"/>
        <v>0</v>
      </c>
      <c r="DY511" s="156" t="str">
        <f t="shared" si="663"/>
        <v>OK</v>
      </c>
    </row>
    <row r="512" spans="1:129" ht="13" hidden="1" x14ac:dyDescent="0.3">
      <c r="A512" s="333"/>
      <c r="B512" s="333"/>
      <c r="C512" s="332" t="str">
        <f t="shared" si="670"/>
        <v>-</v>
      </c>
      <c r="D512" s="584">
        <f t="shared" si="597"/>
        <v>489</v>
      </c>
      <c r="E512" s="585"/>
      <c r="F512" s="586"/>
      <c r="G512" s="600"/>
      <c r="H512" s="587"/>
      <c r="I512" s="601"/>
      <c r="J512" s="585"/>
      <c r="K512" s="617"/>
      <c r="L512" s="602"/>
      <c r="M512" s="603"/>
      <c r="N512" s="588"/>
      <c r="O512" s="604"/>
      <c r="P512" s="605"/>
      <c r="Q512" s="588"/>
      <c r="R512" s="604"/>
      <c r="S512" s="605"/>
      <c r="T512" s="606"/>
      <c r="U512" s="606"/>
      <c r="V512" s="429" t="str">
        <f t="shared" si="668"/>
        <v/>
      </c>
      <c r="W512" s="430" t="str">
        <f t="shared" si="667"/>
        <v/>
      </c>
      <c r="X512" s="66" t="str">
        <f>IF(AND(ISNUMBER(P512),N512=FixedDim),MAX('Adjustment factors'!$S$16,0.2+0.8*P512),IF(ISTEXT(N512),VLOOKUP(N512,Afactors,2,TRUE),""))</f>
        <v/>
      </c>
      <c r="Y512" s="17" t="str">
        <f>IF(AND(ISNUMBER(S512),Q512=FixedDim),MAX('Adjustment factors'!$S$16,0.2+0.8*S512),IF(ISTEXT(Q512),VLOOKUP(Q512,Afactors,2,TRUE),""))</f>
        <v/>
      </c>
      <c r="Z512" s="297" t="str">
        <f>IF(ISBLANK(T512),"",VLOOKUP(T512,'Adjustment factors'!$R$27:$S$30,2,TRUE))</f>
        <v/>
      </c>
      <c r="AA512" s="297" t="str">
        <f>IF(ISBLANK(U512),"",VLOOKUP(U512,'Adjustment factors'!$R$27:$S$30,2,TRUE))</f>
        <v/>
      </c>
      <c r="AB512" s="480">
        <f t="shared" si="642"/>
        <v>1</v>
      </c>
      <c r="AC512" s="18" t="b">
        <f t="shared" si="599"/>
        <v>0</v>
      </c>
      <c r="AD512" s="18" t="b">
        <f t="shared" si="600"/>
        <v>0</v>
      </c>
      <c r="AE512" s="18" t="b">
        <f t="shared" si="664"/>
        <v>0</v>
      </c>
      <c r="AF512" s="17" t="str">
        <f t="shared" si="601"/>
        <v/>
      </c>
      <c r="AG512" s="18" t="str">
        <f t="shared" si="602"/>
        <v/>
      </c>
      <c r="AH512" s="17" t="str">
        <f t="shared" si="665"/>
        <v/>
      </c>
      <c r="AI512" s="297" t="e">
        <f t="shared" si="643"/>
        <v>#VALUE!</v>
      </c>
      <c r="AJ512" s="79" t="e">
        <f t="shared" si="603"/>
        <v>#VALUE!</v>
      </c>
      <c r="AK512" s="17" t="str">
        <f t="shared" si="666"/>
        <v/>
      </c>
      <c r="AL512" s="80" t="e">
        <f t="shared" si="604"/>
        <v>#VALUE!</v>
      </c>
      <c r="AM512" s="139" t="b">
        <f t="shared" si="605"/>
        <v>1</v>
      </c>
      <c r="AN512" s="139" t="b">
        <f>AND(COUNTA(E512)&gt;0,ISNUMBER(F512),OR(COUNT(G512:H512)=0,COUNT(G512:H512)=2,AND(ISNUMBER(G512),ISNUMBER(VALUE(LEFT(H512,SUM(LEN(H512)-LEN(SUBSTITUTE(H512,{"0","1","2","3","4","5","6","7","8","9","."},"")))))))),ISNUMBER(I512),ISTEXT(J512))</f>
        <v>0</v>
      </c>
      <c r="AO512" s="19" t="b">
        <f t="shared" si="606"/>
        <v>0</v>
      </c>
      <c r="AP512" s="19" t="b">
        <f t="shared" si="607"/>
        <v>1</v>
      </c>
      <c r="AQ512" s="19" t="b">
        <f>IF(AND(COUNTBLANK(E512:J512)=6,OR(AN513:AN$523)),NOT(AN512))</f>
        <v>0</v>
      </c>
      <c r="AR512" s="19" t="str">
        <f t="shared" si="608"/>
        <v/>
      </c>
      <c r="AS512" s="19" t="b">
        <f t="shared" si="609"/>
        <v>1</v>
      </c>
      <c r="AT512" s="19" t="str">
        <f t="shared" si="610"/>
        <v/>
      </c>
      <c r="AU512" s="19" t="b">
        <f t="shared" si="611"/>
        <v>1</v>
      </c>
      <c r="AV512" s="140" t="str">
        <f t="shared" si="648"/>
        <v/>
      </c>
      <c r="AW512" s="19" t="str">
        <f t="shared" si="612"/>
        <v/>
      </c>
      <c r="AX512" s="81">
        <f t="shared" si="613"/>
        <v>0</v>
      </c>
      <c r="AY512" s="81" t="str">
        <f t="shared" si="614"/>
        <v/>
      </c>
      <c r="AZ512" s="307" t="str">
        <f t="shared" si="644"/>
        <v/>
      </c>
      <c r="BA512" s="281" t="str">
        <f t="shared" si="649"/>
        <v/>
      </c>
      <c r="BB512" s="281" t="str">
        <f t="shared" si="650"/>
        <v/>
      </c>
      <c r="BC512" s="953"/>
      <c r="BD512" s="955"/>
      <c r="BE512" s="219" t="str">
        <f t="shared" si="615"/>
        <v>n/a</v>
      </c>
      <c r="BF512" s="215" t="b">
        <f t="shared" si="616"/>
        <v>0</v>
      </c>
      <c r="BG512" s="145" t="b">
        <f t="shared" si="617"/>
        <v>0</v>
      </c>
      <c r="BH512" s="145" t="b">
        <f t="shared" si="618"/>
        <v>0</v>
      </c>
      <c r="BI512" s="216" t="b">
        <f t="shared" si="619"/>
        <v>0</v>
      </c>
      <c r="BJ512" s="215" t="b">
        <f t="shared" si="620"/>
        <v>0</v>
      </c>
      <c r="BK512" s="145" t="b">
        <f t="shared" si="621"/>
        <v>0</v>
      </c>
      <c r="BL512" s="216" t="b">
        <f t="shared" si="622"/>
        <v>0</v>
      </c>
      <c r="BM512" s="217" t="str">
        <f t="shared" si="651"/>
        <v/>
      </c>
      <c r="BN512" s="146" t="str">
        <f t="shared" si="652"/>
        <v/>
      </c>
      <c r="BO512" s="147" t="str">
        <f t="shared" si="653"/>
        <v/>
      </c>
      <c r="BP512" s="148" t="str">
        <f t="shared" si="654"/>
        <v/>
      </c>
      <c r="BT512" s="50">
        <f t="shared" si="596"/>
        <v>489</v>
      </c>
      <c r="BU512" s="50" t="str">
        <f t="shared" si="669"/>
        <v>-</v>
      </c>
      <c r="BW512" s="340"/>
      <c r="BX512" s="333"/>
      <c r="BY512" s="333"/>
      <c r="BZ512" s="333"/>
      <c r="CA512" s="333"/>
      <c r="CB512" s="333"/>
      <c r="CC512" s="333"/>
      <c r="CD512" s="333"/>
      <c r="CE512" s="333"/>
      <c r="CF512" s="333"/>
      <c r="CG512" s="354">
        <f t="shared" si="623"/>
        <v>489</v>
      </c>
      <c r="CH512" s="613">
        <f t="shared" si="624"/>
        <v>0</v>
      </c>
      <c r="CI512" s="613">
        <f t="shared" si="625"/>
        <v>0</v>
      </c>
      <c r="CJ512" s="614" t="str">
        <f t="shared" si="626"/>
        <v/>
      </c>
      <c r="CK512" s="615" t="str">
        <f t="shared" si="627"/>
        <v/>
      </c>
      <c r="CL512" s="610" t="str">
        <f>IF(ISBLANK(H512),"",IF(AND(ISNUMBER(F512),ISNUMBER(G512),ISNUMBER(H512)),ROUND(F512/(H512*G512),2),ROUND(F512/(VALUE(LEFT(H512,SUM(LEN(H512)-LEN(SUBSTITUTE(H512,{"0","1","2","3","4","5","6","7","8","9","."},"")))))*G512),2)))</f>
        <v/>
      </c>
      <c r="CM512" s="616" t="str">
        <f t="shared" si="655"/>
        <v/>
      </c>
      <c r="CN512" s="616" t="str">
        <f>IF(ISNUMBER(P512),MAX('Adjustment factors'!$S$16,(0.2+0.8*P512)),IF(ISTEXT(N512),VLOOKUP(N512,Afactors,2,FALSE),""))</f>
        <v/>
      </c>
      <c r="CO512" s="616" t="str">
        <f>IF(ISNUMBER(S512),MAX('Adjustment factors'!$S$16,0.2+0.8*S512),IF(ISTEXT(Q512),VLOOKUP(Q512,Afactors,2,FALSE),""))</f>
        <v/>
      </c>
      <c r="CP512" s="611" t="str">
        <f t="shared" si="645"/>
        <v/>
      </c>
      <c r="CQ512" s="612" t="str">
        <f t="shared" si="646"/>
        <v/>
      </c>
      <c r="CR512" s="340"/>
      <c r="CS512" s="340"/>
      <c r="CT512" s="340"/>
      <c r="CU512" s="340"/>
      <c r="CV512" s="333"/>
      <c r="CW512" s="333"/>
      <c r="CX512" s="333"/>
      <c r="CY512" s="333"/>
      <c r="DA512" s="313" t="str">
        <f t="shared" si="628"/>
        <v>OK</v>
      </c>
      <c r="DB512" s="313" t="str">
        <f t="shared" si="629"/>
        <v>OK</v>
      </c>
      <c r="DC512" s="313" t="str">
        <f t="shared" si="630"/>
        <v>OK</v>
      </c>
      <c r="DD512" s="313" t="str">
        <f t="shared" si="631"/>
        <v>OK</v>
      </c>
      <c r="DE512" s="153" t="str">
        <f t="shared" si="632"/>
        <v>OK</v>
      </c>
      <c r="DF512" s="314" t="str">
        <f t="shared" si="633"/>
        <v>OK</v>
      </c>
      <c r="DG512" s="482" t="str">
        <f t="shared" si="647"/>
        <v>OK</v>
      </c>
      <c r="DH512" s="482" t="str">
        <f>IF(OR(AND(T512='Adjustment factors'!$R$28,'Class 3, 5-9'!U512='Adjustment factors'!$R$29),AND('Class 3, 5-9'!T512='Adjustment factors'!$R$29,'Class 3, 5-9'!U512='Adjustment factors'!$R$28)),"Invalid combination of adjustment factors",IF(AND(T512=U512,NOT(ISBLANK(T512)),NOT(ISBLANK(U512))),"Same colour factor selected twice","OK"))</f>
        <v>OK</v>
      </c>
      <c r="DI512" s="313" t="str">
        <f t="shared" si="634"/>
        <v>OK</v>
      </c>
      <c r="DJ512" s="153" t="str">
        <f t="shared" si="656"/>
        <v>OK</v>
      </c>
      <c r="DK512" s="153" t="str">
        <f t="shared" si="635"/>
        <v>OK</v>
      </c>
      <c r="DL512" s="313" t="str">
        <f t="shared" si="636"/>
        <v>OK</v>
      </c>
      <c r="DM512" s="153" t="str">
        <f t="shared" si="637"/>
        <v>OK</v>
      </c>
      <c r="DN512" s="153" t="str">
        <f t="shared" si="657"/>
        <v>OK</v>
      </c>
      <c r="DO512" s="154" t="str">
        <f t="shared" si="658"/>
        <v>OK</v>
      </c>
      <c r="DP512" s="153" t="str">
        <f t="shared" si="638"/>
        <v>OK</v>
      </c>
      <c r="DQ512" s="313" t="str">
        <f t="shared" si="639"/>
        <v>OK</v>
      </c>
      <c r="DR512" s="153" t="str">
        <f t="shared" si="659"/>
        <v>OK</v>
      </c>
      <c r="DS512" s="153" t="str">
        <f t="shared" si="640"/>
        <v>OK</v>
      </c>
      <c r="DT512" s="313" t="str">
        <f t="shared" si="671"/>
        <v>OK</v>
      </c>
      <c r="DU512" s="153" t="str">
        <f t="shared" si="641"/>
        <v>OK</v>
      </c>
      <c r="DV512" s="153" t="str">
        <f t="shared" si="660"/>
        <v>OK</v>
      </c>
      <c r="DW512" s="154" t="str">
        <f t="shared" si="661"/>
        <v>OK</v>
      </c>
      <c r="DX512" s="157">
        <f t="shared" si="662"/>
        <v>0</v>
      </c>
      <c r="DY512" s="156" t="str">
        <f t="shared" si="663"/>
        <v>OK</v>
      </c>
    </row>
    <row r="513" spans="1:129" ht="13" hidden="1" x14ac:dyDescent="0.3">
      <c r="A513" s="333"/>
      <c r="B513" s="333"/>
      <c r="C513" s="332" t="str">
        <f t="shared" si="670"/>
        <v>-</v>
      </c>
      <c r="D513" s="584">
        <f t="shared" si="597"/>
        <v>490</v>
      </c>
      <c r="E513" s="585"/>
      <c r="F513" s="586"/>
      <c r="G513" s="600"/>
      <c r="H513" s="587"/>
      <c r="I513" s="601"/>
      <c r="J513" s="585"/>
      <c r="K513" s="617"/>
      <c r="L513" s="602"/>
      <c r="M513" s="603"/>
      <c r="N513" s="588"/>
      <c r="O513" s="604"/>
      <c r="P513" s="605"/>
      <c r="Q513" s="588"/>
      <c r="R513" s="604"/>
      <c r="S513" s="605"/>
      <c r="T513" s="606"/>
      <c r="U513" s="606"/>
      <c r="V513" s="429" t="str">
        <f t="shared" si="668"/>
        <v/>
      </c>
      <c r="W513" s="430" t="str">
        <f t="shared" si="667"/>
        <v/>
      </c>
      <c r="X513" s="66" t="str">
        <f>IF(AND(ISNUMBER(P513),N513=FixedDim),MAX('Adjustment factors'!$S$16,0.2+0.8*P513),IF(ISTEXT(N513),VLOOKUP(N513,Afactors,2,TRUE),""))</f>
        <v/>
      </c>
      <c r="Y513" s="17" t="str">
        <f>IF(AND(ISNUMBER(S513),Q513=FixedDim),MAX('Adjustment factors'!$S$16,0.2+0.8*S513),IF(ISTEXT(Q513),VLOOKUP(Q513,Afactors,2,TRUE),""))</f>
        <v/>
      </c>
      <c r="Z513" s="297" t="str">
        <f>IF(ISBLANK(T513),"",VLOOKUP(T513,'Adjustment factors'!$R$27:$S$30,2,TRUE))</f>
        <v/>
      </c>
      <c r="AA513" s="297" t="str">
        <f>IF(ISBLANK(U513),"",VLOOKUP(U513,'Adjustment factors'!$R$27:$S$30,2,TRUE))</f>
        <v/>
      </c>
      <c r="AB513" s="480">
        <f t="shared" si="642"/>
        <v>1</v>
      </c>
      <c r="AC513" s="18" t="b">
        <f t="shared" si="599"/>
        <v>0</v>
      </c>
      <c r="AD513" s="18" t="b">
        <f t="shared" si="600"/>
        <v>0</v>
      </c>
      <c r="AE513" s="18" t="b">
        <f t="shared" si="664"/>
        <v>0</v>
      </c>
      <c r="AF513" s="17" t="str">
        <f t="shared" si="601"/>
        <v/>
      </c>
      <c r="AG513" s="18" t="str">
        <f t="shared" si="602"/>
        <v/>
      </c>
      <c r="AH513" s="17" t="str">
        <f t="shared" si="665"/>
        <v/>
      </c>
      <c r="AI513" s="297" t="e">
        <f t="shared" si="643"/>
        <v>#VALUE!</v>
      </c>
      <c r="AJ513" s="79" t="e">
        <f t="shared" si="603"/>
        <v>#VALUE!</v>
      </c>
      <c r="AK513" s="17" t="str">
        <f t="shared" si="666"/>
        <v/>
      </c>
      <c r="AL513" s="80" t="e">
        <f t="shared" si="604"/>
        <v>#VALUE!</v>
      </c>
      <c r="AM513" s="139" t="b">
        <f t="shared" si="605"/>
        <v>1</v>
      </c>
      <c r="AN513" s="139" t="b">
        <f>AND(COUNTA(E513)&gt;0,ISNUMBER(F513),OR(COUNT(G513:H513)=0,COUNT(G513:H513)=2,AND(ISNUMBER(G513),ISNUMBER(VALUE(LEFT(H513,SUM(LEN(H513)-LEN(SUBSTITUTE(H513,{"0","1","2","3","4","5","6","7","8","9","."},"")))))))),ISNUMBER(I513),ISTEXT(J513))</f>
        <v>0</v>
      </c>
      <c r="AO513" s="19" t="b">
        <f t="shared" si="606"/>
        <v>0</v>
      </c>
      <c r="AP513" s="19" t="b">
        <f t="shared" si="607"/>
        <v>1</v>
      </c>
      <c r="AQ513" s="19" t="b">
        <f>IF(AND(COUNTBLANK(E513:J513)=6,OR(AN514:AN$523)),NOT(AN513))</f>
        <v>0</v>
      </c>
      <c r="AR513" s="19" t="str">
        <f t="shared" si="608"/>
        <v/>
      </c>
      <c r="AS513" s="19" t="b">
        <f t="shared" si="609"/>
        <v>1</v>
      </c>
      <c r="AT513" s="19" t="str">
        <f t="shared" si="610"/>
        <v/>
      </c>
      <c r="AU513" s="19" t="b">
        <f t="shared" si="611"/>
        <v>1</v>
      </c>
      <c r="AV513" s="140" t="str">
        <f t="shared" si="648"/>
        <v/>
      </c>
      <c r="AW513" s="19" t="str">
        <f t="shared" si="612"/>
        <v/>
      </c>
      <c r="AX513" s="81">
        <f t="shared" si="613"/>
        <v>0</v>
      </c>
      <c r="AY513" s="81" t="str">
        <f t="shared" si="614"/>
        <v/>
      </c>
      <c r="AZ513" s="307" t="str">
        <f t="shared" si="644"/>
        <v/>
      </c>
      <c r="BA513" s="281" t="str">
        <f t="shared" si="649"/>
        <v/>
      </c>
      <c r="BB513" s="281" t="str">
        <f t="shared" si="650"/>
        <v/>
      </c>
      <c r="BC513" s="953"/>
      <c r="BD513" s="955"/>
      <c r="BE513" s="219" t="str">
        <f t="shared" si="615"/>
        <v>n/a</v>
      </c>
      <c r="BF513" s="215" t="b">
        <f t="shared" si="616"/>
        <v>0</v>
      </c>
      <c r="BG513" s="145" t="b">
        <f t="shared" si="617"/>
        <v>0</v>
      </c>
      <c r="BH513" s="145" t="b">
        <f t="shared" si="618"/>
        <v>0</v>
      </c>
      <c r="BI513" s="216" t="b">
        <f t="shared" si="619"/>
        <v>0</v>
      </c>
      <c r="BJ513" s="215" t="b">
        <f t="shared" si="620"/>
        <v>0</v>
      </c>
      <c r="BK513" s="145" t="b">
        <f t="shared" si="621"/>
        <v>0</v>
      </c>
      <c r="BL513" s="216" t="b">
        <f t="shared" si="622"/>
        <v>0</v>
      </c>
      <c r="BM513" s="217" t="str">
        <f t="shared" si="651"/>
        <v/>
      </c>
      <c r="BN513" s="146" t="str">
        <f t="shared" si="652"/>
        <v/>
      </c>
      <c r="BO513" s="147" t="str">
        <f t="shared" si="653"/>
        <v/>
      </c>
      <c r="BP513" s="148" t="str">
        <f t="shared" si="654"/>
        <v/>
      </c>
      <c r="BT513" s="50">
        <f t="shared" ref="BT513:BT523" si="672">BT512+1</f>
        <v>490</v>
      </c>
      <c r="BU513" s="50" t="str">
        <f t="shared" si="669"/>
        <v>-</v>
      </c>
      <c r="BW513" s="340"/>
      <c r="BX513" s="333"/>
      <c r="BY513" s="333"/>
      <c r="BZ513" s="333"/>
      <c r="CA513" s="333"/>
      <c r="CB513" s="333"/>
      <c r="CC513" s="333"/>
      <c r="CD513" s="333"/>
      <c r="CE513" s="333"/>
      <c r="CF513" s="333"/>
      <c r="CG513" s="354">
        <f t="shared" si="623"/>
        <v>490</v>
      </c>
      <c r="CH513" s="613">
        <f t="shared" si="624"/>
        <v>0</v>
      </c>
      <c r="CI513" s="613">
        <f t="shared" si="625"/>
        <v>0</v>
      </c>
      <c r="CJ513" s="614" t="str">
        <f t="shared" si="626"/>
        <v/>
      </c>
      <c r="CK513" s="615" t="str">
        <f t="shared" si="627"/>
        <v/>
      </c>
      <c r="CL513" s="610" t="str">
        <f>IF(ISBLANK(H513),"",IF(AND(ISNUMBER(F513),ISNUMBER(G513),ISNUMBER(H513)),ROUND(F513/(H513*G513),2),ROUND(F513/(VALUE(LEFT(H513,SUM(LEN(H513)-LEN(SUBSTITUTE(H513,{"0","1","2","3","4","5","6","7","8","9","."},"")))))*G513),2)))</f>
        <v/>
      </c>
      <c r="CM513" s="616" t="str">
        <f t="shared" si="655"/>
        <v/>
      </c>
      <c r="CN513" s="616" t="str">
        <f>IF(ISNUMBER(P513),MAX('Adjustment factors'!$S$16,(0.2+0.8*P513)),IF(ISTEXT(N513),VLOOKUP(N513,Afactors,2,FALSE),""))</f>
        <v/>
      </c>
      <c r="CO513" s="616" t="str">
        <f>IF(ISNUMBER(S513),MAX('Adjustment factors'!$S$16,0.2+0.8*S513),IF(ISTEXT(Q513),VLOOKUP(Q513,Afactors,2,FALSE),""))</f>
        <v/>
      </c>
      <c r="CP513" s="611" t="str">
        <f t="shared" si="645"/>
        <v/>
      </c>
      <c r="CQ513" s="612" t="str">
        <f t="shared" si="646"/>
        <v/>
      </c>
      <c r="CR513" s="340"/>
      <c r="CS513" s="340"/>
      <c r="CT513" s="340"/>
      <c r="CU513" s="340"/>
      <c r="CV513" s="333"/>
      <c r="CW513" s="333"/>
      <c r="CX513" s="333"/>
      <c r="CY513" s="333"/>
      <c r="DA513" s="313" t="str">
        <f t="shared" si="628"/>
        <v>OK</v>
      </c>
      <c r="DB513" s="313" t="str">
        <f t="shared" si="629"/>
        <v>OK</v>
      </c>
      <c r="DC513" s="313" t="str">
        <f t="shared" si="630"/>
        <v>OK</v>
      </c>
      <c r="DD513" s="313" t="str">
        <f t="shared" si="631"/>
        <v>OK</v>
      </c>
      <c r="DE513" s="153" t="str">
        <f t="shared" si="632"/>
        <v>OK</v>
      </c>
      <c r="DF513" s="314" t="str">
        <f t="shared" si="633"/>
        <v>OK</v>
      </c>
      <c r="DG513" s="482" t="str">
        <f t="shared" si="647"/>
        <v>OK</v>
      </c>
      <c r="DH513" s="482" t="str">
        <f>IF(OR(AND(T513='Adjustment factors'!$R$28,'Class 3, 5-9'!U513='Adjustment factors'!$R$29),AND('Class 3, 5-9'!T513='Adjustment factors'!$R$29,'Class 3, 5-9'!U513='Adjustment factors'!$R$28)),"Invalid combination of adjustment factors",IF(AND(T513=U513,NOT(ISBLANK(T513)),NOT(ISBLANK(U513))),"Same colour factor selected twice","OK"))</f>
        <v>OK</v>
      </c>
      <c r="DI513" s="313" t="str">
        <f t="shared" si="634"/>
        <v>OK</v>
      </c>
      <c r="DJ513" s="153" t="str">
        <f t="shared" si="656"/>
        <v>OK</v>
      </c>
      <c r="DK513" s="153" t="str">
        <f t="shared" si="635"/>
        <v>OK</v>
      </c>
      <c r="DL513" s="313" t="str">
        <f t="shared" si="636"/>
        <v>OK</v>
      </c>
      <c r="DM513" s="153" t="str">
        <f t="shared" si="637"/>
        <v>OK</v>
      </c>
      <c r="DN513" s="153" t="str">
        <f t="shared" si="657"/>
        <v>OK</v>
      </c>
      <c r="DO513" s="154" t="str">
        <f t="shared" si="658"/>
        <v>OK</v>
      </c>
      <c r="DP513" s="153" t="str">
        <f t="shared" si="638"/>
        <v>OK</v>
      </c>
      <c r="DQ513" s="313" t="str">
        <f t="shared" si="639"/>
        <v>OK</v>
      </c>
      <c r="DR513" s="153" t="str">
        <f t="shared" si="659"/>
        <v>OK</v>
      </c>
      <c r="DS513" s="153" t="str">
        <f t="shared" si="640"/>
        <v>OK</v>
      </c>
      <c r="DT513" s="313" t="str">
        <f t="shared" si="671"/>
        <v>OK</v>
      </c>
      <c r="DU513" s="153" t="str">
        <f t="shared" si="641"/>
        <v>OK</v>
      </c>
      <c r="DV513" s="153" t="str">
        <f t="shared" si="660"/>
        <v>OK</v>
      </c>
      <c r="DW513" s="154" t="str">
        <f t="shared" si="661"/>
        <v>OK</v>
      </c>
      <c r="DX513" s="157">
        <f t="shared" si="662"/>
        <v>0</v>
      </c>
      <c r="DY513" s="156" t="str">
        <f t="shared" si="663"/>
        <v>OK</v>
      </c>
    </row>
    <row r="514" spans="1:129" ht="13" hidden="1" x14ac:dyDescent="0.3">
      <c r="A514" s="333"/>
      <c r="B514" s="333"/>
      <c r="C514" s="332" t="str">
        <f t="shared" si="670"/>
        <v>-</v>
      </c>
      <c r="D514" s="584">
        <f t="shared" si="597"/>
        <v>491</v>
      </c>
      <c r="E514" s="585"/>
      <c r="F514" s="586"/>
      <c r="G514" s="600"/>
      <c r="H514" s="587"/>
      <c r="I514" s="601"/>
      <c r="J514" s="585"/>
      <c r="K514" s="617"/>
      <c r="L514" s="602"/>
      <c r="M514" s="603"/>
      <c r="N514" s="588"/>
      <c r="O514" s="604"/>
      <c r="P514" s="605"/>
      <c r="Q514" s="588"/>
      <c r="R514" s="604"/>
      <c r="S514" s="605"/>
      <c r="T514" s="606"/>
      <c r="U514" s="606"/>
      <c r="V514" s="429" t="str">
        <f t="shared" si="668"/>
        <v/>
      </c>
      <c r="W514" s="430" t="str">
        <f t="shared" si="667"/>
        <v/>
      </c>
      <c r="X514" s="66" t="str">
        <f>IF(AND(ISNUMBER(P514),N514=FixedDim),MAX('Adjustment factors'!$S$16,0.2+0.8*P514),IF(ISTEXT(N514),VLOOKUP(N514,Afactors,2,TRUE),""))</f>
        <v/>
      </c>
      <c r="Y514" s="17" t="str">
        <f>IF(AND(ISNUMBER(S514),Q514=FixedDim),MAX('Adjustment factors'!$S$16,0.2+0.8*S514),IF(ISTEXT(Q514),VLOOKUP(Q514,Afactors,2,TRUE),""))</f>
        <v/>
      </c>
      <c r="Z514" s="297" t="str">
        <f>IF(ISBLANK(T514),"",VLOOKUP(T514,'Adjustment factors'!$R$27:$S$30,2,TRUE))</f>
        <v/>
      </c>
      <c r="AA514" s="297" t="str">
        <f>IF(ISBLANK(U514),"",VLOOKUP(U514,'Adjustment factors'!$R$27:$S$30,2,TRUE))</f>
        <v/>
      </c>
      <c r="AB514" s="480">
        <f t="shared" si="642"/>
        <v>1</v>
      </c>
      <c r="AC514" s="18" t="b">
        <f t="shared" si="599"/>
        <v>0</v>
      </c>
      <c r="AD514" s="18" t="b">
        <f t="shared" si="600"/>
        <v>0</v>
      </c>
      <c r="AE514" s="18" t="b">
        <f t="shared" si="664"/>
        <v>0</v>
      </c>
      <c r="AF514" s="17" t="str">
        <f t="shared" si="601"/>
        <v/>
      </c>
      <c r="AG514" s="18" t="str">
        <f t="shared" si="602"/>
        <v/>
      </c>
      <c r="AH514" s="17" t="str">
        <f t="shared" si="665"/>
        <v/>
      </c>
      <c r="AI514" s="297" t="e">
        <f t="shared" si="643"/>
        <v>#VALUE!</v>
      </c>
      <c r="AJ514" s="79" t="e">
        <f t="shared" si="603"/>
        <v>#VALUE!</v>
      </c>
      <c r="AK514" s="17" t="str">
        <f t="shared" si="666"/>
        <v/>
      </c>
      <c r="AL514" s="80" t="e">
        <f t="shared" si="604"/>
        <v>#VALUE!</v>
      </c>
      <c r="AM514" s="139" t="b">
        <f t="shared" si="605"/>
        <v>1</v>
      </c>
      <c r="AN514" s="139" t="b">
        <f>AND(COUNTA(E514)&gt;0,ISNUMBER(F514),OR(COUNT(G514:H514)=0,COUNT(G514:H514)=2,AND(ISNUMBER(G514),ISNUMBER(VALUE(LEFT(H514,SUM(LEN(H514)-LEN(SUBSTITUTE(H514,{"0","1","2","3","4","5","6","7","8","9","."},"")))))))),ISNUMBER(I514),ISTEXT(J514))</f>
        <v>0</v>
      </c>
      <c r="AO514" s="19" t="b">
        <f t="shared" si="606"/>
        <v>0</v>
      </c>
      <c r="AP514" s="19" t="b">
        <f t="shared" si="607"/>
        <v>1</v>
      </c>
      <c r="AQ514" s="19" t="b">
        <f>IF(AND(COUNTBLANK(E514:J514)=6,OR(AN515:AN$523)),NOT(AN514))</f>
        <v>0</v>
      </c>
      <c r="AR514" s="19" t="str">
        <f t="shared" si="608"/>
        <v/>
      </c>
      <c r="AS514" s="19" t="b">
        <f t="shared" si="609"/>
        <v>1</v>
      </c>
      <c r="AT514" s="19" t="str">
        <f t="shared" si="610"/>
        <v/>
      </c>
      <c r="AU514" s="19" t="b">
        <f t="shared" si="611"/>
        <v>1</v>
      </c>
      <c r="AV514" s="140" t="str">
        <f t="shared" si="648"/>
        <v/>
      </c>
      <c r="AW514" s="19" t="str">
        <f t="shared" si="612"/>
        <v/>
      </c>
      <c r="AX514" s="81">
        <f t="shared" si="613"/>
        <v>0</v>
      </c>
      <c r="AY514" s="81" t="str">
        <f t="shared" si="614"/>
        <v/>
      </c>
      <c r="AZ514" s="307" t="str">
        <f t="shared" si="644"/>
        <v/>
      </c>
      <c r="BA514" s="281" t="str">
        <f t="shared" si="649"/>
        <v/>
      </c>
      <c r="BB514" s="281" t="str">
        <f t="shared" si="650"/>
        <v/>
      </c>
      <c r="BC514" s="953"/>
      <c r="BD514" s="955"/>
      <c r="BE514" s="219" t="str">
        <f t="shared" si="615"/>
        <v>n/a</v>
      </c>
      <c r="BF514" s="215" t="b">
        <f t="shared" si="616"/>
        <v>0</v>
      </c>
      <c r="BG514" s="145" t="b">
        <f t="shared" si="617"/>
        <v>0</v>
      </c>
      <c r="BH514" s="145" t="b">
        <f t="shared" si="618"/>
        <v>0</v>
      </c>
      <c r="BI514" s="216" t="b">
        <f t="shared" si="619"/>
        <v>0</v>
      </c>
      <c r="BJ514" s="215" t="b">
        <f t="shared" si="620"/>
        <v>0</v>
      </c>
      <c r="BK514" s="145" t="b">
        <f t="shared" si="621"/>
        <v>0</v>
      </c>
      <c r="BL514" s="216" t="b">
        <f t="shared" si="622"/>
        <v>0</v>
      </c>
      <c r="BM514" s="217" t="str">
        <f t="shared" si="651"/>
        <v/>
      </c>
      <c r="BN514" s="146" t="str">
        <f t="shared" si="652"/>
        <v/>
      </c>
      <c r="BO514" s="147" t="str">
        <f t="shared" si="653"/>
        <v/>
      </c>
      <c r="BP514" s="148" t="str">
        <f t="shared" si="654"/>
        <v/>
      </c>
      <c r="BT514" s="50">
        <f t="shared" si="672"/>
        <v>491</v>
      </c>
      <c r="BU514" s="50" t="str">
        <f t="shared" si="669"/>
        <v>-</v>
      </c>
      <c r="BW514" s="340"/>
      <c r="BX514" s="333"/>
      <c r="BY514" s="333"/>
      <c r="BZ514" s="333"/>
      <c r="CA514" s="333"/>
      <c r="CB514" s="333"/>
      <c r="CC514" s="333"/>
      <c r="CD514" s="333"/>
      <c r="CE514" s="333"/>
      <c r="CF514" s="333"/>
      <c r="CG514" s="354">
        <f t="shared" si="623"/>
        <v>491</v>
      </c>
      <c r="CH514" s="613">
        <f t="shared" si="624"/>
        <v>0</v>
      </c>
      <c r="CI514" s="613">
        <f t="shared" si="625"/>
        <v>0</v>
      </c>
      <c r="CJ514" s="614" t="str">
        <f t="shared" si="626"/>
        <v/>
      </c>
      <c r="CK514" s="615" t="str">
        <f t="shared" si="627"/>
        <v/>
      </c>
      <c r="CL514" s="610" t="str">
        <f>IF(ISBLANK(H514),"",IF(AND(ISNUMBER(F514),ISNUMBER(G514),ISNUMBER(H514)),ROUND(F514/(H514*G514),2),ROUND(F514/(VALUE(LEFT(H514,SUM(LEN(H514)-LEN(SUBSTITUTE(H514,{"0","1","2","3","4","5","6","7","8","9","."},"")))))*G514),2)))</f>
        <v/>
      </c>
      <c r="CM514" s="616" t="str">
        <f t="shared" si="655"/>
        <v/>
      </c>
      <c r="CN514" s="616" t="str">
        <f>IF(ISNUMBER(P514),MAX('Adjustment factors'!$S$16,(0.2+0.8*P514)),IF(ISTEXT(N514),VLOOKUP(N514,Afactors,2,FALSE),""))</f>
        <v/>
      </c>
      <c r="CO514" s="616" t="str">
        <f>IF(ISNUMBER(S514),MAX('Adjustment factors'!$S$16,0.2+0.8*S514),IF(ISTEXT(Q514),VLOOKUP(Q514,Afactors,2,FALSE),""))</f>
        <v/>
      </c>
      <c r="CP514" s="611" t="str">
        <f t="shared" si="645"/>
        <v/>
      </c>
      <c r="CQ514" s="612" t="str">
        <f t="shared" si="646"/>
        <v/>
      </c>
      <c r="CR514" s="340"/>
      <c r="CS514" s="340"/>
      <c r="CT514" s="340"/>
      <c r="CU514" s="340"/>
      <c r="CV514" s="333"/>
      <c r="CW514" s="333"/>
      <c r="CX514" s="333"/>
      <c r="CY514" s="333"/>
      <c r="DA514" s="313" t="str">
        <f t="shared" si="628"/>
        <v>OK</v>
      </c>
      <c r="DB514" s="313" t="str">
        <f t="shared" si="629"/>
        <v>OK</v>
      </c>
      <c r="DC514" s="313" t="str">
        <f t="shared" si="630"/>
        <v>OK</v>
      </c>
      <c r="DD514" s="313" t="str">
        <f t="shared" si="631"/>
        <v>OK</v>
      </c>
      <c r="DE514" s="153" t="str">
        <f t="shared" si="632"/>
        <v>OK</v>
      </c>
      <c r="DF514" s="314" t="str">
        <f t="shared" si="633"/>
        <v>OK</v>
      </c>
      <c r="DG514" s="482" t="str">
        <f t="shared" si="647"/>
        <v>OK</v>
      </c>
      <c r="DH514" s="482" t="str">
        <f>IF(OR(AND(T514='Adjustment factors'!$R$28,'Class 3, 5-9'!U514='Adjustment factors'!$R$29),AND('Class 3, 5-9'!T514='Adjustment factors'!$R$29,'Class 3, 5-9'!U514='Adjustment factors'!$R$28)),"Invalid combination of adjustment factors",IF(AND(T514=U514,NOT(ISBLANK(T514)),NOT(ISBLANK(U514))),"Same colour factor selected twice","OK"))</f>
        <v>OK</v>
      </c>
      <c r="DI514" s="313" t="str">
        <f t="shared" si="634"/>
        <v>OK</v>
      </c>
      <c r="DJ514" s="153" t="str">
        <f t="shared" si="656"/>
        <v>OK</v>
      </c>
      <c r="DK514" s="153" t="str">
        <f t="shared" si="635"/>
        <v>OK</v>
      </c>
      <c r="DL514" s="313" t="str">
        <f t="shared" si="636"/>
        <v>OK</v>
      </c>
      <c r="DM514" s="153" t="str">
        <f t="shared" si="637"/>
        <v>OK</v>
      </c>
      <c r="DN514" s="153" t="str">
        <f t="shared" si="657"/>
        <v>OK</v>
      </c>
      <c r="DO514" s="154" t="str">
        <f t="shared" si="658"/>
        <v>OK</v>
      </c>
      <c r="DP514" s="153" t="str">
        <f t="shared" si="638"/>
        <v>OK</v>
      </c>
      <c r="DQ514" s="313" t="str">
        <f t="shared" si="639"/>
        <v>OK</v>
      </c>
      <c r="DR514" s="153" t="str">
        <f t="shared" si="659"/>
        <v>OK</v>
      </c>
      <c r="DS514" s="153" t="str">
        <f t="shared" si="640"/>
        <v>OK</v>
      </c>
      <c r="DT514" s="313" t="str">
        <f t="shared" si="671"/>
        <v>OK</v>
      </c>
      <c r="DU514" s="153" t="str">
        <f t="shared" si="641"/>
        <v>OK</v>
      </c>
      <c r="DV514" s="153" t="str">
        <f t="shared" si="660"/>
        <v>OK</v>
      </c>
      <c r="DW514" s="154" t="str">
        <f t="shared" si="661"/>
        <v>OK</v>
      </c>
      <c r="DX514" s="157">
        <f t="shared" si="662"/>
        <v>0</v>
      </c>
      <c r="DY514" s="156" t="str">
        <f t="shared" si="663"/>
        <v>OK</v>
      </c>
    </row>
    <row r="515" spans="1:129" ht="13" hidden="1" x14ac:dyDescent="0.3">
      <c r="A515" s="333"/>
      <c r="B515" s="333"/>
      <c r="C515" s="332" t="str">
        <f t="shared" si="670"/>
        <v>-</v>
      </c>
      <c r="D515" s="584">
        <f t="shared" si="597"/>
        <v>492</v>
      </c>
      <c r="E515" s="585"/>
      <c r="F515" s="586"/>
      <c r="G515" s="600"/>
      <c r="H515" s="587"/>
      <c r="I515" s="601"/>
      <c r="J515" s="585"/>
      <c r="K515" s="617"/>
      <c r="L515" s="602"/>
      <c r="M515" s="603"/>
      <c r="N515" s="588"/>
      <c r="O515" s="604"/>
      <c r="P515" s="605"/>
      <c r="Q515" s="588"/>
      <c r="R515" s="604"/>
      <c r="S515" s="605"/>
      <c r="T515" s="606"/>
      <c r="U515" s="606"/>
      <c r="V515" s="429" t="str">
        <f t="shared" si="668"/>
        <v/>
      </c>
      <c r="W515" s="430" t="str">
        <f t="shared" si="667"/>
        <v/>
      </c>
      <c r="X515" s="66" t="str">
        <f>IF(AND(ISNUMBER(P515),N515=FixedDim),MAX('Adjustment factors'!$S$16,0.2+0.8*P515),IF(ISTEXT(N515),VLOOKUP(N515,Afactors,2,TRUE),""))</f>
        <v/>
      </c>
      <c r="Y515" s="17" t="str">
        <f>IF(AND(ISNUMBER(S515),Q515=FixedDim),MAX('Adjustment factors'!$S$16,0.2+0.8*S515),IF(ISTEXT(Q515),VLOOKUP(Q515,Afactors,2,TRUE),""))</f>
        <v/>
      </c>
      <c r="Z515" s="297" t="str">
        <f>IF(ISBLANK(T515),"",VLOOKUP(T515,'Adjustment factors'!$R$27:$S$30,2,TRUE))</f>
        <v/>
      </c>
      <c r="AA515" s="297" t="str">
        <f>IF(ISBLANK(U515),"",VLOOKUP(U515,'Adjustment factors'!$R$27:$S$30,2,TRUE))</f>
        <v/>
      </c>
      <c r="AB515" s="480">
        <f t="shared" si="642"/>
        <v>1</v>
      </c>
      <c r="AC515" s="18" t="b">
        <f t="shared" si="599"/>
        <v>0</v>
      </c>
      <c r="AD515" s="18" t="b">
        <f t="shared" si="600"/>
        <v>0</v>
      </c>
      <c r="AE515" s="18" t="b">
        <f t="shared" si="664"/>
        <v>0</v>
      </c>
      <c r="AF515" s="17" t="str">
        <f t="shared" si="601"/>
        <v/>
      </c>
      <c r="AG515" s="18" t="str">
        <f t="shared" si="602"/>
        <v/>
      </c>
      <c r="AH515" s="17" t="str">
        <f t="shared" si="665"/>
        <v/>
      </c>
      <c r="AI515" s="297" t="e">
        <f t="shared" si="643"/>
        <v>#VALUE!</v>
      </c>
      <c r="AJ515" s="79" t="e">
        <f t="shared" si="603"/>
        <v>#VALUE!</v>
      </c>
      <c r="AK515" s="17" t="str">
        <f t="shared" si="666"/>
        <v/>
      </c>
      <c r="AL515" s="80" t="e">
        <f t="shared" si="604"/>
        <v>#VALUE!</v>
      </c>
      <c r="AM515" s="139" t="b">
        <f t="shared" si="605"/>
        <v>1</v>
      </c>
      <c r="AN515" s="139" t="b">
        <f>AND(COUNTA(E515)&gt;0,ISNUMBER(F515),OR(COUNT(G515:H515)=0,COUNT(G515:H515)=2,AND(ISNUMBER(G515),ISNUMBER(VALUE(LEFT(H515,SUM(LEN(H515)-LEN(SUBSTITUTE(H515,{"0","1","2","3","4","5","6","7","8","9","."},"")))))))),ISNUMBER(I515),ISTEXT(J515))</f>
        <v>0</v>
      </c>
      <c r="AO515" s="19" t="b">
        <f t="shared" si="606"/>
        <v>0</v>
      </c>
      <c r="AP515" s="19" t="b">
        <f t="shared" si="607"/>
        <v>1</v>
      </c>
      <c r="AQ515" s="19" t="b">
        <f>IF(AND(COUNTBLANK(E515:J515)=6,OR(AN516:AN$523)),NOT(AN515))</f>
        <v>0</v>
      </c>
      <c r="AR515" s="19" t="str">
        <f t="shared" si="608"/>
        <v/>
      </c>
      <c r="AS515" s="19" t="b">
        <f t="shared" si="609"/>
        <v>1</v>
      </c>
      <c r="AT515" s="19" t="str">
        <f t="shared" si="610"/>
        <v/>
      </c>
      <c r="AU515" s="19" t="b">
        <f t="shared" si="611"/>
        <v>1</v>
      </c>
      <c r="AV515" s="140" t="str">
        <f t="shared" si="648"/>
        <v/>
      </c>
      <c r="AW515" s="19" t="str">
        <f t="shared" si="612"/>
        <v/>
      </c>
      <c r="AX515" s="81">
        <f t="shared" si="613"/>
        <v>0</v>
      </c>
      <c r="AY515" s="81" t="str">
        <f t="shared" si="614"/>
        <v/>
      </c>
      <c r="AZ515" s="307" t="str">
        <f t="shared" si="644"/>
        <v/>
      </c>
      <c r="BA515" s="281" t="str">
        <f t="shared" si="649"/>
        <v/>
      </c>
      <c r="BB515" s="281" t="str">
        <f t="shared" si="650"/>
        <v/>
      </c>
      <c r="BC515" s="953"/>
      <c r="BD515" s="955"/>
      <c r="BE515" s="219" t="str">
        <f t="shared" si="615"/>
        <v>n/a</v>
      </c>
      <c r="BF515" s="215" t="b">
        <f t="shared" si="616"/>
        <v>0</v>
      </c>
      <c r="BG515" s="145" t="b">
        <f t="shared" si="617"/>
        <v>0</v>
      </c>
      <c r="BH515" s="145" t="b">
        <f t="shared" si="618"/>
        <v>0</v>
      </c>
      <c r="BI515" s="216" t="b">
        <f t="shared" si="619"/>
        <v>0</v>
      </c>
      <c r="BJ515" s="215" t="b">
        <f t="shared" si="620"/>
        <v>0</v>
      </c>
      <c r="BK515" s="145" t="b">
        <f t="shared" si="621"/>
        <v>0</v>
      </c>
      <c r="BL515" s="216" t="b">
        <f t="shared" si="622"/>
        <v>0</v>
      </c>
      <c r="BM515" s="217" t="str">
        <f t="shared" si="651"/>
        <v/>
      </c>
      <c r="BN515" s="146" t="str">
        <f t="shared" si="652"/>
        <v/>
      </c>
      <c r="BO515" s="147" t="str">
        <f t="shared" si="653"/>
        <v/>
      </c>
      <c r="BP515" s="148" t="str">
        <f t="shared" si="654"/>
        <v/>
      </c>
      <c r="BT515" s="50">
        <f t="shared" si="672"/>
        <v>492</v>
      </c>
      <c r="BU515" s="50" t="str">
        <f t="shared" si="669"/>
        <v>-</v>
      </c>
      <c r="BW515" s="340"/>
      <c r="BX515" s="333"/>
      <c r="BY515" s="333"/>
      <c r="BZ515" s="333"/>
      <c r="CA515" s="333"/>
      <c r="CB515" s="333"/>
      <c r="CC515" s="333"/>
      <c r="CD515" s="333"/>
      <c r="CE515" s="333"/>
      <c r="CF515" s="333"/>
      <c r="CG515" s="354">
        <f t="shared" si="623"/>
        <v>492</v>
      </c>
      <c r="CH515" s="613">
        <f t="shared" si="624"/>
        <v>0</v>
      </c>
      <c r="CI515" s="613">
        <f t="shared" si="625"/>
        <v>0</v>
      </c>
      <c r="CJ515" s="614" t="str">
        <f t="shared" si="626"/>
        <v/>
      </c>
      <c r="CK515" s="615" t="str">
        <f t="shared" si="627"/>
        <v/>
      </c>
      <c r="CL515" s="610" t="str">
        <f>IF(ISBLANK(H515),"",IF(AND(ISNUMBER(F515),ISNUMBER(G515),ISNUMBER(H515)),ROUND(F515/(H515*G515),2),ROUND(F515/(VALUE(LEFT(H515,SUM(LEN(H515)-LEN(SUBSTITUTE(H515,{"0","1","2","3","4","5","6","7","8","9","."},"")))))*G515),2)))</f>
        <v/>
      </c>
      <c r="CM515" s="616" t="str">
        <f t="shared" si="655"/>
        <v/>
      </c>
      <c r="CN515" s="616" t="str">
        <f>IF(ISNUMBER(P515),MAX('Adjustment factors'!$S$16,(0.2+0.8*P515)),IF(ISTEXT(N515),VLOOKUP(N515,Afactors,2,FALSE),""))</f>
        <v/>
      </c>
      <c r="CO515" s="616" t="str">
        <f>IF(ISNUMBER(S515),MAX('Adjustment factors'!$S$16,0.2+0.8*S515),IF(ISTEXT(Q515),VLOOKUP(Q515,Afactors,2,FALSE),""))</f>
        <v/>
      </c>
      <c r="CP515" s="611" t="str">
        <f t="shared" si="645"/>
        <v/>
      </c>
      <c r="CQ515" s="612" t="str">
        <f t="shared" si="646"/>
        <v/>
      </c>
      <c r="CR515" s="340"/>
      <c r="CS515" s="340"/>
      <c r="CT515" s="340"/>
      <c r="CU515" s="340"/>
      <c r="CV515" s="333"/>
      <c r="CW515" s="333"/>
      <c r="CX515" s="333"/>
      <c r="CY515" s="333"/>
      <c r="DA515" s="313" t="str">
        <f t="shared" si="628"/>
        <v>OK</v>
      </c>
      <c r="DB515" s="313" t="str">
        <f t="shared" si="629"/>
        <v>OK</v>
      </c>
      <c r="DC515" s="313" t="str">
        <f t="shared" si="630"/>
        <v>OK</v>
      </c>
      <c r="DD515" s="313" t="str">
        <f t="shared" si="631"/>
        <v>OK</v>
      </c>
      <c r="DE515" s="153" t="str">
        <f t="shared" si="632"/>
        <v>OK</v>
      </c>
      <c r="DF515" s="314" t="str">
        <f t="shared" si="633"/>
        <v>OK</v>
      </c>
      <c r="DG515" s="482" t="str">
        <f t="shared" si="647"/>
        <v>OK</v>
      </c>
      <c r="DH515" s="482" t="str">
        <f>IF(OR(AND(T515='Adjustment factors'!$R$28,'Class 3, 5-9'!U515='Adjustment factors'!$R$29),AND('Class 3, 5-9'!T515='Adjustment factors'!$R$29,'Class 3, 5-9'!U515='Adjustment factors'!$R$28)),"Invalid combination of adjustment factors",IF(AND(T515=U515,NOT(ISBLANK(T515)),NOT(ISBLANK(U515))),"Same colour factor selected twice","OK"))</f>
        <v>OK</v>
      </c>
      <c r="DI515" s="313" t="str">
        <f t="shared" si="634"/>
        <v>OK</v>
      </c>
      <c r="DJ515" s="153" t="str">
        <f t="shared" si="656"/>
        <v>OK</v>
      </c>
      <c r="DK515" s="153" t="str">
        <f t="shared" si="635"/>
        <v>OK</v>
      </c>
      <c r="DL515" s="313" t="str">
        <f t="shared" si="636"/>
        <v>OK</v>
      </c>
      <c r="DM515" s="153" t="str">
        <f t="shared" si="637"/>
        <v>OK</v>
      </c>
      <c r="DN515" s="153" t="str">
        <f t="shared" si="657"/>
        <v>OK</v>
      </c>
      <c r="DO515" s="154" t="str">
        <f t="shared" si="658"/>
        <v>OK</v>
      </c>
      <c r="DP515" s="153" t="str">
        <f t="shared" si="638"/>
        <v>OK</v>
      </c>
      <c r="DQ515" s="313" t="str">
        <f t="shared" si="639"/>
        <v>OK</v>
      </c>
      <c r="DR515" s="153" t="str">
        <f t="shared" si="659"/>
        <v>OK</v>
      </c>
      <c r="DS515" s="153" t="str">
        <f t="shared" si="640"/>
        <v>OK</v>
      </c>
      <c r="DT515" s="313" t="str">
        <f t="shared" si="671"/>
        <v>OK</v>
      </c>
      <c r="DU515" s="153" t="str">
        <f t="shared" si="641"/>
        <v>OK</v>
      </c>
      <c r="DV515" s="153" t="str">
        <f t="shared" si="660"/>
        <v>OK</v>
      </c>
      <c r="DW515" s="154" t="str">
        <f t="shared" si="661"/>
        <v>OK</v>
      </c>
      <c r="DX515" s="157">
        <f t="shared" si="662"/>
        <v>0</v>
      </c>
      <c r="DY515" s="156" t="str">
        <f t="shared" si="663"/>
        <v>OK</v>
      </c>
    </row>
    <row r="516" spans="1:129" ht="13" hidden="1" x14ac:dyDescent="0.3">
      <c r="A516" s="333"/>
      <c r="B516" s="333"/>
      <c r="C516" s="332" t="str">
        <f t="shared" si="670"/>
        <v>-</v>
      </c>
      <c r="D516" s="584">
        <f t="shared" si="597"/>
        <v>493</v>
      </c>
      <c r="E516" s="585"/>
      <c r="F516" s="586"/>
      <c r="G516" s="600"/>
      <c r="H516" s="587"/>
      <c r="I516" s="601"/>
      <c r="J516" s="585"/>
      <c r="K516" s="617"/>
      <c r="L516" s="602"/>
      <c r="M516" s="603"/>
      <c r="N516" s="588"/>
      <c r="O516" s="604"/>
      <c r="P516" s="605"/>
      <c r="Q516" s="588"/>
      <c r="R516" s="604"/>
      <c r="S516" s="605"/>
      <c r="T516" s="606"/>
      <c r="U516" s="606"/>
      <c r="V516" s="429" t="str">
        <f t="shared" si="668"/>
        <v/>
      </c>
      <c r="W516" s="430" t="str">
        <f t="shared" si="667"/>
        <v/>
      </c>
      <c r="X516" s="66" t="str">
        <f>IF(AND(ISNUMBER(P516),N516=FixedDim),MAX('Adjustment factors'!$S$16,0.2+0.8*P516),IF(ISTEXT(N516),VLOOKUP(N516,Afactors,2,TRUE),""))</f>
        <v/>
      </c>
      <c r="Y516" s="17" t="str">
        <f>IF(AND(ISNUMBER(S516),Q516=FixedDim),MAX('Adjustment factors'!$S$16,0.2+0.8*S516),IF(ISTEXT(Q516),VLOOKUP(Q516,Afactors,2,TRUE),""))</f>
        <v/>
      </c>
      <c r="Z516" s="297" t="str">
        <f>IF(ISBLANK(T516),"",VLOOKUP(T516,'Adjustment factors'!$R$27:$S$30,2,TRUE))</f>
        <v/>
      </c>
      <c r="AA516" s="297" t="str">
        <f>IF(ISBLANK(U516),"",VLOOKUP(U516,'Adjustment factors'!$R$27:$S$30,2,TRUE))</f>
        <v/>
      </c>
      <c r="AB516" s="480">
        <f t="shared" si="642"/>
        <v>1</v>
      </c>
      <c r="AC516" s="18" t="b">
        <f t="shared" si="599"/>
        <v>0</v>
      </c>
      <c r="AD516" s="18" t="b">
        <f t="shared" si="600"/>
        <v>0</v>
      </c>
      <c r="AE516" s="18" t="b">
        <f t="shared" si="664"/>
        <v>0</v>
      </c>
      <c r="AF516" s="17" t="str">
        <f t="shared" si="601"/>
        <v/>
      </c>
      <c r="AG516" s="18" t="str">
        <f t="shared" si="602"/>
        <v/>
      </c>
      <c r="AH516" s="17" t="str">
        <f t="shared" si="665"/>
        <v/>
      </c>
      <c r="AI516" s="297" t="e">
        <f t="shared" si="643"/>
        <v>#VALUE!</v>
      </c>
      <c r="AJ516" s="79" t="e">
        <f t="shared" si="603"/>
        <v>#VALUE!</v>
      </c>
      <c r="AK516" s="17" t="str">
        <f t="shared" si="666"/>
        <v/>
      </c>
      <c r="AL516" s="80" t="e">
        <f t="shared" si="604"/>
        <v>#VALUE!</v>
      </c>
      <c r="AM516" s="139" t="b">
        <f t="shared" si="605"/>
        <v>1</v>
      </c>
      <c r="AN516" s="139" t="b">
        <f>AND(COUNTA(E516)&gt;0,ISNUMBER(F516),OR(COUNT(G516:H516)=0,COUNT(G516:H516)=2,AND(ISNUMBER(G516),ISNUMBER(VALUE(LEFT(H516,SUM(LEN(H516)-LEN(SUBSTITUTE(H516,{"0","1","2","3","4","5","6","7","8","9","."},"")))))))),ISNUMBER(I516),ISTEXT(J516))</f>
        <v>0</v>
      </c>
      <c r="AO516" s="19" t="b">
        <f t="shared" si="606"/>
        <v>0</v>
      </c>
      <c r="AP516" s="19" t="b">
        <f t="shared" si="607"/>
        <v>1</v>
      </c>
      <c r="AQ516" s="19" t="b">
        <f>IF(AND(COUNTBLANK(E516:J516)=6,OR(AN517:AN$523)),NOT(AN516))</f>
        <v>0</v>
      </c>
      <c r="AR516" s="19" t="str">
        <f t="shared" si="608"/>
        <v/>
      </c>
      <c r="AS516" s="19" t="b">
        <f t="shared" si="609"/>
        <v>1</v>
      </c>
      <c r="AT516" s="19" t="str">
        <f t="shared" si="610"/>
        <v/>
      </c>
      <c r="AU516" s="19" t="b">
        <f t="shared" si="611"/>
        <v>1</v>
      </c>
      <c r="AV516" s="140" t="str">
        <f t="shared" si="648"/>
        <v/>
      </c>
      <c r="AW516" s="19" t="str">
        <f t="shared" si="612"/>
        <v/>
      </c>
      <c r="AX516" s="81">
        <f t="shared" si="613"/>
        <v>0</v>
      </c>
      <c r="AY516" s="81" t="str">
        <f t="shared" si="614"/>
        <v/>
      </c>
      <c r="AZ516" s="307" t="str">
        <f t="shared" si="644"/>
        <v/>
      </c>
      <c r="BA516" s="281" t="str">
        <f t="shared" si="649"/>
        <v/>
      </c>
      <c r="BB516" s="281" t="str">
        <f t="shared" si="650"/>
        <v/>
      </c>
      <c r="BC516" s="953"/>
      <c r="BD516" s="955"/>
      <c r="BE516" s="219" t="str">
        <f t="shared" si="615"/>
        <v>n/a</v>
      </c>
      <c r="BF516" s="215" t="b">
        <f t="shared" si="616"/>
        <v>0</v>
      </c>
      <c r="BG516" s="145" t="b">
        <f t="shared" si="617"/>
        <v>0</v>
      </c>
      <c r="BH516" s="145" t="b">
        <f t="shared" si="618"/>
        <v>0</v>
      </c>
      <c r="BI516" s="216" t="b">
        <f t="shared" si="619"/>
        <v>0</v>
      </c>
      <c r="BJ516" s="215" t="b">
        <f t="shared" si="620"/>
        <v>0</v>
      </c>
      <c r="BK516" s="145" t="b">
        <f t="shared" si="621"/>
        <v>0</v>
      </c>
      <c r="BL516" s="216" t="b">
        <f t="shared" si="622"/>
        <v>0</v>
      </c>
      <c r="BM516" s="217" t="str">
        <f t="shared" si="651"/>
        <v/>
      </c>
      <c r="BN516" s="146" t="str">
        <f t="shared" si="652"/>
        <v/>
      </c>
      <c r="BO516" s="147" t="str">
        <f t="shared" si="653"/>
        <v/>
      </c>
      <c r="BP516" s="148" t="str">
        <f t="shared" si="654"/>
        <v/>
      </c>
      <c r="BT516" s="50">
        <f t="shared" si="672"/>
        <v>493</v>
      </c>
      <c r="BU516" s="50" t="str">
        <f t="shared" si="669"/>
        <v>-</v>
      </c>
      <c r="BW516" s="340"/>
      <c r="BX516" s="333"/>
      <c r="BY516" s="333"/>
      <c r="BZ516" s="333"/>
      <c r="CA516" s="333"/>
      <c r="CB516" s="333"/>
      <c r="CC516" s="333"/>
      <c r="CD516" s="333"/>
      <c r="CE516" s="333"/>
      <c r="CF516" s="333"/>
      <c r="CG516" s="354">
        <f t="shared" si="623"/>
        <v>493</v>
      </c>
      <c r="CH516" s="613">
        <f t="shared" si="624"/>
        <v>0</v>
      </c>
      <c r="CI516" s="613">
        <f t="shared" si="625"/>
        <v>0</v>
      </c>
      <c r="CJ516" s="614" t="str">
        <f t="shared" si="626"/>
        <v/>
      </c>
      <c r="CK516" s="615" t="str">
        <f t="shared" si="627"/>
        <v/>
      </c>
      <c r="CL516" s="610" t="str">
        <f>IF(ISBLANK(H516),"",IF(AND(ISNUMBER(F516),ISNUMBER(G516),ISNUMBER(H516)),ROUND(F516/(H516*G516),2),ROUND(F516/(VALUE(LEFT(H516,SUM(LEN(H516)-LEN(SUBSTITUTE(H516,{"0","1","2","3","4","5","6","7","8","9","."},"")))))*G516),2)))</f>
        <v/>
      </c>
      <c r="CM516" s="616" t="str">
        <f t="shared" si="655"/>
        <v/>
      </c>
      <c r="CN516" s="616" t="str">
        <f>IF(ISNUMBER(P516),MAX('Adjustment factors'!$S$16,(0.2+0.8*P516)),IF(ISTEXT(N516),VLOOKUP(N516,Afactors,2,FALSE),""))</f>
        <v/>
      </c>
      <c r="CO516" s="616" t="str">
        <f>IF(ISNUMBER(S516),MAX('Adjustment factors'!$S$16,0.2+0.8*S516),IF(ISTEXT(Q516),VLOOKUP(Q516,Afactors,2,FALSE),""))</f>
        <v/>
      </c>
      <c r="CP516" s="611" t="str">
        <f t="shared" si="645"/>
        <v/>
      </c>
      <c r="CQ516" s="612" t="str">
        <f t="shared" si="646"/>
        <v/>
      </c>
      <c r="CR516" s="340"/>
      <c r="CS516" s="340"/>
      <c r="CT516" s="340"/>
      <c r="CU516" s="340"/>
      <c r="CV516" s="333"/>
      <c r="CW516" s="333"/>
      <c r="CX516" s="333"/>
      <c r="CY516" s="333"/>
      <c r="DA516" s="313" t="str">
        <f t="shared" si="628"/>
        <v>OK</v>
      </c>
      <c r="DB516" s="313" t="str">
        <f t="shared" si="629"/>
        <v>OK</v>
      </c>
      <c r="DC516" s="313" t="str">
        <f t="shared" si="630"/>
        <v>OK</v>
      </c>
      <c r="DD516" s="313" t="str">
        <f t="shared" si="631"/>
        <v>OK</v>
      </c>
      <c r="DE516" s="153" t="str">
        <f t="shared" si="632"/>
        <v>OK</v>
      </c>
      <c r="DF516" s="314" t="str">
        <f t="shared" si="633"/>
        <v>OK</v>
      </c>
      <c r="DG516" s="482" t="str">
        <f t="shared" si="647"/>
        <v>OK</v>
      </c>
      <c r="DH516" s="482" t="str">
        <f>IF(OR(AND(T516='Adjustment factors'!$R$28,'Class 3, 5-9'!U516='Adjustment factors'!$R$29),AND('Class 3, 5-9'!T516='Adjustment factors'!$R$29,'Class 3, 5-9'!U516='Adjustment factors'!$R$28)),"Invalid combination of adjustment factors",IF(AND(T516=U516,NOT(ISBLANK(T516)),NOT(ISBLANK(U516))),"Same colour factor selected twice","OK"))</f>
        <v>OK</v>
      </c>
      <c r="DI516" s="313" t="str">
        <f t="shared" si="634"/>
        <v>OK</v>
      </c>
      <c r="DJ516" s="153" t="str">
        <f t="shared" si="656"/>
        <v>OK</v>
      </c>
      <c r="DK516" s="153" t="str">
        <f t="shared" si="635"/>
        <v>OK</v>
      </c>
      <c r="DL516" s="313" t="str">
        <f t="shared" si="636"/>
        <v>OK</v>
      </c>
      <c r="DM516" s="153" t="str">
        <f t="shared" si="637"/>
        <v>OK</v>
      </c>
      <c r="DN516" s="153" t="str">
        <f t="shared" si="657"/>
        <v>OK</v>
      </c>
      <c r="DO516" s="154" t="str">
        <f t="shared" si="658"/>
        <v>OK</v>
      </c>
      <c r="DP516" s="153" t="str">
        <f t="shared" si="638"/>
        <v>OK</v>
      </c>
      <c r="DQ516" s="313" t="str">
        <f t="shared" si="639"/>
        <v>OK</v>
      </c>
      <c r="DR516" s="153" t="str">
        <f t="shared" si="659"/>
        <v>OK</v>
      </c>
      <c r="DS516" s="153" t="str">
        <f t="shared" si="640"/>
        <v>OK</v>
      </c>
      <c r="DT516" s="313" t="str">
        <f t="shared" si="671"/>
        <v>OK</v>
      </c>
      <c r="DU516" s="153" t="str">
        <f t="shared" si="641"/>
        <v>OK</v>
      </c>
      <c r="DV516" s="153" t="str">
        <f t="shared" si="660"/>
        <v>OK</v>
      </c>
      <c r="DW516" s="154" t="str">
        <f t="shared" si="661"/>
        <v>OK</v>
      </c>
      <c r="DX516" s="157">
        <f t="shared" si="662"/>
        <v>0</v>
      </c>
      <c r="DY516" s="156" t="str">
        <f t="shared" si="663"/>
        <v>OK</v>
      </c>
    </row>
    <row r="517" spans="1:129" ht="13" hidden="1" x14ac:dyDescent="0.3">
      <c r="A517" s="333"/>
      <c r="B517" s="333"/>
      <c r="C517" s="332" t="str">
        <f t="shared" si="670"/>
        <v>-</v>
      </c>
      <c r="D517" s="584">
        <f t="shared" si="597"/>
        <v>494</v>
      </c>
      <c r="E517" s="585"/>
      <c r="F517" s="586"/>
      <c r="G517" s="600"/>
      <c r="H517" s="587"/>
      <c r="I517" s="601"/>
      <c r="J517" s="585"/>
      <c r="K517" s="617"/>
      <c r="L517" s="602"/>
      <c r="M517" s="603"/>
      <c r="N517" s="588"/>
      <c r="O517" s="604"/>
      <c r="P517" s="605"/>
      <c r="Q517" s="588"/>
      <c r="R517" s="604"/>
      <c r="S517" s="605"/>
      <c r="T517" s="606"/>
      <c r="U517" s="606"/>
      <c r="V517" s="429" t="str">
        <f t="shared" si="668"/>
        <v/>
      </c>
      <c r="W517" s="430" t="str">
        <f t="shared" si="667"/>
        <v/>
      </c>
      <c r="X517" s="66" t="str">
        <f>IF(AND(ISNUMBER(P517),N517=FixedDim),MAX('Adjustment factors'!$S$16,0.2+0.8*P517),IF(ISTEXT(N517),VLOOKUP(N517,Afactors,2,TRUE),""))</f>
        <v/>
      </c>
      <c r="Y517" s="17" t="str">
        <f>IF(AND(ISNUMBER(S517),Q517=FixedDim),MAX('Adjustment factors'!$S$16,0.2+0.8*S517),IF(ISTEXT(Q517),VLOOKUP(Q517,Afactors,2,TRUE),""))</f>
        <v/>
      </c>
      <c r="Z517" s="297" t="str">
        <f>IF(ISBLANK(T517),"",VLOOKUP(T517,'Adjustment factors'!$R$27:$S$30,2,TRUE))</f>
        <v/>
      </c>
      <c r="AA517" s="297" t="str">
        <f>IF(ISBLANK(U517),"",VLOOKUP(U517,'Adjustment factors'!$R$27:$S$30,2,TRUE))</f>
        <v/>
      </c>
      <c r="AB517" s="480">
        <f t="shared" si="642"/>
        <v>1</v>
      </c>
      <c r="AC517" s="18" t="b">
        <f t="shared" si="599"/>
        <v>0</v>
      </c>
      <c r="AD517" s="18" t="b">
        <f t="shared" si="600"/>
        <v>0</v>
      </c>
      <c r="AE517" s="18" t="b">
        <f t="shared" si="664"/>
        <v>0</v>
      </c>
      <c r="AF517" s="17" t="str">
        <f t="shared" si="601"/>
        <v/>
      </c>
      <c r="AG517" s="18" t="str">
        <f t="shared" si="602"/>
        <v/>
      </c>
      <c r="AH517" s="17" t="str">
        <f t="shared" si="665"/>
        <v/>
      </c>
      <c r="AI517" s="297" t="e">
        <f t="shared" si="643"/>
        <v>#VALUE!</v>
      </c>
      <c r="AJ517" s="79" t="e">
        <f t="shared" si="603"/>
        <v>#VALUE!</v>
      </c>
      <c r="AK517" s="17" t="str">
        <f t="shared" si="666"/>
        <v/>
      </c>
      <c r="AL517" s="80" t="e">
        <f t="shared" si="604"/>
        <v>#VALUE!</v>
      </c>
      <c r="AM517" s="139" t="b">
        <f t="shared" si="605"/>
        <v>1</v>
      </c>
      <c r="AN517" s="139" t="b">
        <f>AND(COUNTA(E517)&gt;0,ISNUMBER(F517),OR(COUNT(G517:H517)=0,COUNT(G517:H517)=2,AND(ISNUMBER(G517),ISNUMBER(VALUE(LEFT(H517,SUM(LEN(H517)-LEN(SUBSTITUTE(H517,{"0","1","2","3","4","5","6","7","8","9","."},"")))))))),ISNUMBER(I517),ISTEXT(J517))</f>
        <v>0</v>
      </c>
      <c r="AO517" s="19" t="b">
        <f t="shared" si="606"/>
        <v>0</v>
      </c>
      <c r="AP517" s="19" t="b">
        <f t="shared" si="607"/>
        <v>1</v>
      </c>
      <c r="AQ517" s="19" t="b">
        <f>IF(AND(COUNTBLANK(E517:J517)=6,OR(AN518:AN$523)),NOT(AN517))</f>
        <v>0</v>
      </c>
      <c r="AR517" s="19" t="str">
        <f t="shared" si="608"/>
        <v/>
      </c>
      <c r="AS517" s="19" t="b">
        <f t="shared" si="609"/>
        <v>1</v>
      </c>
      <c r="AT517" s="19" t="str">
        <f t="shared" si="610"/>
        <v/>
      </c>
      <c r="AU517" s="19" t="b">
        <f t="shared" si="611"/>
        <v>1</v>
      </c>
      <c r="AV517" s="140" t="str">
        <f t="shared" si="648"/>
        <v/>
      </c>
      <c r="AW517" s="19" t="str">
        <f t="shared" si="612"/>
        <v/>
      </c>
      <c r="AX517" s="81">
        <f t="shared" si="613"/>
        <v>0</v>
      </c>
      <c r="AY517" s="81" t="str">
        <f t="shared" si="614"/>
        <v/>
      </c>
      <c r="AZ517" s="307" t="str">
        <f t="shared" si="644"/>
        <v/>
      </c>
      <c r="BA517" s="281" t="str">
        <f t="shared" si="649"/>
        <v/>
      </c>
      <c r="BB517" s="281" t="str">
        <f t="shared" si="650"/>
        <v/>
      </c>
      <c r="BC517" s="953"/>
      <c r="BD517" s="955"/>
      <c r="BE517" s="219" t="str">
        <f t="shared" si="615"/>
        <v>n/a</v>
      </c>
      <c r="BF517" s="215" t="b">
        <f t="shared" si="616"/>
        <v>0</v>
      </c>
      <c r="BG517" s="145" t="b">
        <f t="shared" si="617"/>
        <v>0</v>
      </c>
      <c r="BH517" s="145" t="b">
        <f t="shared" si="618"/>
        <v>0</v>
      </c>
      <c r="BI517" s="216" t="b">
        <f t="shared" si="619"/>
        <v>0</v>
      </c>
      <c r="BJ517" s="215" t="b">
        <f t="shared" si="620"/>
        <v>0</v>
      </c>
      <c r="BK517" s="145" t="b">
        <f t="shared" si="621"/>
        <v>0</v>
      </c>
      <c r="BL517" s="216" t="b">
        <f t="shared" si="622"/>
        <v>0</v>
      </c>
      <c r="BM517" s="217" t="str">
        <f t="shared" si="651"/>
        <v/>
      </c>
      <c r="BN517" s="146" t="str">
        <f t="shared" si="652"/>
        <v/>
      </c>
      <c r="BO517" s="147" t="str">
        <f t="shared" si="653"/>
        <v/>
      </c>
      <c r="BP517" s="148" t="str">
        <f t="shared" si="654"/>
        <v/>
      </c>
      <c r="BT517" s="50">
        <f t="shared" si="672"/>
        <v>494</v>
      </c>
      <c r="BU517" s="50" t="str">
        <f t="shared" si="669"/>
        <v>-</v>
      </c>
      <c r="BW517" s="340"/>
      <c r="BX517" s="333"/>
      <c r="BY517" s="333"/>
      <c r="BZ517" s="333"/>
      <c r="CA517" s="333"/>
      <c r="CB517" s="333"/>
      <c r="CC517" s="333"/>
      <c r="CD517" s="333"/>
      <c r="CE517" s="333"/>
      <c r="CF517" s="333"/>
      <c r="CG517" s="354">
        <f t="shared" si="623"/>
        <v>494</v>
      </c>
      <c r="CH517" s="613">
        <f t="shared" si="624"/>
        <v>0</v>
      </c>
      <c r="CI517" s="613">
        <f t="shared" si="625"/>
        <v>0</v>
      </c>
      <c r="CJ517" s="614" t="str">
        <f t="shared" si="626"/>
        <v/>
      </c>
      <c r="CK517" s="615" t="str">
        <f t="shared" si="627"/>
        <v/>
      </c>
      <c r="CL517" s="610" t="str">
        <f>IF(ISBLANK(H517),"",IF(AND(ISNUMBER(F517),ISNUMBER(G517),ISNUMBER(H517)),ROUND(F517/(H517*G517),2),ROUND(F517/(VALUE(LEFT(H517,SUM(LEN(H517)-LEN(SUBSTITUTE(H517,{"0","1","2","3","4","5","6","7","8","9","."},"")))))*G517),2)))</f>
        <v/>
      </c>
      <c r="CM517" s="616" t="str">
        <f t="shared" si="655"/>
        <v/>
      </c>
      <c r="CN517" s="616" t="str">
        <f>IF(ISNUMBER(P517),MAX('Adjustment factors'!$S$16,(0.2+0.8*P517)),IF(ISTEXT(N517),VLOOKUP(N517,Afactors,2,FALSE),""))</f>
        <v/>
      </c>
      <c r="CO517" s="616" t="str">
        <f>IF(ISNUMBER(S517),MAX('Adjustment factors'!$S$16,0.2+0.8*S517),IF(ISTEXT(Q517),VLOOKUP(Q517,Afactors,2,FALSE),""))</f>
        <v/>
      </c>
      <c r="CP517" s="611" t="str">
        <f t="shared" si="645"/>
        <v/>
      </c>
      <c r="CQ517" s="612" t="str">
        <f t="shared" si="646"/>
        <v/>
      </c>
      <c r="CR517" s="340"/>
      <c r="CS517" s="340"/>
      <c r="CT517" s="340"/>
      <c r="CU517" s="340"/>
      <c r="CV517" s="333"/>
      <c r="CW517" s="333"/>
      <c r="CX517" s="333"/>
      <c r="CY517" s="333"/>
      <c r="DA517" s="313" t="str">
        <f t="shared" si="628"/>
        <v>OK</v>
      </c>
      <c r="DB517" s="313" t="str">
        <f t="shared" si="629"/>
        <v>OK</v>
      </c>
      <c r="DC517" s="313" t="str">
        <f t="shared" si="630"/>
        <v>OK</v>
      </c>
      <c r="DD517" s="313" t="str">
        <f t="shared" si="631"/>
        <v>OK</v>
      </c>
      <c r="DE517" s="153" t="str">
        <f t="shared" si="632"/>
        <v>OK</v>
      </c>
      <c r="DF517" s="314" t="str">
        <f t="shared" si="633"/>
        <v>OK</v>
      </c>
      <c r="DG517" s="482" t="str">
        <f t="shared" si="647"/>
        <v>OK</v>
      </c>
      <c r="DH517" s="482" t="str">
        <f>IF(OR(AND(T517='Adjustment factors'!$R$28,'Class 3, 5-9'!U517='Adjustment factors'!$R$29),AND('Class 3, 5-9'!T517='Adjustment factors'!$R$29,'Class 3, 5-9'!U517='Adjustment factors'!$R$28)),"Invalid combination of adjustment factors",IF(AND(T517=U517,NOT(ISBLANK(T517)),NOT(ISBLANK(U517))),"Same colour factor selected twice","OK"))</f>
        <v>OK</v>
      </c>
      <c r="DI517" s="313" t="str">
        <f t="shared" si="634"/>
        <v>OK</v>
      </c>
      <c r="DJ517" s="153" t="str">
        <f t="shared" si="656"/>
        <v>OK</v>
      </c>
      <c r="DK517" s="153" t="str">
        <f t="shared" si="635"/>
        <v>OK</v>
      </c>
      <c r="DL517" s="313" t="str">
        <f t="shared" si="636"/>
        <v>OK</v>
      </c>
      <c r="DM517" s="153" t="str">
        <f t="shared" si="637"/>
        <v>OK</v>
      </c>
      <c r="DN517" s="153" t="str">
        <f t="shared" si="657"/>
        <v>OK</v>
      </c>
      <c r="DO517" s="154" t="str">
        <f t="shared" si="658"/>
        <v>OK</v>
      </c>
      <c r="DP517" s="153" t="str">
        <f t="shared" si="638"/>
        <v>OK</v>
      </c>
      <c r="DQ517" s="313" t="str">
        <f t="shared" si="639"/>
        <v>OK</v>
      </c>
      <c r="DR517" s="153" t="str">
        <f t="shared" si="659"/>
        <v>OK</v>
      </c>
      <c r="DS517" s="153" t="str">
        <f t="shared" si="640"/>
        <v>OK</v>
      </c>
      <c r="DT517" s="313" t="str">
        <f t="shared" si="671"/>
        <v>OK</v>
      </c>
      <c r="DU517" s="153" t="str">
        <f t="shared" si="641"/>
        <v>OK</v>
      </c>
      <c r="DV517" s="153" t="str">
        <f t="shared" si="660"/>
        <v>OK</v>
      </c>
      <c r="DW517" s="154" t="str">
        <f t="shared" si="661"/>
        <v>OK</v>
      </c>
      <c r="DX517" s="157">
        <f t="shared" si="662"/>
        <v>0</v>
      </c>
      <c r="DY517" s="156" t="str">
        <f t="shared" si="663"/>
        <v>OK</v>
      </c>
    </row>
    <row r="518" spans="1:129" ht="13" hidden="1" x14ac:dyDescent="0.3">
      <c r="A518" s="333"/>
      <c r="B518" s="333"/>
      <c r="C518" s="332" t="str">
        <f t="shared" si="670"/>
        <v>-</v>
      </c>
      <c r="D518" s="584">
        <f t="shared" si="597"/>
        <v>495</v>
      </c>
      <c r="E518" s="585"/>
      <c r="F518" s="586"/>
      <c r="G518" s="600"/>
      <c r="H518" s="587"/>
      <c r="I518" s="601"/>
      <c r="J518" s="585"/>
      <c r="K518" s="617"/>
      <c r="L518" s="602"/>
      <c r="M518" s="603"/>
      <c r="N518" s="588"/>
      <c r="O518" s="604"/>
      <c r="P518" s="605"/>
      <c r="Q518" s="588"/>
      <c r="R518" s="604"/>
      <c r="S518" s="605"/>
      <c r="T518" s="606"/>
      <c r="U518" s="606"/>
      <c r="V518" s="429" t="str">
        <f t="shared" si="668"/>
        <v/>
      </c>
      <c r="W518" s="430" t="str">
        <f t="shared" si="667"/>
        <v/>
      </c>
      <c r="X518" s="66" t="str">
        <f>IF(AND(ISNUMBER(P518),N518=FixedDim),MAX('Adjustment factors'!$S$16,0.2+0.8*P518),IF(ISTEXT(N518),VLOOKUP(N518,Afactors,2,TRUE),""))</f>
        <v/>
      </c>
      <c r="Y518" s="17" t="str">
        <f>IF(AND(ISNUMBER(S518),Q518=FixedDim),MAX('Adjustment factors'!$S$16,0.2+0.8*S518),IF(ISTEXT(Q518),VLOOKUP(Q518,Afactors,2,TRUE),""))</f>
        <v/>
      </c>
      <c r="Z518" s="297" t="str">
        <f>IF(ISBLANK(T518),"",VLOOKUP(T518,'Adjustment factors'!$R$27:$S$30,2,TRUE))</f>
        <v/>
      </c>
      <c r="AA518" s="297" t="str">
        <f>IF(ISBLANK(U518),"",VLOOKUP(U518,'Adjustment factors'!$R$27:$S$30,2,TRUE))</f>
        <v/>
      </c>
      <c r="AB518" s="480">
        <f t="shared" si="642"/>
        <v>1</v>
      </c>
      <c r="AC518" s="18" t="b">
        <f t="shared" si="599"/>
        <v>0</v>
      </c>
      <c r="AD518" s="18" t="b">
        <f t="shared" si="600"/>
        <v>0</v>
      </c>
      <c r="AE518" s="18" t="b">
        <f t="shared" si="664"/>
        <v>0</v>
      </c>
      <c r="AF518" s="17" t="str">
        <f t="shared" si="601"/>
        <v/>
      </c>
      <c r="AG518" s="18" t="str">
        <f t="shared" si="602"/>
        <v/>
      </c>
      <c r="AH518" s="17" t="str">
        <f t="shared" si="665"/>
        <v/>
      </c>
      <c r="AI518" s="297" t="e">
        <f t="shared" si="643"/>
        <v>#VALUE!</v>
      </c>
      <c r="AJ518" s="79" t="e">
        <f t="shared" si="603"/>
        <v>#VALUE!</v>
      </c>
      <c r="AK518" s="17" t="str">
        <f t="shared" si="666"/>
        <v/>
      </c>
      <c r="AL518" s="80" t="e">
        <f t="shared" si="604"/>
        <v>#VALUE!</v>
      </c>
      <c r="AM518" s="139" t="b">
        <f t="shared" si="605"/>
        <v>1</v>
      </c>
      <c r="AN518" s="139" t="b">
        <f>AND(COUNTA(E518)&gt;0,ISNUMBER(F518),OR(COUNT(G518:H518)=0,COUNT(G518:H518)=2,AND(ISNUMBER(G518),ISNUMBER(VALUE(LEFT(H518,SUM(LEN(H518)-LEN(SUBSTITUTE(H518,{"0","1","2","3","4","5","6","7","8","9","."},"")))))))),ISNUMBER(I518),ISTEXT(J518))</f>
        <v>0</v>
      </c>
      <c r="AO518" s="19" t="b">
        <f t="shared" si="606"/>
        <v>0</v>
      </c>
      <c r="AP518" s="19" t="b">
        <f t="shared" si="607"/>
        <v>1</v>
      </c>
      <c r="AQ518" s="19" t="b">
        <f>IF(AND(COUNTBLANK(E518:J518)=6,OR(AN519:AN$523)),NOT(AN518))</f>
        <v>0</v>
      </c>
      <c r="AR518" s="19" t="str">
        <f t="shared" si="608"/>
        <v/>
      </c>
      <c r="AS518" s="19" t="b">
        <f t="shared" si="609"/>
        <v>1</v>
      </c>
      <c r="AT518" s="19" t="str">
        <f t="shared" si="610"/>
        <v/>
      </c>
      <c r="AU518" s="19" t="b">
        <f t="shared" si="611"/>
        <v>1</v>
      </c>
      <c r="AV518" s="140" t="str">
        <f t="shared" si="648"/>
        <v/>
      </c>
      <c r="AW518" s="19" t="str">
        <f t="shared" si="612"/>
        <v/>
      </c>
      <c r="AX518" s="81">
        <f t="shared" si="613"/>
        <v>0</v>
      </c>
      <c r="AY518" s="81" t="str">
        <f t="shared" si="614"/>
        <v/>
      </c>
      <c r="AZ518" s="307" t="str">
        <f t="shared" si="644"/>
        <v/>
      </c>
      <c r="BA518" s="281" t="str">
        <f t="shared" si="649"/>
        <v/>
      </c>
      <c r="BB518" s="281" t="str">
        <f t="shared" si="650"/>
        <v/>
      </c>
      <c r="BC518" s="953"/>
      <c r="BD518" s="955"/>
      <c r="BE518" s="219" t="str">
        <f t="shared" si="615"/>
        <v>n/a</v>
      </c>
      <c r="BF518" s="215" t="b">
        <f t="shared" si="616"/>
        <v>0</v>
      </c>
      <c r="BG518" s="145" t="b">
        <f t="shared" si="617"/>
        <v>0</v>
      </c>
      <c r="BH518" s="145" t="b">
        <f t="shared" si="618"/>
        <v>0</v>
      </c>
      <c r="BI518" s="216" t="b">
        <f t="shared" si="619"/>
        <v>0</v>
      </c>
      <c r="BJ518" s="215" t="b">
        <f t="shared" si="620"/>
        <v>0</v>
      </c>
      <c r="BK518" s="145" t="b">
        <f t="shared" si="621"/>
        <v>0</v>
      </c>
      <c r="BL518" s="216" t="b">
        <f t="shared" si="622"/>
        <v>0</v>
      </c>
      <c r="BM518" s="217" t="str">
        <f t="shared" si="651"/>
        <v/>
      </c>
      <c r="BN518" s="146" t="str">
        <f t="shared" si="652"/>
        <v/>
      </c>
      <c r="BO518" s="147" t="str">
        <f t="shared" si="653"/>
        <v/>
      </c>
      <c r="BP518" s="148" t="str">
        <f t="shared" si="654"/>
        <v/>
      </c>
      <c r="BT518" s="50">
        <f t="shared" si="672"/>
        <v>495</v>
      </c>
      <c r="BU518" s="50" t="str">
        <f t="shared" si="669"/>
        <v>-</v>
      </c>
      <c r="BW518" s="340"/>
      <c r="BX518" s="333"/>
      <c r="BY518" s="333"/>
      <c r="BZ518" s="333"/>
      <c r="CA518" s="333"/>
      <c r="CB518" s="333"/>
      <c r="CC518" s="333"/>
      <c r="CD518" s="333"/>
      <c r="CE518" s="333"/>
      <c r="CF518" s="333"/>
      <c r="CG518" s="354">
        <f t="shared" si="623"/>
        <v>495</v>
      </c>
      <c r="CH518" s="613">
        <f t="shared" si="624"/>
        <v>0</v>
      </c>
      <c r="CI518" s="613">
        <f t="shared" si="625"/>
        <v>0</v>
      </c>
      <c r="CJ518" s="614" t="str">
        <f t="shared" si="626"/>
        <v/>
      </c>
      <c r="CK518" s="615" t="str">
        <f t="shared" si="627"/>
        <v/>
      </c>
      <c r="CL518" s="610" t="str">
        <f>IF(ISBLANK(H518),"",IF(AND(ISNUMBER(F518),ISNUMBER(G518),ISNUMBER(H518)),ROUND(F518/(H518*G518),2),ROUND(F518/(VALUE(LEFT(H518,SUM(LEN(H518)-LEN(SUBSTITUTE(H518,{"0","1","2","3","4","5","6","7","8","9","."},"")))))*G518),2)))</f>
        <v/>
      </c>
      <c r="CM518" s="616" t="str">
        <f t="shared" si="655"/>
        <v/>
      </c>
      <c r="CN518" s="616" t="str">
        <f>IF(ISNUMBER(P518),MAX('Adjustment factors'!$S$16,(0.2+0.8*P518)),IF(ISTEXT(N518),VLOOKUP(N518,Afactors,2,FALSE),""))</f>
        <v/>
      </c>
      <c r="CO518" s="616" t="str">
        <f>IF(ISNUMBER(S518),MAX('Adjustment factors'!$S$16,0.2+0.8*S518),IF(ISTEXT(Q518),VLOOKUP(Q518,Afactors,2,FALSE),""))</f>
        <v/>
      </c>
      <c r="CP518" s="611" t="str">
        <f t="shared" si="645"/>
        <v/>
      </c>
      <c r="CQ518" s="612" t="str">
        <f t="shared" si="646"/>
        <v/>
      </c>
      <c r="CR518" s="340"/>
      <c r="CS518" s="340"/>
      <c r="CT518" s="340"/>
      <c r="CU518" s="340"/>
      <c r="CV518" s="333"/>
      <c r="CW518" s="333"/>
      <c r="CX518" s="333"/>
      <c r="CY518" s="333"/>
      <c r="DA518" s="313" t="str">
        <f t="shared" si="628"/>
        <v>OK</v>
      </c>
      <c r="DB518" s="313" t="str">
        <f t="shared" si="629"/>
        <v>OK</v>
      </c>
      <c r="DC518" s="313" t="str">
        <f t="shared" si="630"/>
        <v>OK</v>
      </c>
      <c r="DD518" s="313" t="str">
        <f t="shared" si="631"/>
        <v>OK</v>
      </c>
      <c r="DE518" s="153" t="str">
        <f t="shared" si="632"/>
        <v>OK</v>
      </c>
      <c r="DF518" s="314" t="str">
        <f t="shared" si="633"/>
        <v>OK</v>
      </c>
      <c r="DG518" s="482" t="str">
        <f t="shared" si="647"/>
        <v>OK</v>
      </c>
      <c r="DH518" s="482" t="str">
        <f>IF(OR(AND(T518='Adjustment factors'!$R$28,'Class 3, 5-9'!U518='Adjustment factors'!$R$29),AND('Class 3, 5-9'!T518='Adjustment factors'!$R$29,'Class 3, 5-9'!U518='Adjustment factors'!$R$28)),"Invalid combination of adjustment factors",IF(AND(T518=U518,NOT(ISBLANK(T518)),NOT(ISBLANK(U518))),"Same colour factor selected twice","OK"))</f>
        <v>OK</v>
      </c>
      <c r="DI518" s="313" t="str">
        <f t="shared" si="634"/>
        <v>OK</v>
      </c>
      <c r="DJ518" s="153" t="str">
        <f t="shared" si="656"/>
        <v>OK</v>
      </c>
      <c r="DK518" s="153" t="str">
        <f t="shared" si="635"/>
        <v>OK</v>
      </c>
      <c r="DL518" s="313" t="str">
        <f t="shared" si="636"/>
        <v>OK</v>
      </c>
      <c r="DM518" s="153" t="str">
        <f t="shared" si="637"/>
        <v>OK</v>
      </c>
      <c r="DN518" s="153" t="str">
        <f t="shared" si="657"/>
        <v>OK</v>
      </c>
      <c r="DO518" s="154" t="str">
        <f t="shared" si="658"/>
        <v>OK</v>
      </c>
      <c r="DP518" s="153" t="str">
        <f t="shared" si="638"/>
        <v>OK</v>
      </c>
      <c r="DQ518" s="313" t="str">
        <f t="shared" si="639"/>
        <v>OK</v>
      </c>
      <c r="DR518" s="153" t="str">
        <f t="shared" si="659"/>
        <v>OK</v>
      </c>
      <c r="DS518" s="153" t="str">
        <f t="shared" si="640"/>
        <v>OK</v>
      </c>
      <c r="DT518" s="313" t="str">
        <f t="shared" si="671"/>
        <v>OK</v>
      </c>
      <c r="DU518" s="153" t="str">
        <f t="shared" si="641"/>
        <v>OK</v>
      </c>
      <c r="DV518" s="153" t="str">
        <f t="shared" si="660"/>
        <v>OK</v>
      </c>
      <c r="DW518" s="154" t="str">
        <f t="shared" si="661"/>
        <v>OK</v>
      </c>
      <c r="DX518" s="157">
        <f t="shared" si="662"/>
        <v>0</v>
      </c>
      <c r="DY518" s="156" t="str">
        <f t="shared" si="663"/>
        <v>OK</v>
      </c>
    </row>
    <row r="519" spans="1:129" ht="13" hidden="1" x14ac:dyDescent="0.3">
      <c r="A519" s="333"/>
      <c r="B519" s="340"/>
      <c r="C519" s="332" t="str">
        <f t="shared" si="670"/>
        <v>-</v>
      </c>
      <c r="D519" s="584">
        <f t="shared" si="597"/>
        <v>496</v>
      </c>
      <c r="E519" s="585"/>
      <c r="F519" s="586"/>
      <c r="G519" s="600"/>
      <c r="H519" s="587"/>
      <c r="I519" s="601"/>
      <c r="J519" s="585"/>
      <c r="K519" s="617"/>
      <c r="L519" s="602"/>
      <c r="M519" s="603"/>
      <c r="N519" s="588"/>
      <c r="O519" s="604"/>
      <c r="P519" s="605"/>
      <c r="Q519" s="588"/>
      <c r="R519" s="604"/>
      <c r="S519" s="605"/>
      <c r="T519" s="606"/>
      <c r="U519" s="606"/>
      <c r="V519" s="429" t="str">
        <f t="shared" si="668"/>
        <v/>
      </c>
      <c r="W519" s="430" t="str">
        <f t="shared" si="667"/>
        <v/>
      </c>
      <c r="X519" s="66" t="str">
        <f>IF(AND(ISNUMBER(P519),N519=FixedDim),MAX('Adjustment factors'!$S$16,0.2+0.8*P519),IF(ISTEXT(N519),VLOOKUP(N519,Afactors,2,TRUE),""))</f>
        <v/>
      </c>
      <c r="Y519" s="17" t="str">
        <f>IF(AND(ISNUMBER(S519),Q519=FixedDim),MAX('Adjustment factors'!$S$16,0.2+0.8*S519),IF(ISTEXT(Q519),VLOOKUP(Q519,Afactors,2,TRUE),""))</f>
        <v/>
      </c>
      <c r="Z519" s="297" t="str">
        <f>IF(ISBLANK(T519),"",VLOOKUP(T519,'Adjustment factors'!$R$27:$S$30,2,TRUE))</f>
        <v/>
      </c>
      <c r="AA519" s="297" t="str">
        <f>IF(ISBLANK(U519),"",VLOOKUP(U519,'Adjustment factors'!$R$27:$S$30,2,TRUE))</f>
        <v/>
      </c>
      <c r="AB519" s="480">
        <f t="shared" si="642"/>
        <v>1</v>
      </c>
      <c r="AC519" s="18" t="b">
        <f t="shared" si="599"/>
        <v>0</v>
      </c>
      <c r="AD519" s="18" t="b">
        <f t="shared" si="600"/>
        <v>0</v>
      </c>
      <c r="AE519" s="18" t="b">
        <f t="shared" si="664"/>
        <v>0</v>
      </c>
      <c r="AF519" s="17" t="str">
        <f t="shared" si="601"/>
        <v/>
      </c>
      <c r="AG519" s="18" t="str">
        <f t="shared" si="602"/>
        <v/>
      </c>
      <c r="AH519" s="17" t="str">
        <f t="shared" si="665"/>
        <v/>
      </c>
      <c r="AI519" s="297" t="e">
        <f t="shared" si="643"/>
        <v>#VALUE!</v>
      </c>
      <c r="AJ519" s="79" t="e">
        <f t="shared" si="603"/>
        <v>#VALUE!</v>
      </c>
      <c r="AK519" s="17" t="str">
        <f t="shared" si="666"/>
        <v/>
      </c>
      <c r="AL519" s="80" t="e">
        <f t="shared" si="604"/>
        <v>#VALUE!</v>
      </c>
      <c r="AM519" s="139" t="b">
        <f t="shared" si="605"/>
        <v>1</v>
      </c>
      <c r="AN519" s="139" t="b">
        <f>AND(COUNTA(E519)&gt;0,ISNUMBER(F519),OR(COUNT(G519:H519)=0,COUNT(G519:H519)=2,AND(ISNUMBER(G519),ISNUMBER(VALUE(LEFT(H519,SUM(LEN(H519)-LEN(SUBSTITUTE(H519,{"0","1","2","3","4","5","6","7","8","9","."},"")))))))),ISNUMBER(I519),ISTEXT(J519))</f>
        <v>0</v>
      </c>
      <c r="AO519" s="19" t="b">
        <f t="shared" si="606"/>
        <v>0</v>
      </c>
      <c r="AP519" s="19" t="b">
        <f t="shared" si="607"/>
        <v>1</v>
      </c>
      <c r="AQ519" s="19" t="b">
        <f>IF(AND(COUNTBLANK(E519:J519)=6,OR(AN520:AN$523)),NOT(AN519))</f>
        <v>0</v>
      </c>
      <c r="AR519" s="19" t="str">
        <f t="shared" si="608"/>
        <v/>
      </c>
      <c r="AS519" s="19" t="b">
        <f t="shared" si="609"/>
        <v>1</v>
      </c>
      <c r="AT519" s="19" t="str">
        <f t="shared" si="610"/>
        <v/>
      </c>
      <c r="AU519" s="19" t="b">
        <f t="shared" si="611"/>
        <v>1</v>
      </c>
      <c r="AV519" s="140" t="str">
        <f t="shared" si="648"/>
        <v/>
      </c>
      <c r="AW519" s="19" t="str">
        <f t="shared" si="612"/>
        <v/>
      </c>
      <c r="AX519" s="81">
        <f t="shared" si="613"/>
        <v>0</v>
      </c>
      <c r="AY519" s="81" t="str">
        <f t="shared" si="614"/>
        <v/>
      </c>
      <c r="AZ519" s="307" t="str">
        <f t="shared" si="644"/>
        <v/>
      </c>
      <c r="BA519" s="281" t="str">
        <f t="shared" si="649"/>
        <v/>
      </c>
      <c r="BB519" s="281" t="str">
        <f t="shared" si="650"/>
        <v/>
      </c>
      <c r="BC519" s="953"/>
      <c r="BD519" s="955"/>
      <c r="BE519" s="219" t="str">
        <f t="shared" si="615"/>
        <v>n/a</v>
      </c>
      <c r="BF519" s="215" t="b">
        <f t="shared" si="616"/>
        <v>0</v>
      </c>
      <c r="BG519" s="145" t="b">
        <f t="shared" si="617"/>
        <v>0</v>
      </c>
      <c r="BH519" s="145" t="b">
        <f t="shared" si="618"/>
        <v>0</v>
      </c>
      <c r="BI519" s="216" t="b">
        <f t="shared" si="619"/>
        <v>0</v>
      </c>
      <c r="BJ519" s="215" t="b">
        <f t="shared" si="620"/>
        <v>0</v>
      </c>
      <c r="BK519" s="145" t="b">
        <f t="shared" si="621"/>
        <v>0</v>
      </c>
      <c r="BL519" s="216" t="b">
        <f t="shared" si="622"/>
        <v>0</v>
      </c>
      <c r="BM519" s="217" t="str">
        <f t="shared" si="651"/>
        <v/>
      </c>
      <c r="BN519" s="146" t="str">
        <f t="shared" si="652"/>
        <v/>
      </c>
      <c r="BO519" s="147" t="str">
        <f t="shared" si="653"/>
        <v/>
      </c>
      <c r="BP519" s="148" t="str">
        <f t="shared" si="654"/>
        <v/>
      </c>
      <c r="BT519" s="50">
        <f t="shared" si="672"/>
        <v>496</v>
      </c>
      <c r="BU519" s="50" t="str">
        <f t="shared" si="669"/>
        <v>-</v>
      </c>
      <c r="BW519" s="340"/>
      <c r="BX519" s="333"/>
      <c r="BY519" s="333"/>
      <c r="BZ519" s="333"/>
      <c r="CA519" s="333"/>
      <c r="CB519" s="333"/>
      <c r="CC519" s="333"/>
      <c r="CD519" s="333"/>
      <c r="CE519" s="333"/>
      <c r="CF519" s="333"/>
      <c r="CG519" s="354">
        <f t="shared" si="623"/>
        <v>496</v>
      </c>
      <c r="CH519" s="613">
        <f t="shared" si="624"/>
        <v>0</v>
      </c>
      <c r="CI519" s="613">
        <f t="shared" si="625"/>
        <v>0</v>
      </c>
      <c r="CJ519" s="614" t="str">
        <f t="shared" si="626"/>
        <v/>
      </c>
      <c r="CK519" s="615" t="str">
        <f t="shared" si="627"/>
        <v/>
      </c>
      <c r="CL519" s="610" t="str">
        <f>IF(ISBLANK(H519),"",IF(AND(ISNUMBER(F519),ISNUMBER(G519),ISNUMBER(H519)),ROUND(F519/(H519*G519),2),ROUND(F519/(VALUE(LEFT(H519,SUM(LEN(H519)-LEN(SUBSTITUTE(H519,{"0","1","2","3","4","5","6","7","8","9","."},"")))))*G519),2)))</f>
        <v/>
      </c>
      <c r="CM519" s="616" t="str">
        <f t="shared" si="655"/>
        <v/>
      </c>
      <c r="CN519" s="616" t="str">
        <f>IF(ISNUMBER(P519),MAX('Adjustment factors'!$S$16,(0.2+0.8*P519)),IF(ISTEXT(N519),VLOOKUP(N519,Afactors,2,FALSE),""))</f>
        <v/>
      </c>
      <c r="CO519" s="616" t="str">
        <f>IF(ISNUMBER(S519),MAX('Adjustment factors'!$S$16,0.2+0.8*S519),IF(ISTEXT(Q519),VLOOKUP(Q519,Afactors,2,FALSE),""))</f>
        <v/>
      </c>
      <c r="CP519" s="611" t="str">
        <f t="shared" si="645"/>
        <v/>
      </c>
      <c r="CQ519" s="612" t="str">
        <f t="shared" si="646"/>
        <v/>
      </c>
      <c r="CR519" s="340"/>
      <c r="CS519" s="340"/>
      <c r="CT519" s="340"/>
      <c r="CU519" s="340"/>
      <c r="CV519" s="333"/>
      <c r="CW519" s="333"/>
      <c r="CX519" s="333"/>
      <c r="CY519" s="333"/>
      <c r="DA519" s="313" t="str">
        <f t="shared" si="628"/>
        <v>OK</v>
      </c>
      <c r="DB519" s="313" t="str">
        <f t="shared" si="629"/>
        <v>OK</v>
      </c>
      <c r="DC519" s="313" t="str">
        <f t="shared" si="630"/>
        <v>OK</v>
      </c>
      <c r="DD519" s="313" t="str">
        <f t="shared" si="631"/>
        <v>OK</v>
      </c>
      <c r="DE519" s="153" t="str">
        <f t="shared" si="632"/>
        <v>OK</v>
      </c>
      <c r="DF519" s="314" t="str">
        <f t="shared" si="633"/>
        <v>OK</v>
      </c>
      <c r="DG519" s="482" t="str">
        <f t="shared" si="647"/>
        <v>OK</v>
      </c>
      <c r="DH519" s="482" t="str">
        <f>IF(OR(AND(T519='Adjustment factors'!$R$28,'Class 3, 5-9'!U519='Adjustment factors'!$R$29),AND('Class 3, 5-9'!T519='Adjustment factors'!$R$29,'Class 3, 5-9'!U519='Adjustment factors'!$R$28)),"Invalid combination of adjustment factors",IF(AND(T519=U519,NOT(ISBLANK(T519)),NOT(ISBLANK(U519))),"Same colour factor selected twice","OK"))</f>
        <v>OK</v>
      </c>
      <c r="DI519" s="313" t="str">
        <f t="shared" si="634"/>
        <v>OK</v>
      </c>
      <c r="DJ519" s="153" t="str">
        <f t="shared" si="656"/>
        <v>OK</v>
      </c>
      <c r="DK519" s="153" t="str">
        <f t="shared" si="635"/>
        <v>OK</v>
      </c>
      <c r="DL519" s="313" t="str">
        <f t="shared" si="636"/>
        <v>OK</v>
      </c>
      <c r="DM519" s="153" t="str">
        <f t="shared" si="637"/>
        <v>OK</v>
      </c>
      <c r="DN519" s="153" t="str">
        <f t="shared" si="657"/>
        <v>OK</v>
      </c>
      <c r="DO519" s="154" t="str">
        <f t="shared" si="658"/>
        <v>OK</v>
      </c>
      <c r="DP519" s="153" t="str">
        <f t="shared" si="638"/>
        <v>OK</v>
      </c>
      <c r="DQ519" s="313" t="str">
        <f t="shared" si="639"/>
        <v>OK</v>
      </c>
      <c r="DR519" s="153" t="str">
        <f t="shared" si="659"/>
        <v>OK</v>
      </c>
      <c r="DS519" s="153" t="str">
        <f t="shared" si="640"/>
        <v>OK</v>
      </c>
      <c r="DT519" s="313" t="str">
        <f t="shared" si="671"/>
        <v>OK</v>
      </c>
      <c r="DU519" s="153" t="str">
        <f t="shared" si="641"/>
        <v>OK</v>
      </c>
      <c r="DV519" s="153" t="str">
        <f t="shared" si="660"/>
        <v>OK</v>
      </c>
      <c r="DW519" s="154" t="str">
        <f t="shared" si="661"/>
        <v>OK</v>
      </c>
      <c r="DX519" s="157">
        <f t="shared" si="662"/>
        <v>0</v>
      </c>
      <c r="DY519" s="156" t="str">
        <f t="shared" si="663"/>
        <v>OK</v>
      </c>
    </row>
    <row r="520" spans="1:129" ht="13" hidden="1" x14ac:dyDescent="0.3">
      <c r="A520" s="333"/>
      <c r="B520" s="340"/>
      <c r="C520" s="332" t="str">
        <f t="shared" si="670"/>
        <v>-</v>
      </c>
      <c r="D520" s="584">
        <f t="shared" si="597"/>
        <v>497</v>
      </c>
      <c r="E520" s="585"/>
      <c r="F520" s="586"/>
      <c r="G520" s="600"/>
      <c r="H520" s="587"/>
      <c r="I520" s="601"/>
      <c r="J520" s="585"/>
      <c r="K520" s="617"/>
      <c r="L520" s="602"/>
      <c r="M520" s="603"/>
      <c r="N520" s="588"/>
      <c r="O520" s="604"/>
      <c r="P520" s="605"/>
      <c r="Q520" s="588"/>
      <c r="R520" s="604"/>
      <c r="S520" s="605"/>
      <c r="T520" s="606"/>
      <c r="U520" s="606"/>
      <c r="V520" s="429" t="str">
        <f t="shared" si="668"/>
        <v/>
      </c>
      <c r="W520" s="430" t="str">
        <f t="shared" si="667"/>
        <v/>
      </c>
      <c r="X520" s="66" t="str">
        <f>IF(AND(ISNUMBER(P520),N520=FixedDim),MAX('Adjustment factors'!$S$16,0.2+0.8*P520),IF(ISTEXT(N520),VLOOKUP(N520,Afactors,2,TRUE),""))</f>
        <v/>
      </c>
      <c r="Y520" s="17" t="str">
        <f>IF(AND(ISNUMBER(S520),Q520=FixedDim),MAX('Adjustment factors'!$S$16,0.2+0.8*S520),IF(ISTEXT(Q520),VLOOKUP(Q520,Afactors,2,TRUE),""))</f>
        <v/>
      </c>
      <c r="Z520" s="297" t="str">
        <f>IF(ISBLANK(T520),"",VLOOKUP(T520,'Adjustment factors'!$R$27:$S$30,2,TRUE))</f>
        <v/>
      </c>
      <c r="AA520" s="297" t="str">
        <f>IF(ISBLANK(U520),"",VLOOKUP(U520,'Adjustment factors'!$R$27:$S$30,2,TRUE))</f>
        <v/>
      </c>
      <c r="AB520" s="480">
        <f t="shared" si="642"/>
        <v>1</v>
      </c>
      <c r="AC520" s="18" t="b">
        <f t="shared" si="599"/>
        <v>0</v>
      </c>
      <c r="AD520" s="18" t="b">
        <f t="shared" si="600"/>
        <v>0</v>
      </c>
      <c r="AE520" s="18" t="b">
        <f t="shared" si="664"/>
        <v>0</v>
      </c>
      <c r="AF520" s="17" t="str">
        <f t="shared" si="601"/>
        <v/>
      </c>
      <c r="AG520" s="18" t="str">
        <f t="shared" si="602"/>
        <v/>
      </c>
      <c r="AH520" s="17" t="str">
        <f t="shared" si="665"/>
        <v/>
      </c>
      <c r="AI520" s="297" t="e">
        <f t="shared" si="643"/>
        <v>#VALUE!</v>
      </c>
      <c r="AJ520" s="79" t="e">
        <f t="shared" si="603"/>
        <v>#VALUE!</v>
      </c>
      <c r="AK520" s="17" t="str">
        <f t="shared" si="666"/>
        <v/>
      </c>
      <c r="AL520" s="80" t="e">
        <f t="shared" si="604"/>
        <v>#VALUE!</v>
      </c>
      <c r="AM520" s="139" t="b">
        <f t="shared" si="605"/>
        <v>1</v>
      </c>
      <c r="AN520" s="139" t="b">
        <f>AND(COUNTA(E520)&gt;0,ISNUMBER(F520),OR(COUNT(G520:H520)=0,COUNT(G520:H520)=2,AND(ISNUMBER(G520),ISNUMBER(VALUE(LEFT(H520,SUM(LEN(H520)-LEN(SUBSTITUTE(H520,{"0","1","2","3","4","5","6","7","8","9","."},"")))))))),ISNUMBER(I520),ISTEXT(J520))</f>
        <v>0</v>
      </c>
      <c r="AO520" s="19" t="b">
        <f t="shared" si="606"/>
        <v>0</v>
      </c>
      <c r="AP520" s="19" t="b">
        <f t="shared" si="607"/>
        <v>1</v>
      </c>
      <c r="AQ520" s="19" t="b">
        <f>IF(AND(COUNTBLANK(E520:J520)=6,OR(AN521:AN$523)),NOT(AN520))</f>
        <v>0</v>
      </c>
      <c r="AR520" s="19" t="str">
        <f t="shared" si="608"/>
        <v/>
      </c>
      <c r="AS520" s="19" t="b">
        <f t="shared" si="609"/>
        <v>1</v>
      </c>
      <c r="AT520" s="19" t="str">
        <f t="shared" si="610"/>
        <v/>
      </c>
      <c r="AU520" s="19" t="b">
        <f t="shared" si="611"/>
        <v>1</v>
      </c>
      <c r="AV520" s="140" t="str">
        <f t="shared" si="648"/>
        <v/>
      </c>
      <c r="AW520" s="19" t="str">
        <f t="shared" si="612"/>
        <v/>
      </c>
      <c r="AX520" s="81">
        <f t="shared" si="613"/>
        <v>0</v>
      </c>
      <c r="AY520" s="81" t="str">
        <f t="shared" si="614"/>
        <v/>
      </c>
      <c r="AZ520" s="307" t="str">
        <f t="shared" si="644"/>
        <v/>
      </c>
      <c r="BA520" s="281" t="str">
        <f t="shared" si="649"/>
        <v/>
      </c>
      <c r="BB520" s="281" t="str">
        <f t="shared" si="650"/>
        <v/>
      </c>
      <c r="BC520" s="953"/>
      <c r="BD520" s="955"/>
      <c r="BE520" s="219" t="str">
        <f t="shared" si="615"/>
        <v>n/a</v>
      </c>
      <c r="BF520" s="215" t="b">
        <f t="shared" si="616"/>
        <v>0</v>
      </c>
      <c r="BG520" s="145" t="b">
        <f t="shared" si="617"/>
        <v>0</v>
      </c>
      <c r="BH520" s="145" t="b">
        <f t="shared" si="618"/>
        <v>0</v>
      </c>
      <c r="BI520" s="216" t="b">
        <f t="shared" si="619"/>
        <v>0</v>
      </c>
      <c r="BJ520" s="215" t="b">
        <f t="shared" si="620"/>
        <v>0</v>
      </c>
      <c r="BK520" s="145" t="b">
        <f t="shared" si="621"/>
        <v>0</v>
      </c>
      <c r="BL520" s="216" t="b">
        <f t="shared" si="622"/>
        <v>0</v>
      </c>
      <c r="BM520" s="217" t="str">
        <f t="shared" si="651"/>
        <v/>
      </c>
      <c r="BN520" s="146" t="str">
        <f t="shared" si="652"/>
        <v/>
      </c>
      <c r="BO520" s="147" t="str">
        <f t="shared" si="653"/>
        <v/>
      </c>
      <c r="BP520" s="148" t="str">
        <f t="shared" si="654"/>
        <v/>
      </c>
      <c r="BT520" s="50">
        <f t="shared" si="672"/>
        <v>497</v>
      </c>
      <c r="BU520" s="50" t="str">
        <f t="shared" si="669"/>
        <v>-</v>
      </c>
      <c r="BW520" s="340"/>
      <c r="BX520" s="333"/>
      <c r="BY520" s="333"/>
      <c r="BZ520" s="333"/>
      <c r="CA520" s="333"/>
      <c r="CB520" s="333"/>
      <c r="CC520" s="333"/>
      <c r="CD520" s="333"/>
      <c r="CE520" s="333"/>
      <c r="CF520" s="333"/>
      <c r="CG520" s="354">
        <f t="shared" si="623"/>
        <v>497</v>
      </c>
      <c r="CH520" s="613">
        <f t="shared" si="624"/>
        <v>0</v>
      </c>
      <c r="CI520" s="613">
        <f t="shared" si="625"/>
        <v>0</v>
      </c>
      <c r="CJ520" s="614" t="str">
        <f t="shared" si="626"/>
        <v/>
      </c>
      <c r="CK520" s="615" t="str">
        <f t="shared" si="627"/>
        <v/>
      </c>
      <c r="CL520" s="610" t="str">
        <f>IF(ISBLANK(H520),"",IF(AND(ISNUMBER(F520),ISNUMBER(G520),ISNUMBER(H520)),ROUND(F520/(H520*G520),2),ROUND(F520/(VALUE(LEFT(H520,SUM(LEN(H520)-LEN(SUBSTITUTE(H520,{"0","1","2","3","4","5","6","7","8","9","."},"")))))*G520),2)))</f>
        <v/>
      </c>
      <c r="CM520" s="616" t="str">
        <f t="shared" si="655"/>
        <v/>
      </c>
      <c r="CN520" s="616" t="str">
        <f>IF(ISNUMBER(P520),MAX('Adjustment factors'!$S$16,(0.2+0.8*P520)),IF(ISTEXT(N520),VLOOKUP(N520,Afactors,2,FALSE),""))</f>
        <v/>
      </c>
      <c r="CO520" s="616" t="str">
        <f>IF(ISNUMBER(S520),MAX('Adjustment factors'!$S$16,0.2+0.8*S520),IF(ISTEXT(Q520),VLOOKUP(Q520,Afactors,2,FALSE),""))</f>
        <v/>
      </c>
      <c r="CP520" s="611" t="str">
        <f t="shared" si="645"/>
        <v/>
      </c>
      <c r="CQ520" s="612" t="str">
        <f t="shared" si="646"/>
        <v/>
      </c>
      <c r="CR520" s="340"/>
      <c r="CS520" s="340"/>
      <c r="CT520" s="340"/>
      <c r="CU520" s="340"/>
      <c r="CV520" s="333"/>
      <c r="CW520" s="333"/>
      <c r="CX520" s="333"/>
      <c r="CY520" s="333"/>
      <c r="DA520" s="313" t="str">
        <f t="shared" si="628"/>
        <v>OK</v>
      </c>
      <c r="DB520" s="313" t="str">
        <f t="shared" si="629"/>
        <v>OK</v>
      </c>
      <c r="DC520" s="313" t="str">
        <f t="shared" si="630"/>
        <v>OK</v>
      </c>
      <c r="DD520" s="313" t="str">
        <f t="shared" si="631"/>
        <v>OK</v>
      </c>
      <c r="DE520" s="153" t="str">
        <f t="shared" si="632"/>
        <v>OK</v>
      </c>
      <c r="DF520" s="314" t="str">
        <f t="shared" si="633"/>
        <v>OK</v>
      </c>
      <c r="DG520" s="482" t="str">
        <f t="shared" si="647"/>
        <v>OK</v>
      </c>
      <c r="DH520" s="482" t="str">
        <f>IF(OR(AND(T520='Adjustment factors'!$R$28,'Class 3, 5-9'!U520='Adjustment factors'!$R$29),AND('Class 3, 5-9'!T520='Adjustment factors'!$R$29,'Class 3, 5-9'!U520='Adjustment factors'!$R$28)),"Invalid combination of adjustment factors",IF(AND(T520=U520,NOT(ISBLANK(T520)),NOT(ISBLANK(U520))),"Same colour factor selected twice","OK"))</f>
        <v>OK</v>
      </c>
      <c r="DI520" s="313" t="str">
        <f t="shared" si="634"/>
        <v>OK</v>
      </c>
      <c r="DJ520" s="153" t="str">
        <f t="shared" si="656"/>
        <v>OK</v>
      </c>
      <c r="DK520" s="153" t="str">
        <f t="shared" si="635"/>
        <v>OK</v>
      </c>
      <c r="DL520" s="313" t="str">
        <f t="shared" si="636"/>
        <v>OK</v>
      </c>
      <c r="DM520" s="153" t="str">
        <f t="shared" si="637"/>
        <v>OK</v>
      </c>
      <c r="DN520" s="153" t="str">
        <f t="shared" si="657"/>
        <v>OK</v>
      </c>
      <c r="DO520" s="154" t="str">
        <f t="shared" si="658"/>
        <v>OK</v>
      </c>
      <c r="DP520" s="153" t="str">
        <f t="shared" si="638"/>
        <v>OK</v>
      </c>
      <c r="DQ520" s="313" t="str">
        <f t="shared" si="639"/>
        <v>OK</v>
      </c>
      <c r="DR520" s="153" t="str">
        <f t="shared" si="659"/>
        <v>OK</v>
      </c>
      <c r="DS520" s="153" t="str">
        <f t="shared" si="640"/>
        <v>OK</v>
      </c>
      <c r="DT520" s="313" t="str">
        <f t="shared" si="671"/>
        <v>OK</v>
      </c>
      <c r="DU520" s="153" t="str">
        <f t="shared" si="641"/>
        <v>OK</v>
      </c>
      <c r="DV520" s="153" t="str">
        <f t="shared" si="660"/>
        <v>OK</v>
      </c>
      <c r="DW520" s="154" t="str">
        <f t="shared" si="661"/>
        <v>OK</v>
      </c>
      <c r="DX520" s="157">
        <f t="shared" si="662"/>
        <v>0</v>
      </c>
      <c r="DY520" s="156" t="str">
        <f t="shared" si="663"/>
        <v>OK</v>
      </c>
    </row>
    <row r="521" spans="1:129" ht="13" hidden="1" x14ac:dyDescent="0.3">
      <c r="A521" s="340"/>
      <c r="B521" s="340"/>
      <c r="C521" s="332" t="str">
        <f t="shared" si="670"/>
        <v>-</v>
      </c>
      <c r="D521" s="584">
        <f t="shared" ref="D521:D523" si="673">D520+1</f>
        <v>498</v>
      </c>
      <c r="E521" s="585"/>
      <c r="F521" s="586"/>
      <c r="G521" s="600"/>
      <c r="H521" s="587"/>
      <c r="I521" s="601"/>
      <c r="J521" s="585"/>
      <c r="K521" s="617"/>
      <c r="L521" s="602"/>
      <c r="M521" s="603"/>
      <c r="N521" s="588"/>
      <c r="O521" s="604"/>
      <c r="P521" s="605"/>
      <c r="Q521" s="588"/>
      <c r="R521" s="604"/>
      <c r="S521" s="605"/>
      <c r="T521" s="606"/>
      <c r="U521" s="606"/>
      <c r="V521" s="429" t="str">
        <f t="shared" si="668"/>
        <v/>
      </c>
      <c r="W521" s="430" t="str">
        <f t="shared" si="667"/>
        <v/>
      </c>
      <c r="X521" s="66" t="str">
        <f>IF(AND(ISNUMBER(P521),N521=FixedDim),MAX('Adjustment factors'!$S$16,0.2+0.8*P521),IF(ISTEXT(N521),VLOOKUP(N521,Afactors,2,TRUE),""))</f>
        <v/>
      </c>
      <c r="Y521" s="17" t="str">
        <f>IF(AND(ISNUMBER(S521),Q521=FixedDim),MAX('Adjustment factors'!$S$16,0.2+0.8*S521),IF(ISTEXT(Q521),VLOOKUP(Q521,Afactors,2,TRUE),""))</f>
        <v/>
      </c>
      <c r="Z521" s="297" t="str">
        <f>IF(ISBLANK(T521),"",VLOOKUP(T521,'Adjustment factors'!$R$27:$S$30,2,TRUE))</f>
        <v/>
      </c>
      <c r="AA521" s="297" t="str">
        <f>IF(ISBLANK(U521),"",VLOOKUP(U521,'Adjustment factors'!$R$27:$S$30,2,TRUE))</f>
        <v/>
      </c>
      <c r="AB521" s="480">
        <f t="shared" si="642"/>
        <v>1</v>
      </c>
      <c r="AC521" s="18" t="b">
        <f t="shared" si="599"/>
        <v>0</v>
      </c>
      <c r="AD521" s="18" t="b">
        <f t="shared" si="600"/>
        <v>0</v>
      </c>
      <c r="AE521" s="18" t="b">
        <f t="shared" si="664"/>
        <v>0</v>
      </c>
      <c r="AF521" s="17" t="str">
        <f t="shared" si="601"/>
        <v/>
      </c>
      <c r="AG521" s="18" t="str">
        <f t="shared" si="602"/>
        <v/>
      </c>
      <c r="AH521" s="17" t="str">
        <f t="shared" si="665"/>
        <v/>
      </c>
      <c r="AI521" s="297" t="e">
        <f t="shared" si="643"/>
        <v>#VALUE!</v>
      </c>
      <c r="AJ521" s="79" t="e">
        <f t="shared" si="603"/>
        <v>#VALUE!</v>
      </c>
      <c r="AK521" s="17" t="str">
        <f t="shared" si="666"/>
        <v/>
      </c>
      <c r="AL521" s="80" t="e">
        <f t="shared" si="604"/>
        <v>#VALUE!</v>
      </c>
      <c r="AM521" s="139" t="b">
        <f t="shared" si="605"/>
        <v>1</v>
      </c>
      <c r="AN521" s="139" t="b">
        <f>AND(COUNTA(E521)&gt;0,ISNUMBER(F521),OR(COUNT(G521:H521)=0,COUNT(G521:H521)=2,AND(ISNUMBER(G521),ISNUMBER(VALUE(LEFT(H521,SUM(LEN(H521)-LEN(SUBSTITUTE(H521,{"0","1","2","3","4","5","6","7","8","9","."},"")))))))),ISNUMBER(I521),ISTEXT(J521))</f>
        <v>0</v>
      </c>
      <c r="AO521" s="19" t="b">
        <f t="shared" si="606"/>
        <v>0</v>
      </c>
      <c r="AP521" s="19" t="b">
        <f t="shared" si="607"/>
        <v>1</v>
      </c>
      <c r="AQ521" s="19" t="b">
        <f>IF(AND(COUNTBLANK(E521:J521)=6,OR(AN522:AN$523)),NOT(AN521))</f>
        <v>0</v>
      </c>
      <c r="AR521" s="19" t="str">
        <f t="shared" si="608"/>
        <v/>
      </c>
      <c r="AS521" s="19" t="b">
        <f t="shared" si="609"/>
        <v>1</v>
      </c>
      <c r="AT521" s="19" t="str">
        <f t="shared" si="610"/>
        <v/>
      </c>
      <c r="AU521" s="19" t="b">
        <f t="shared" si="611"/>
        <v>1</v>
      </c>
      <c r="AV521" s="140" t="str">
        <f t="shared" si="648"/>
        <v/>
      </c>
      <c r="AW521" s="19" t="str">
        <f t="shared" si="612"/>
        <v/>
      </c>
      <c r="AX521" s="81">
        <f t="shared" si="613"/>
        <v>0</v>
      </c>
      <c r="AY521" s="81" t="str">
        <f t="shared" si="614"/>
        <v/>
      </c>
      <c r="AZ521" s="307" t="str">
        <f t="shared" si="644"/>
        <v/>
      </c>
      <c r="BA521" s="281" t="str">
        <f t="shared" si="649"/>
        <v/>
      </c>
      <c r="BB521" s="281" t="str">
        <f t="shared" si="650"/>
        <v/>
      </c>
      <c r="BC521" s="953"/>
      <c r="BD521" s="955"/>
      <c r="BE521" s="219" t="str">
        <f t="shared" si="615"/>
        <v>n/a</v>
      </c>
      <c r="BF521" s="215" t="b">
        <f t="shared" si="616"/>
        <v>0</v>
      </c>
      <c r="BG521" s="145" t="b">
        <f t="shared" si="617"/>
        <v>0</v>
      </c>
      <c r="BH521" s="145" t="b">
        <f t="shared" si="618"/>
        <v>0</v>
      </c>
      <c r="BI521" s="216" t="b">
        <f t="shared" si="619"/>
        <v>0</v>
      </c>
      <c r="BJ521" s="215" t="b">
        <f t="shared" si="620"/>
        <v>0</v>
      </c>
      <c r="BK521" s="145" t="b">
        <f t="shared" si="621"/>
        <v>0</v>
      </c>
      <c r="BL521" s="216" t="b">
        <f t="shared" si="622"/>
        <v>0</v>
      </c>
      <c r="BM521" s="217" t="str">
        <f t="shared" si="651"/>
        <v/>
      </c>
      <c r="BN521" s="146" t="str">
        <f t="shared" si="652"/>
        <v/>
      </c>
      <c r="BO521" s="147" t="str">
        <f t="shared" si="653"/>
        <v/>
      </c>
      <c r="BP521" s="148" t="str">
        <f t="shared" si="654"/>
        <v/>
      </c>
      <c r="BT521" s="50">
        <f t="shared" si="672"/>
        <v>498</v>
      </c>
      <c r="BU521" s="50" t="str">
        <f t="shared" si="669"/>
        <v>-</v>
      </c>
      <c r="BW521" s="340"/>
      <c r="BX521" s="333"/>
      <c r="BY521" s="333"/>
      <c r="BZ521" s="333"/>
      <c r="CA521" s="333"/>
      <c r="CB521" s="333"/>
      <c r="CC521" s="333"/>
      <c r="CD521" s="333"/>
      <c r="CE521" s="333"/>
      <c r="CF521" s="333"/>
      <c r="CG521" s="354">
        <f t="shared" si="623"/>
        <v>498</v>
      </c>
      <c r="CH521" s="613">
        <f t="shared" si="624"/>
        <v>0</v>
      </c>
      <c r="CI521" s="613">
        <f t="shared" si="625"/>
        <v>0</v>
      </c>
      <c r="CJ521" s="614" t="str">
        <f t="shared" si="626"/>
        <v/>
      </c>
      <c r="CK521" s="615" t="str">
        <f t="shared" si="627"/>
        <v/>
      </c>
      <c r="CL521" s="610" t="str">
        <f>IF(ISBLANK(H521),"",IF(AND(ISNUMBER(F521),ISNUMBER(G521),ISNUMBER(H521)),ROUND(F521/(H521*G521),2),ROUND(F521/(VALUE(LEFT(H521,SUM(LEN(H521)-LEN(SUBSTITUTE(H521,{"0","1","2","3","4","5","6","7","8","9","."},"")))))*G521),2)))</f>
        <v/>
      </c>
      <c r="CM521" s="616" t="str">
        <f t="shared" si="655"/>
        <v/>
      </c>
      <c r="CN521" s="616" t="str">
        <f>IF(ISNUMBER(P521),MAX('Adjustment factors'!$S$16,(0.2+0.8*P521)),IF(ISTEXT(N521),VLOOKUP(N521,Afactors,2,FALSE),""))</f>
        <v/>
      </c>
      <c r="CO521" s="616" t="str">
        <f>IF(ISNUMBER(S521),MAX('Adjustment factors'!$S$16,0.2+0.8*S521),IF(ISTEXT(Q521),VLOOKUP(Q521,Afactors,2,FALSE),""))</f>
        <v/>
      </c>
      <c r="CP521" s="611" t="str">
        <f t="shared" si="645"/>
        <v/>
      </c>
      <c r="CQ521" s="612" t="str">
        <f t="shared" si="646"/>
        <v/>
      </c>
      <c r="CR521" s="340"/>
      <c r="CS521" s="340"/>
      <c r="CT521" s="340"/>
      <c r="CU521" s="340"/>
      <c r="CV521" s="333"/>
      <c r="CW521" s="333"/>
      <c r="CX521" s="333"/>
      <c r="CY521" s="333"/>
      <c r="DA521" s="313" t="str">
        <f t="shared" si="628"/>
        <v>OK</v>
      </c>
      <c r="DB521" s="313" t="str">
        <f t="shared" si="629"/>
        <v>OK</v>
      </c>
      <c r="DC521" s="313" t="str">
        <f t="shared" si="630"/>
        <v>OK</v>
      </c>
      <c r="DD521" s="313" t="str">
        <f t="shared" si="631"/>
        <v>OK</v>
      </c>
      <c r="DE521" s="153" t="str">
        <f t="shared" si="632"/>
        <v>OK</v>
      </c>
      <c r="DF521" s="314" t="str">
        <f t="shared" si="633"/>
        <v>OK</v>
      </c>
      <c r="DG521" s="482" t="str">
        <f t="shared" si="647"/>
        <v>OK</v>
      </c>
      <c r="DH521" s="482" t="str">
        <f>IF(OR(AND(T521='Adjustment factors'!$R$28,'Class 3, 5-9'!U521='Adjustment factors'!$R$29),AND('Class 3, 5-9'!T521='Adjustment factors'!$R$29,'Class 3, 5-9'!U521='Adjustment factors'!$R$28)),"Invalid combination of adjustment factors",IF(AND(T521=U521,NOT(ISBLANK(T521)),NOT(ISBLANK(U521))),"Same colour factor selected twice","OK"))</f>
        <v>OK</v>
      </c>
      <c r="DI521" s="313" t="str">
        <f t="shared" si="634"/>
        <v>OK</v>
      </c>
      <c r="DJ521" s="153" t="str">
        <f t="shared" si="656"/>
        <v>OK</v>
      </c>
      <c r="DK521" s="153" t="str">
        <f t="shared" si="635"/>
        <v>OK</v>
      </c>
      <c r="DL521" s="313" t="str">
        <f t="shared" si="636"/>
        <v>OK</v>
      </c>
      <c r="DM521" s="153" t="str">
        <f t="shared" si="637"/>
        <v>OK</v>
      </c>
      <c r="DN521" s="153" t="str">
        <f t="shared" si="657"/>
        <v>OK</v>
      </c>
      <c r="DO521" s="154" t="str">
        <f t="shared" si="658"/>
        <v>OK</v>
      </c>
      <c r="DP521" s="153" t="str">
        <f t="shared" si="638"/>
        <v>OK</v>
      </c>
      <c r="DQ521" s="313" t="str">
        <f t="shared" si="639"/>
        <v>OK</v>
      </c>
      <c r="DR521" s="153" t="str">
        <f t="shared" si="659"/>
        <v>OK</v>
      </c>
      <c r="DS521" s="153" t="str">
        <f t="shared" si="640"/>
        <v>OK</v>
      </c>
      <c r="DT521" s="313" t="str">
        <f t="shared" si="671"/>
        <v>OK</v>
      </c>
      <c r="DU521" s="153" t="str">
        <f t="shared" si="641"/>
        <v>OK</v>
      </c>
      <c r="DV521" s="153" t="str">
        <f t="shared" si="660"/>
        <v>OK</v>
      </c>
      <c r="DW521" s="154" t="str">
        <f t="shared" si="661"/>
        <v>OK</v>
      </c>
      <c r="DX521" s="157">
        <f t="shared" si="662"/>
        <v>0</v>
      </c>
      <c r="DY521" s="156" t="str">
        <f t="shared" si="663"/>
        <v>OK</v>
      </c>
    </row>
    <row r="522" spans="1:129" ht="13" hidden="1" x14ac:dyDescent="0.3">
      <c r="A522" s="340"/>
      <c r="B522" s="340"/>
      <c r="C522" s="332" t="str">
        <f t="shared" si="670"/>
        <v>-</v>
      </c>
      <c r="D522" s="584">
        <f t="shared" si="673"/>
        <v>499</v>
      </c>
      <c r="E522" s="585"/>
      <c r="F522" s="586"/>
      <c r="G522" s="600"/>
      <c r="H522" s="587"/>
      <c r="I522" s="601"/>
      <c r="J522" s="585"/>
      <c r="K522" s="617"/>
      <c r="L522" s="602"/>
      <c r="M522" s="603"/>
      <c r="N522" s="588"/>
      <c r="O522" s="604"/>
      <c r="P522" s="605"/>
      <c r="Q522" s="588"/>
      <c r="R522" s="604"/>
      <c r="S522" s="605"/>
      <c r="T522" s="606"/>
      <c r="U522" s="606"/>
      <c r="V522" s="429" t="str">
        <f t="shared" si="668"/>
        <v/>
      </c>
      <c r="W522" s="430" t="str">
        <f t="shared" si="667"/>
        <v/>
      </c>
      <c r="X522" s="66" t="str">
        <f>IF(AND(ISNUMBER(P522),N522=FixedDim),MAX('Adjustment factors'!$S$16,0.2+0.8*P522),IF(ISTEXT(N522),VLOOKUP(N522,Afactors,2,TRUE),""))</f>
        <v/>
      </c>
      <c r="Y522" s="17" t="str">
        <f>IF(AND(ISNUMBER(S522),Q522=FixedDim),MAX('Adjustment factors'!$S$16,0.2+0.8*S522),IF(ISTEXT(Q522),VLOOKUP(Q522,Afactors,2,TRUE),""))</f>
        <v/>
      </c>
      <c r="Z522" s="297" t="str">
        <f>IF(ISBLANK(T522),"",VLOOKUP(T522,'Adjustment factors'!$R$27:$S$30,2,TRUE))</f>
        <v/>
      </c>
      <c r="AA522" s="297" t="str">
        <f>IF(ISBLANK(U522),"",VLOOKUP(U522,'Adjustment factors'!$R$27:$S$30,2,TRUE))</f>
        <v/>
      </c>
      <c r="AB522" s="480">
        <f t="shared" si="642"/>
        <v>1</v>
      </c>
      <c r="AC522" s="18" t="b">
        <f t="shared" si="599"/>
        <v>0</v>
      </c>
      <c r="AD522" s="18" t="b">
        <f t="shared" si="600"/>
        <v>0</v>
      </c>
      <c r="AE522" s="18" t="b">
        <f t="shared" si="664"/>
        <v>0</v>
      </c>
      <c r="AF522" s="17" t="str">
        <f t="shared" si="601"/>
        <v/>
      </c>
      <c r="AG522" s="18" t="str">
        <f t="shared" si="602"/>
        <v/>
      </c>
      <c r="AH522" s="17" t="str">
        <f t="shared" si="665"/>
        <v/>
      </c>
      <c r="AI522" s="297" t="e">
        <f t="shared" si="643"/>
        <v>#VALUE!</v>
      </c>
      <c r="AJ522" s="79" t="e">
        <f t="shared" si="603"/>
        <v>#VALUE!</v>
      </c>
      <c r="AK522" s="17" t="str">
        <f t="shared" si="666"/>
        <v/>
      </c>
      <c r="AL522" s="80" t="e">
        <f t="shared" si="604"/>
        <v>#VALUE!</v>
      </c>
      <c r="AM522" s="139" t="b">
        <f t="shared" si="605"/>
        <v>1</v>
      </c>
      <c r="AN522" s="139" t="b">
        <f>AND(COUNTA(E522)&gt;0,ISNUMBER(F522),OR(COUNT(G522:H522)=0,COUNT(G522:H522)=2,AND(ISNUMBER(G522),ISNUMBER(VALUE(LEFT(H522,SUM(LEN(H522)-LEN(SUBSTITUTE(H522,{"0","1","2","3","4","5","6","7","8","9","."},"")))))))),ISNUMBER(I522),ISTEXT(J522))</f>
        <v>0</v>
      </c>
      <c r="AO522" s="19" t="b">
        <f t="shared" si="606"/>
        <v>0</v>
      </c>
      <c r="AP522" s="19" t="b">
        <f t="shared" si="607"/>
        <v>1</v>
      </c>
      <c r="AQ522" s="19" t="b">
        <f>IF(AND(COUNTBLANK(E522:J522)=6,OR(AN523:AN$523)),NOT(AN522))</f>
        <v>0</v>
      </c>
      <c r="AR522" s="19" t="str">
        <f t="shared" si="608"/>
        <v/>
      </c>
      <c r="AS522" s="19" t="b">
        <f t="shared" si="609"/>
        <v>1</v>
      </c>
      <c r="AT522" s="19" t="str">
        <f t="shared" si="610"/>
        <v/>
      </c>
      <c r="AU522" s="19" t="b">
        <f t="shared" si="611"/>
        <v>1</v>
      </c>
      <c r="AV522" s="140" t="str">
        <f t="shared" si="648"/>
        <v/>
      </c>
      <c r="AW522" s="19" t="str">
        <f t="shared" si="612"/>
        <v/>
      </c>
      <c r="AX522" s="81">
        <f t="shared" si="613"/>
        <v>0</v>
      </c>
      <c r="AY522" s="81" t="str">
        <f t="shared" si="614"/>
        <v/>
      </c>
      <c r="AZ522" s="307" t="str">
        <f t="shared" si="644"/>
        <v/>
      </c>
      <c r="BA522" s="281" t="str">
        <f t="shared" si="649"/>
        <v/>
      </c>
      <c r="BB522" s="281" t="str">
        <f t="shared" si="650"/>
        <v/>
      </c>
      <c r="BC522" s="953"/>
      <c r="BD522" s="955"/>
      <c r="BE522" s="219" t="str">
        <f t="shared" si="615"/>
        <v>n/a</v>
      </c>
      <c r="BF522" s="215" t="b">
        <f t="shared" si="616"/>
        <v>0</v>
      </c>
      <c r="BG522" s="145" t="b">
        <f t="shared" si="617"/>
        <v>0</v>
      </c>
      <c r="BH522" s="145" t="b">
        <f t="shared" si="618"/>
        <v>0</v>
      </c>
      <c r="BI522" s="216" t="b">
        <f t="shared" si="619"/>
        <v>0</v>
      </c>
      <c r="BJ522" s="215" t="b">
        <f t="shared" si="620"/>
        <v>0</v>
      </c>
      <c r="BK522" s="145" t="b">
        <f t="shared" si="621"/>
        <v>0</v>
      </c>
      <c r="BL522" s="216" t="b">
        <f t="shared" si="622"/>
        <v>0</v>
      </c>
      <c r="BM522" s="217" t="str">
        <f t="shared" si="651"/>
        <v/>
      </c>
      <c r="BN522" s="146" t="str">
        <f t="shared" si="652"/>
        <v/>
      </c>
      <c r="BO522" s="147" t="str">
        <f t="shared" si="653"/>
        <v/>
      </c>
      <c r="BP522" s="148" t="str">
        <f t="shared" si="654"/>
        <v/>
      </c>
      <c r="BT522" s="50">
        <f t="shared" si="672"/>
        <v>499</v>
      </c>
      <c r="BU522" s="50" t="str">
        <f t="shared" si="669"/>
        <v>-</v>
      </c>
      <c r="BW522" s="340"/>
      <c r="BX522" s="333"/>
      <c r="BY522" s="333"/>
      <c r="BZ522" s="333"/>
      <c r="CA522" s="333"/>
      <c r="CB522" s="333"/>
      <c r="CC522" s="333"/>
      <c r="CD522" s="333"/>
      <c r="CE522" s="333"/>
      <c r="CF522" s="333"/>
      <c r="CG522" s="354">
        <f t="shared" si="623"/>
        <v>499</v>
      </c>
      <c r="CH522" s="613">
        <f t="shared" si="624"/>
        <v>0</v>
      </c>
      <c r="CI522" s="613">
        <f t="shared" si="625"/>
        <v>0</v>
      </c>
      <c r="CJ522" s="614" t="str">
        <f t="shared" si="626"/>
        <v/>
      </c>
      <c r="CK522" s="615" t="str">
        <f t="shared" si="627"/>
        <v/>
      </c>
      <c r="CL522" s="610" t="str">
        <f>IF(ISBLANK(H522),"",IF(AND(ISNUMBER(F522),ISNUMBER(G522),ISNUMBER(H522)),ROUND(F522/(H522*G522),2),ROUND(F522/(VALUE(LEFT(H522,SUM(LEN(H522)-LEN(SUBSTITUTE(H522,{"0","1","2","3","4","5","6","7","8","9","."},"")))))*G522),2)))</f>
        <v/>
      </c>
      <c r="CM522" s="616" t="str">
        <f t="shared" si="655"/>
        <v/>
      </c>
      <c r="CN522" s="616" t="str">
        <f>IF(ISNUMBER(P522),MAX('Adjustment factors'!$S$16,(0.2+0.8*P522)),IF(ISTEXT(N522),VLOOKUP(N522,Afactors,2,FALSE),""))</f>
        <v/>
      </c>
      <c r="CO522" s="616" t="str">
        <f>IF(ISNUMBER(S522),MAX('Adjustment factors'!$S$16,0.2+0.8*S522),IF(ISTEXT(Q522),VLOOKUP(Q522,Afactors,2,FALSE),""))</f>
        <v/>
      </c>
      <c r="CP522" s="611" t="str">
        <f t="shared" si="645"/>
        <v/>
      </c>
      <c r="CQ522" s="612" t="str">
        <f t="shared" si="646"/>
        <v/>
      </c>
      <c r="CR522" s="340"/>
      <c r="CS522" s="340"/>
      <c r="CT522" s="340"/>
      <c r="CU522" s="340"/>
      <c r="CV522" s="333"/>
      <c r="CW522" s="333"/>
      <c r="CX522" s="333"/>
      <c r="CY522" s="333"/>
      <c r="DA522" s="313" t="str">
        <f t="shared" si="628"/>
        <v>OK</v>
      </c>
      <c r="DB522" s="313" t="str">
        <f t="shared" si="629"/>
        <v>OK</v>
      </c>
      <c r="DC522" s="313" t="str">
        <f t="shared" si="630"/>
        <v>OK</v>
      </c>
      <c r="DD522" s="313" t="str">
        <f t="shared" si="631"/>
        <v>OK</v>
      </c>
      <c r="DE522" s="153" t="str">
        <f t="shared" si="632"/>
        <v>OK</v>
      </c>
      <c r="DF522" s="314" t="str">
        <f t="shared" si="633"/>
        <v>OK</v>
      </c>
      <c r="DG522" s="482" t="str">
        <f t="shared" si="647"/>
        <v>OK</v>
      </c>
      <c r="DH522" s="482" t="str">
        <f>IF(OR(AND(T522='Adjustment factors'!$R$28,'Class 3, 5-9'!U522='Adjustment factors'!$R$29),AND('Class 3, 5-9'!T522='Adjustment factors'!$R$29,'Class 3, 5-9'!U522='Adjustment factors'!$R$28)),"Invalid combination of adjustment factors",IF(AND(T522=U522,NOT(ISBLANK(T522)),NOT(ISBLANK(U522))),"Same colour factor selected twice","OK"))</f>
        <v>OK</v>
      </c>
      <c r="DI522" s="313" t="str">
        <f t="shared" si="634"/>
        <v>OK</v>
      </c>
      <c r="DJ522" s="153" t="str">
        <f t="shared" si="656"/>
        <v>OK</v>
      </c>
      <c r="DK522" s="153" t="str">
        <f t="shared" si="635"/>
        <v>OK</v>
      </c>
      <c r="DL522" s="313" t="str">
        <f t="shared" si="636"/>
        <v>OK</v>
      </c>
      <c r="DM522" s="153" t="str">
        <f t="shared" si="637"/>
        <v>OK</v>
      </c>
      <c r="DN522" s="153" t="str">
        <f t="shared" si="657"/>
        <v>OK</v>
      </c>
      <c r="DO522" s="154" t="str">
        <f t="shared" si="658"/>
        <v>OK</v>
      </c>
      <c r="DP522" s="153" t="str">
        <f t="shared" si="638"/>
        <v>OK</v>
      </c>
      <c r="DQ522" s="313" t="str">
        <f t="shared" si="639"/>
        <v>OK</v>
      </c>
      <c r="DR522" s="153" t="str">
        <f t="shared" si="659"/>
        <v>OK</v>
      </c>
      <c r="DS522" s="153" t="str">
        <f t="shared" si="640"/>
        <v>OK</v>
      </c>
      <c r="DT522" s="313" t="str">
        <f t="shared" si="671"/>
        <v>OK</v>
      </c>
      <c r="DU522" s="153" t="str">
        <f t="shared" si="641"/>
        <v>OK</v>
      </c>
      <c r="DV522" s="153" t="str">
        <f t="shared" si="660"/>
        <v>OK</v>
      </c>
      <c r="DW522" s="154" t="str">
        <f t="shared" si="661"/>
        <v>OK</v>
      </c>
      <c r="DX522" s="157">
        <f t="shared" si="662"/>
        <v>0</v>
      </c>
      <c r="DY522" s="156" t="str">
        <f t="shared" si="663"/>
        <v>OK</v>
      </c>
    </row>
    <row r="523" spans="1:129" ht="13" hidden="1" x14ac:dyDescent="0.3">
      <c r="A523" s="340"/>
      <c r="B523" s="418"/>
      <c r="C523" s="332" t="str">
        <f t="shared" si="670"/>
        <v>-</v>
      </c>
      <c r="D523" s="584">
        <f t="shared" si="673"/>
        <v>500</v>
      </c>
      <c r="E523" s="585"/>
      <c r="F523" s="586"/>
      <c r="G523" s="600"/>
      <c r="H523" s="587"/>
      <c r="I523" s="601"/>
      <c r="J523" s="585"/>
      <c r="K523" s="617"/>
      <c r="L523" s="602"/>
      <c r="M523" s="603"/>
      <c r="N523" s="588"/>
      <c r="O523" s="604"/>
      <c r="P523" s="605"/>
      <c r="Q523" s="588"/>
      <c r="R523" s="604"/>
      <c r="S523" s="605"/>
      <c r="T523" s="606"/>
      <c r="U523" s="606"/>
      <c r="V523" s="429" t="str">
        <f t="shared" si="668"/>
        <v/>
      </c>
      <c r="W523" s="430" t="str">
        <f t="shared" si="667"/>
        <v/>
      </c>
      <c r="X523" s="66" t="str">
        <f>IF(AND(ISNUMBER(P523),N523=FixedDim),MAX('Adjustment factors'!$S$16,0.2+0.8*P523),IF(ISTEXT(N523),VLOOKUP(N523,Afactors,2,TRUE),""))</f>
        <v/>
      </c>
      <c r="Y523" s="17" t="str">
        <f>IF(AND(ISNUMBER(S523),Q523=FixedDim),MAX('Adjustment factors'!$S$16,0.2+0.8*S523),IF(ISTEXT(Q523),VLOOKUP(Q523,Afactors,2,TRUE),""))</f>
        <v/>
      </c>
      <c r="Z523" s="297" t="str">
        <f>IF(ISBLANK(T523),"",VLOOKUP(T523,'Adjustment factors'!$R$27:$S$30,2,TRUE))</f>
        <v/>
      </c>
      <c r="AA523" s="297" t="str">
        <f>IF(ISBLANK(U523),"",VLOOKUP(U523,'Adjustment factors'!$R$27:$S$30,2,TRUE))</f>
        <v/>
      </c>
      <c r="AB523" s="480">
        <f t="shared" si="642"/>
        <v>1</v>
      </c>
      <c r="AC523" s="18" t="b">
        <f t="shared" si="599"/>
        <v>0</v>
      </c>
      <c r="AD523" s="18" t="b">
        <f t="shared" si="600"/>
        <v>0</v>
      </c>
      <c r="AE523" s="18" t="b">
        <f t="shared" si="664"/>
        <v>0</v>
      </c>
      <c r="AF523" s="17" t="str">
        <f t="shared" si="601"/>
        <v/>
      </c>
      <c r="AG523" s="18" t="str">
        <f t="shared" si="602"/>
        <v/>
      </c>
      <c r="AH523" s="17" t="str">
        <f t="shared" si="665"/>
        <v/>
      </c>
      <c r="AI523" s="297" t="e">
        <f t="shared" si="643"/>
        <v>#VALUE!</v>
      </c>
      <c r="AJ523" s="79" t="e">
        <f t="shared" si="603"/>
        <v>#VALUE!</v>
      </c>
      <c r="AK523" s="17" t="str">
        <f t="shared" si="666"/>
        <v/>
      </c>
      <c r="AL523" s="80" t="e">
        <f t="shared" si="604"/>
        <v>#VALUE!</v>
      </c>
      <c r="AM523" s="139" t="b">
        <f t="shared" si="605"/>
        <v>1</v>
      </c>
      <c r="AN523" s="139" t="b">
        <f>AND(COUNTA(E523)&gt;0,ISNUMBER(F523),OR(COUNT(G523:H523)=0,COUNT(G523:H523)=2,AND(ISNUMBER(G523),ISNUMBER(VALUE(LEFT(H523,SUM(LEN(H523)-LEN(SUBSTITUTE(H523,{"0","1","2","3","4","5","6","7","8","9","."},"")))))))),ISNUMBER(I523),ISTEXT(J523))</f>
        <v>0</v>
      </c>
      <c r="AO523" s="19" t="b">
        <f t="shared" si="606"/>
        <v>0</v>
      </c>
      <c r="AP523" s="19" t="b">
        <f t="shared" si="607"/>
        <v>1</v>
      </c>
      <c r="AQ523" s="19" t="b">
        <f>IF(AND(COUNTBLANK(E523:J523)=6,OR(AN$523:AN524)),NOT(AN523))</f>
        <v>0</v>
      </c>
      <c r="AR523" s="19" t="str">
        <f t="shared" si="608"/>
        <v/>
      </c>
      <c r="AS523" s="19" t="b">
        <f t="shared" si="609"/>
        <v>1</v>
      </c>
      <c r="AT523" s="19" t="str">
        <f t="shared" si="610"/>
        <v/>
      </c>
      <c r="AU523" s="19" t="b">
        <f t="shared" si="611"/>
        <v>1</v>
      </c>
      <c r="AV523" s="140" t="str">
        <f t="shared" si="648"/>
        <v/>
      </c>
      <c r="AW523" s="19" t="str">
        <f t="shared" si="612"/>
        <v/>
      </c>
      <c r="AX523" s="81">
        <f t="shared" si="613"/>
        <v>0</v>
      </c>
      <c r="AY523" s="81" t="str">
        <f t="shared" si="614"/>
        <v/>
      </c>
      <c r="AZ523" s="307" t="str">
        <f t="shared" si="644"/>
        <v/>
      </c>
      <c r="BA523" s="281" t="str">
        <f t="shared" si="649"/>
        <v/>
      </c>
      <c r="BB523" s="281" t="str">
        <f t="shared" si="650"/>
        <v/>
      </c>
      <c r="BC523" s="953"/>
      <c r="BD523" s="955"/>
      <c r="BE523" s="219" t="str">
        <f t="shared" si="615"/>
        <v>n/a</v>
      </c>
      <c r="BF523" s="215" t="b">
        <f t="shared" si="616"/>
        <v>0</v>
      </c>
      <c r="BG523" s="145" t="b">
        <f t="shared" si="617"/>
        <v>0</v>
      </c>
      <c r="BH523" s="145" t="b">
        <f t="shared" si="618"/>
        <v>0</v>
      </c>
      <c r="BI523" s="216" t="b">
        <f t="shared" si="619"/>
        <v>0</v>
      </c>
      <c r="BJ523" s="215" t="b">
        <f t="shared" si="620"/>
        <v>0</v>
      </c>
      <c r="BK523" s="145" t="b">
        <f t="shared" si="621"/>
        <v>0</v>
      </c>
      <c r="BL523" s="216" t="b">
        <f t="shared" si="622"/>
        <v>0</v>
      </c>
      <c r="BM523" s="217" t="str">
        <f t="shared" si="651"/>
        <v/>
      </c>
      <c r="BN523" s="146" t="str">
        <f t="shared" si="652"/>
        <v/>
      </c>
      <c r="BO523" s="147" t="str">
        <f t="shared" si="653"/>
        <v/>
      </c>
      <c r="BP523" s="148" t="str">
        <f t="shared" si="654"/>
        <v/>
      </c>
      <c r="BT523" s="50">
        <f t="shared" si="672"/>
        <v>500</v>
      </c>
      <c r="BU523" s="50" t="str">
        <f t="shared" si="669"/>
        <v>-</v>
      </c>
      <c r="BW523" s="340"/>
      <c r="BX523" s="333"/>
      <c r="BY523" s="333"/>
      <c r="BZ523" s="333"/>
      <c r="CA523" s="333"/>
      <c r="CB523" s="333"/>
      <c r="CC523" s="333"/>
      <c r="CD523" s="333"/>
      <c r="CE523" s="333"/>
      <c r="CF523" s="333"/>
      <c r="CG523" s="354">
        <f t="shared" si="623"/>
        <v>500</v>
      </c>
      <c r="CH523" s="613">
        <f t="shared" si="624"/>
        <v>0</v>
      </c>
      <c r="CI523" s="613">
        <f t="shared" si="625"/>
        <v>0</v>
      </c>
      <c r="CJ523" s="614" t="str">
        <f t="shared" si="626"/>
        <v/>
      </c>
      <c r="CK523" s="615" t="str">
        <f t="shared" si="627"/>
        <v/>
      </c>
      <c r="CL523" s="610" t="str">
        <f>IF(ISBLANK(H523),"",IF(AND(ISNUMBER(F523),ISNUMBER(G523),ISNUMBER(H523)),ROUND(F523/(H523*G523),2),ROUND(F523/(VALUE(LEFT(H523,SUM(LEN(H523)-LEN(SUBSTITUTE(H523,{"0","1","2","3","4","5","6","7","8","9","."},"")))))*G523),2)))</f>
        <v/>
      </c>
      <c r="CM523" s="616" t="str">
        <f t="shared" si="655"/>
        <v/>
      </c>
      <c r="CN523" s="616" t="str">
        <f>IF(ISNUMBER(P523),MAX('Adjustment factors'!$S$16,(0.2+0.8*P523)),IF(ISTEXT(N523),VLOOKUP(N523,Afactors,2,FALSE),""))</f>
        <v/>
      </c>
      <c r="CO523" s="616" t="str">
        <f>IF(ISNUMBER(S523),MAX('Adjustment factors'!$S$16,0.2+0.8*S523),IF(ISTEXT(Q523),VLOOKUP(Q523,Afactors,2,FALSE),""))</f>
        <v/>
      </c>
      <c r="CP523" s="611" t="str">
        <f t="shared" si="645"/>
        <v/>
      </c>
      <c r="CQ523" s="612" t="str">
        <f t="shared" si="646"/>
        <v/>
      </c>
      <c r="CR523" s="340"/>
      <c r="CS523" s="340"/>
      <c r="CT523" s="340"/>
      <c r="CU523" s="340"/>
      <c r="CV523" s="333"/>
      <c r="CW523" s="333"/>
      <c r="CX523" s="333"/>
      <c r="CY523" s="333"/>
      <c r="DA523" s="313" t="str">
        <f t="shared" si="628"/>
        <v>OK</v>
      </c>
      <c r="DB523" s="313" t="str">
        <f t="shared" si="629"/>
        <v>OK</v>
      </c>
      <c r="DC523" s="313" t="str">
        <f t="shared" si="630"/>
        <v>OK</v>
      </c>
      <c r="DD523" s="313" t="str">
        <f t="shared" si="631"/>
        <v>OK</v>
      </c>
      <c r="DE523" s="153" t="str">
        <f t="shared" si="632"/>
        <v>OK</v>
      </c>
      <c r="DF523" s="314" t="str">
        <f t="shared" si="633"/>
        <v>OK</v>
      </c>
      <c r="DG523" s="482" t="str">
        <f t="shared" si="647"/>
        <v>OK</v>
      </c>
      <c r="DH523" s="482" t="str">
        <f>IF(OR(AND(T523='Adjustment factors'!$R$28,'Class 3, 5-9'!U523='Adjustment factors'!$R$29),AND('Class 3, 5-9'!T523='Adjustment factors'!$R$29,'Class 3, 5-9'!U523='Adjustment factors'!$R$28)),"Invalid combination of adjustment factors",IF(AND(T523=U523,NOT(ISBLANK(T523)),NOT(ISBLANK(U523))),"Same colour factor selected twice","OK"))</f>
        <v>OK</v>
      </c>
      <c r="DI523" s="313" t="str">
        <f t="shared" si="634"/>
        <v>OK</v>
      </c>
      <c r="DJ523" s="153" t="str">
        <f t="shared" si="656"/>
        <v>OK</v>
      </c>
      <c r="DK523" s="153" t="str">
        <f t="shared" si="635"/>
        <v>OK</v>
      </c>
      <c r="DL523" s="313" t="str">
        <f t="shared" si="636"/>
        <v>OK</v>
      </c>
      <c r="DM523" s="153" t="str">
        <f t="shared" si="637"/>
        <v>OK</v>
      </c>
      <c r="DN523" s="153" t="str">
        <f t="shared" si="657"/>
        <v>OK</v>
      </c>
      <c r="DO523" s="154" t="str">
        <f t="shared" si="658"/>
        <v>OK</v>
      </c>
      <c r="DP523" s="153" t="str">
        <f t="shared" si="638"/>
        <v>OK</v>
      </c>
      <c r="DQ523" s="313" t="str">
        <f t="shared" si="639"/>
        <v>OK</v>
      </c>
      <c r="DR523" s="153" t="str">
        <f t="shared" si="659"/>
        <v>OK</v>
      </c>
      <c r="DS523" s="153" t="str">
        <f t="shared" si="640"/>
        <v>OK</v>
      </c>
      <c r="DT523" s="313" t="str">
        <f t="shared" si="671"/>
        <v>OK</v>
      </c>
      <c r="DU523" s="153" t="str">
        <f t="shared" si="641"/>
        <v>OK</v>
      </c>
      <c r="DV523" s="153" t="str">
        <f t="shared" si="660"/>
        <v>OK</v>
      </c>
      <c r="DW523" s="154" t="str">
        <f t="shared" si="661"/>
        <v>OK</v>
      </c>
      <c r="DX523" s="157">
        <f t="shared" si="662"/>
        <v>0</v>
      </c>
      <c r="DY523" s="156" t="str">
        <f t="shared" si="663"/>
        <v>OK</v>
      </c>
    </row>
    <row r="524" spans="1:129" s="75" customFormat="1" ht="17.5" x14ac:dyDescent="0.25">
      <c r="A524" s="340"/>
      <c r="B524" s="340"/>
      <c r="C524" s="342"/>
      <c r="D524" s="343"/>
      <c r="E524" s="337"/>
      <c r="F524" s="344"/>
      <c r="G524" s="533"/>
      <c r="H524" s="534"/>
      <c r="I524" s="527"/>
      <c r="J524" s="516"/>
      <c r="K524" s="53"/>
      <c r="L524" s="516"/>
      <c r="M524" s="536"/>
      <c r="N524" s="537"/>
      <c r="O524" s="532"/>
      <c r="P524" s="538"/>
      <c r="Q524" s="537"/>
      <c r="R524" s="537"/>
      <c r="S524" s="537"/>
      <c r="T524" s="539"/>
      <c r="U524" s="532"/>
      <c r="V524" s="540"/>
      <c r="W524" s="540"/>
      <c r="X524" s="282"/>
      <c r="Y524" s="55"/>
      <c r="Z524" s="55"/>
      <c r="AA524" s="7"/>
      <c r="AB524" s="7"/>
      <c r="AC524" s="7"/>
      <c r="AD524" s="7"/>
      <c r="AE524" s="55"/>
      <c r="AF524" s="55"/>
      <c r="AG524" s="7"/>
      <c r="AH524" s="55"/>
      <c r="AI524" s="297"/>
      <c r="AJ524" s="55"/>
      <c r="AK524" s="104"/>
      <c r="AL524" s="7"/>
      <c r="AM524" s="7"/>
      <c r="AN524" s="7"/>
      <c r="AO524" s="7"/>
      <c r="AP524" s="7"/>
      <c r="AQ524" s="7"/>
      <c r="AR524" s="7"/>
      <c r="AS524" s="19"/>
      <c r="AT524" s="7"/>
      <c r="AU524" s="7"/>
      <c r="AV524" s="7"/>
      <c r="AW524" s="55"/>
      <c r="AX524" s="55"/>
      <c r="AY524" s="285"/>
      <c r="AZ524" s="285"/>
      <c r="BA524" s="285"/>
      <c r="BB524" s="54"/>
      <c r="BC524" s="54"/>
      <c r="BD524" s="102"/>
      <c r="BE524" s="102"/>
      <c r="BF524" s="102"/>
      <c r="BG524" s="102"/>
      <c r="BH524" s="102"/>
      <c r="BI524" s="102"/>
      <c r="BJ524" s="102"/>
      <c r="BK524" s="102"/>
      <c r="BL524" s="105"/>
      <c r="BM524" s="106"/>
      <c r="BN524" s="107"/>
      <c r="BO524" s="108"/>
      <c r="BV524" s="56"/>
      <c r="BW524" s="340"/>
      <c r="BX524" s="333"/>
      <c r="BY524" s="333"/>
      <c r="BZ524" s="333"/>
      <c r="CA524" s="333"/>
      <c r="CB524" s="333"/>
      <c r="CC524" s="333"/>
      <c r="CD524" s="333"/>
      <c r="CE524" s="333"/>
      <c r="CF524" s="333"/>
      <c r="CG524" s="355"/>
      <c r="CH524" s="340"/>
      <c r="CI524" s="338"/>
      <c r="CJ524" s="356"/>
      <c r="CK524" s="357"/>
      <c r="CL524" s="356"/>
      <c r="CM524" s="358"/>
      <c r="CN524" s="358"/>
      <c r="CO524" s="358"/>
      <c r="CP524" s="358"/>
      <c r="CQ524" s="357"/>
      <c r="CR524" s="340"/>
      <c r="CS524" s="340"/>
      <c r="CT524" s="340"/>
      <c r="CU524" s="340"/>
      <c r="CV524" s="333"/>
      <c r="CW524" s="333"/>
      <c r="CX524" s="333"/>
      <c r="CY524" s="333"/>
    </row>
    <row r="525" spans="1:129" s="75" customFormat="1" ht="18" x14ac:dyDescent="0.35">
      <c r="A525" s="340"/>
      <c r="B525" s="340"/>
      <c r="C525" s="342"/>
      <c r="D525" s="343"/>
      <c r="E525" s="337"/>
      <c r="F525" s="344"/>
      <c r="G525" s="533"/>
      <c r="H525" s="727" t="s">
        <v>23</v>
      </c>
      <c r="I525" s="535" t="str">
        <f>IF(COUNTA(I24:I523)=0,"",SUM(I24:I523))</f>
        <v/>
      </c>
      <c r="J525" s="516"/>
      <c r="K525" s="53"/>
      <c r="L525" s="516"/>
      <c r="M525" s="536"/>
      <c r="N525" s="537"/>
      <c r="O525" s="532"/>
      <c r="P525" s="538"/>
      <c r="Q525" s="537"/>
      <c r="R525" s="495"/>
      <c r="S525" s="495"/>
      <c r="T525" s="495"/>
      <c r="U525" s="728" t="s">
        <v>23</v>
      </c>
      <c r="V525" s="541" t="str">
        <f>IF(P566,SUM(V24:V523),"")</f>
        <v/>
      </c>
      <c r="W525" s="540"/>
      <c r="X525" s="55"/>
      <c r="Z525" s="7"/>
      <c r="AA525" s="7"/>
      <c r="AB525" s="55"/>
      <c r="AC525" s="55"/>
      <c r="AD525" s="55"/>
      <c r="AE525" s="7"/>
      <c r="AF525" s="55"/>
      <c r="AG525" s="103"/>
      <c r="AH525" s="55"/>
      <c r="AI525" s="104"/>
      <c r="AJ525" s="7"/>
      <c r="AK525" s="7"/>
      <c r="AL525" s="7"/>
      <c r="AM525" s="7"/>
      <c r="AN525" s="7"/>
      <c r="AO525" s="7"/>
      <c r="AP525" s="7"/>
      <c r="AQ525" s="7"/>
      <c r="AR525" s="7"/>
      <c r="AS525" s="7"/>
      <c r="AT525" s="7"/>
      <c r="AU525" s="55"/>
      <c r="AV525" s="55"/>
      <c r="AW525" s="285"/>
      <c r="AX525" s="285"/>
      <c r="AY525" s="285"/>
      <c r="AZ525" s="54"/>
      <c r="BA525" s="124"/>
      <c r="BB525" s="102"/>
      <c r="BC525" s="102"/>
      <c r="BD525" s="102"/>
      <c r="BE525" s="102"/>
      <c r="BF525" s="102"/>
      <c r="BG525" s="102"/>
      <c r="BH525" s="102"/>
      <c r="BI525" s="102"/>
      <c r="BJ525" s="105"/>
      <c r="BK525" s="106"/>
      <c r="BL525" s="107"/>
      <c r="BM525" s="108"/>
      <c r="BS525" s="56"/>
      <c r="BT525" s="56"/>
      <c r="BU525" s="56"/>
      <c r="BW525" s="340"/>
      <c r="BX525" s="333"/>
      <c r="BY525" s="333"/>
      <c r="BZ525" s="333"/>
      <c r="CA525" s="333"/>
      <c r="CB525" s="333"/>
      <c r="CC525" s="333"/>
      <c r="CD525" s="333"/>
      <c r="CE525" s="333"/>
      <c r="CF525" s="333"/>
      <c r="CG525" s="355"/>
      <c r="CH525" s="340"/>
      <c r="CI525" s="338"/>
      <c r="CJ525" s="356"/>
      <c r="CK525" s="357"/>
      <c r="CL525" s="356"/>
      <c r="CM525" s="358"/>
      <c r="CN525" s="358"/>
      <c r="CO525" s="358"/>
      <c r="CP525" s="358"/>
      <c r="CQ525" s="357"/>
      <c r="CR525" s="340"/>
      <c r="CS525" s="340"/>
      <c r="CT525" s="340"/>
      <c r="CU525" s="340"/>
      <c r="CV525" s="333"/>
      <c r="CW525" s="333"/>
      <c r="CX525" s="333"/>
      <c r="CY525" s="333"/>
    </row>
    <row r="526" spans="1:129" ht="17.5" x14ac:dyDescent="0.35">
      <c r="A526" s="340"/>
      <c r="B526" s="340"/>
      <c r="C526" s="342"/>
      <c r="D526" s="343"/>
      <c r="E526" s="345"/>
      <c r="F526" s="345"/>
      <c r="G526" s="514"/>
      <c r="H526" s="526"/>
      <c r="I526" s="514"/>
      <c r="J526" s="516"/>
      <c r="K526" s="7"/>
      <c r="L526" s="516"/>
      <c r="M526" s="516"/>
      <c r="N526" s="517"/>
      <c r="O526" s="532"/>
      <c r="P526" s="516"/>
      <c r="Q526" s="516"/>
      <c r="R526" s="497"/>
      <c r="S526" s="497"/>
      <c r="T526" s="497"/>
      <c r="U526" s="532"/>
      <c r="V526" s="532"/>
      <c r="W526" s="542"/>
      <c r="X526" s="7"/>
      <c r="Y526" s="7"/>
      <c r="Z526" s="7"/>
      <c r="AA526" s="7"/>
      <c r="AB526" s="7"/>
      <c r="AC526" s="7"/>
      <c r="AD526" s="7"/>
      <c r="AE526" s="7"/>
      <c r="AF526" s="7"/>
      <c r="AG526" s="55"/>
      <c r="AH526" s="55"/>
      <c r="AI526" s="55"/>
      <c r="AJ526" s="6"/>
      <c r="AK526" s="11"/>
      <c r="AL526" s="11"/>
      <c r="AM526" s="11"/>
      <c r="AN526" s="11"/>
      <c r="AO526" s="11"/>
      <c r="AP526" s="11"/>
      <c r="AQ526" s="11"/>
      <c r="AR526" s="11"/>
      <c r="AS526" s="11"/>
      <c r="AT526" s="11"/>
      <c r="AU526" s="52"/>
      <c r="AV526" s="52"/>
      <c r="AW526" s="278"/>
      <c r="AX526" s="278"/>
      <c r="AY526" s="278"/>
      <c r="AZ526" s="52"/>
      <c r="BA526" s="52"/>
      <c r="BB526" s="52"/>
      <c r="BC526" s="52"/>
      <c r="BD526" s="52"/>
      <c r="BE526" s="52"/>
      <c r="BF526" s="52"/>
      <c r="BG526" s="52"/>
      <c r="BH526" s="52"/>
      <c r="BI526" s="52"/>
      <c r="BJ526" s="51"/>
      <c r="BK526" s="92"/>
      <c r="BL526" s="51"/>
      <c r="BM526" s="6"/>
      <c r="BS526" s="56"/>
      <c r="BT526" s="56"/>
      <c r="BU526" s="56"/>
      <c r="BW526" s="333"/>
      <c r="BX526" s="333"/>
      <c r="BY526" s="333"/>
      <c r="BZ526" s="333"/>
      <c r="CA526" s="333"/>
      <c r="CB526" s="333"/>
      <c r="CC526" s="333"/>
      <c r="CD526" s="333"/>
      <c r="CE526" s="333"/>
      <c r="CF526" s="333"/>
      <c r="CG526" s="333"/>
      <c r="CH526" s="333"/>
      <c r="CI526" s="333"/>
      <c r="CJ526" s="333"/>
      <c r="CK526" s="333"/>
      <c r="CL526" s="333"/>
      <c r="CM526" s="333"/>
      <c r="CN526" s="333"/>
      <c r="CO526" s="333"/>
      <c r="CP526" s="333"/>
      <c r="CQ526" s="333"/>
      <c r="CR526" s="340"/>
      <c r="CS526" s="340"/>
      <c r="CT526" s="340"/>
      <c r="CU526" s="333"/>
      <c r="CV526" s="333"/>
      <c r="CW526" s="333"/>
      <c r="CX526" s="333"/>
      <c r="CY526" s="333"/>
    </row>
    <row r="527" spans="1:129" ht="81.75" customHeight="1" x14ac:dyDescent="0.35">
      <c r="A527" s="340"/>
      <c r="B527" s="340"/>
      <c r="C527" s="346"/>
      <c r="D527" s="347"/>
      <c r="E527" s="905" t="str">
        <f>IF(FailCom,"The NCC offers pathways for a building to comply other than the Deemed-to-Satisfy provisions." &amp; " Consider using a Performance Solution or Verification Method. Verification Method JV3 allows for energy to be traded between services, so it may be possible to release additional energy for lighting from another service." &amp; " This option should be discussed with other services trades as early in the project's design cycle as plausible.","")</f>
        <v/>
      </c>
      <c r="F527" s="905"/>
      <c r="G527" s="905"/>
      <c r="H527" s="905"/>
      <c r="I527" s="905"/>
      <c r="J527" s="905"/>
      <c r="K527" s="905"/>
      <c r="L527" s="905"/>
      <c r="M527" s="905"/>
      <c r="N527" s="905"/>
      <c r="O527" s="905"/>
      <c r="P527" s="905"/>
      <c r="Q527" s="905"/>
      <c r="R527" s="905"/>
      <c r="S527" s="905"/>
      <c r="T527" s="497"/>
      <c r="U527" s="543"/>
      <c r="V527" s="528" t="str">
        <f>IF(AND(COUNTA(E24:S523)&gt;0,P566),"if inputs are valid","")</f>
        <v/>
      </c>
      <c r="W527" s="570" t="str">
        <f>IF(AND(Passcheck,MIPDLONE&gt;0,P566),"ü",IF(AND(MIPDLONE&gt;0,P566),"û",""))</f>
        <v/>
      </c>
      <c r="X527" s="57"/>
      <c r="Y527" s="57"/>
      <c r="Z527" s="57"/>
      <c r="AA527" s="57"/>
      <c r="AB527" s="57"/>
      <c r="AC527" s="57"/>
      <c r="AD527" s="57"/>
      <c r="AE527" s="57"/>
      <c r="AF527" s="57"/>
      <c r="AG527" s="57"/>
      <c r="AH527" s="55"/>
      <c r="AI527" s="55"/>
      <c r="AJ527" s="6"/>
      <c r="AK527" s="11"/>
      <c r="AL527" s="11"/>
      <c r="AM527" s="11"/>
      <c r="AN527" s="11"/>
      <c r="AO527" s="11"/>
      <c r="AP527" s="11"/>
      <c r="AQ527" s="11"/>
      <c r="AR527" s="11"/>
      <c r="AS527" s="11"/>
      <c r="AT527" s="11"/>
      <c r="AU527" s="52"/>
      <c r="AV527" s="52"/>
      <c r="AW527" s="278"/>
      <c r="AX527" s="278"/>
      <c r="AY527" s="278"/>
      <c r="AZ527" s="52"/>
      <c r="BA527" s="52"/>
      <c r="BB527" s="52"/>
      <c r="BC527" s="52"/>
      <c r="BD527" s="52"/>
      <c r="BE527" s="52"/>
      <c r="BF527" s="52"/>
      <c r="BG527" s="52"/>
      <c r="BH527" s="52"/>
      <c r="BI527" s="52"/>
      <c r="BJ527" s="51"/>
      <c r="BK527" s="92"/>
      <c r="BL527" s="51"/>
      <c r="BM527" s="6"/>
      <c r="BS527" s="56"/>
      <c r="BT527" s="56"/>
      <c r="BU527" s="56"/>
      <c r="BW527" s="333"/>
      <c r="BX527" s="333"/>
      <c r="BY527" s="333"/>
      <c r="BZ527" s="333"/>
      <c r="CA527" s="333"/>
      <c r="CB527" s="333"/>
      <c r="CC527" s="333"/>
      <c r="CD527" s="333"/>
      <c r="CE527" s="333"/>
      <c r="CF527" s="333"/>
      <c r="CG527" s="333"/>
      <c r="CH527" s="333"/>
      <c r="CI527" s="333"/>
      <c r="CJ527" s="333"/>
      <c r="CK527" s="333"/>
      <c r="CL527" s="333"/>
      <c r="CM527" s="333"/>
      <c r="CN527" s="333"/>
      <c r="CO527" s="333"/>
      <c r="CP527" s="333"/>
      <c r="CQ527" s="340"/>
      <c r="CR527" s="340"/>
      <c r="CS527" s="340"/>
      <c r="CT527" s="340"/>
      <c r="CU527" s="333"/>
      <c r="CV527" s="333"/>
      <c r="CW527" s="333"/>
      <c r="CX527" s="333"/>
      <c r="CY527" s="333"/>
    </row>
    <row r="528" spans="1:129" ht="12.75" customHeight="1" x14ac:dyDescent="0.35">
      <c r="A528" s="340"/>
      <c r="B528" s="340"/>
      <c r="C528" s="346"/>
      <c r="D528" s="347"/>
      <c r="E528" s="347"/>
      <c r="F528" s="347"/>
      <c r="G528" s="347"/>
      <c r="H528" s="347"/>
      <c r="I528" s="347"/>
      <c r="J528" s="347"/>
      <c r="K528" s="288"/>
      <c r="L528" s="347"/>
      <c r="M528" s="347"/>
      <c r="N528" s="347"/>
      <c r="O528" s="347"/>
      <c r="P528" s="347"/>
      <c r="Q528" s="347"/>
      <c r="R528" s="347"/>
      <c r="S528" s="347"/>
      <c r="T528" s="349"/>
      <c r="U528" s="350"/>
      <c r="V528" s="341"/>
      <c r="W528" s="474"/>
      <c r="X528" s="57"/>
      <c r="Y528" s="57"/>
      <c r="Z528" s="57"/>
      <c r="AA528" s="57"/>
      <c r="AB528" s="57"/>
      <c r="AC528" s="57"/>
      <c r="AD528" s="57"/>
      <c r="AE528" s="57"/>
      <c r="AF528" s="57"/>
      <c r="AG528" s="57"/>
      <c r="AH528" s="55"/>
      <c r="AI528" s="55"/>
      <c r="AJ528" s="6"/>
      <c r="AK528" s="11"/>
      <c r="AL528" s="11"/>
      <c r="AM528" s="11"/>
      <c r="AN528" s="11"/>
      <c r="AO528" s="11"/>
      <c r="AP528" s="11"/>
      <c r="AQ528" s="11"/>
      <c r="AR528" s="11"/>
      <c r="AS528" s="11"/>
      <c r="AT528" s="11"/>
      <c r="AU528" s="52"/>
      <c r="AV528" s="52"/>
      <c r="AW528" s="278"/>
      <c r="AX528" s="278"/>
      <c r="AY528" s="278"/>
      <c r="AZ528" s="52"/>
      <c r="BA528" s="52"/>
      <c r="BB528" s="52"/>
      <c r="BC528" s="52"/>
      <c r="BD528" s="52"/>
      <c r="BE528" s="52"/>
      <c r="BF528" s="52"/>
      <c r="BG528" s="52"/>
      <c r="BH528" s="52"/>
      <c r="BI528" s="52"/>
      <c r="BJ528" s="51"/>
      <c r="BK528" s="92"/>
      <c r="BL528" s="51"/>
      <c r="BM528" s="6"/>
      <c r="BS528" s="56"/>
      <c r="BT528" s="56"/>
      <c r="BU528" s="56"/>
      <c r="BW528" s="333"/>
      <c r="BX528" s="333"/>
      <c r="BY528" s="333"/>
      <c r="BZ528" s="333"/>
      <c r="CA528" s="333"/>
      <c r="CB528" s="333"/>
      <c r="CC528" s="333"/>
      <c r="CD528" s="333"/>
      <c r="CE528" s="333"/>
      <c r="CF528" s="333"/>
      <c r="CG528" s="333"/>
      <c r="CH528" s="333"/>
      <c r="CI528" s="333"/>
      <c r="CJ528" s="333"/>
      <c r="CK528" s="333"/>
      <c r="CL528" s="333"/>
      <c r="CM528" s="333"/>
      <c r="CN528" s="333"/>
      <c r="CO528" s="333"/>
      <c r="CP528" s="333"/>
      <c r="CQ528" s="340"/>
      <c r="CR528" s="340"/>
      <c r="CS528" s="340"/>
      <c r="CT528" s="340"/>
      <c r="CU528" s="333"/>
      <c r="CV528" s="333"/>
      <c r="CW528" s="333"/>
      <c r="CX528" s="333"/>
      <c r="CY528" s="333"/>
    </row>
    <row r="529" spans="1:112" x14ac:dyDescent="0.25">
      <c r="B529" s="333"/>
      <c r="C529" s="674" t="s">
        <v>490</v>
      </c>
      <c r="D529" s="674"/>
      <c r="E529" s="674"/>
      <c r="F529" s="674"/>
      <c r="G529" s="674"/>
      <c r="H529" s="674"/>
      <c r="I529" s="674"/>
      <c r="J529" s="549"/>
      <c r="K529" s="476"/>
      <c r="L529" s="549"/>
      <c r="M529" s="549"/>
      <c r="N529" s="549"/>
      <c r="O529" s="549"/>
      <c r="P529" s="549"/>
      <c r="Q529" s="549"/>
      <c r="R529" s="549"/>
      <c r="S529" s="549"/>
      <c r="T529" s="549"/>
      <c r="U529" s="549"/>
      <c r="V529" s="549"/>
      <c r="W529" s="549"/>
      <c r="X529" s="476"/>
      <c r="Y529" s="476"/>
      <c r="Z529" s="476"/>
      <c r="AA529" s="476"/>
      <c r="AB529" s="476"/>
      <c r="AC529" s="476"/>
      <c r="AD529" s="476"/>
      <c r="AE529" s="476"/>
      <c r="AF529" s="476"/>
      <c r="AG529" s="476"/>
      <c r="AH529" s="476"/>
      <c r="AI529" s="476"/>
      <c r="AJ529" s="476"/>
      <c r="AK529" s="476"/>
      <c r="AL529" s="476"/>
      <c r="AM529" s="476"/>
      <c r="AN529" s="476"/>
      <c r="AO529" s="476"/>
      <c r="AP529" s="476"/>
      <c r="AQ529" s="476"/>
      <c r="AR529" s="476"/>
      <c r="AS529" s="476"/>
      <c r="AT529" s="476"/>
      <c r="AU529" s="476"/>
      <c r="AV529" s="476"/>
      <c r="AW529" s="476"/>
      <c r="AX529" s="476"/>
      <c r="AY529" s="476"/>
      <c r="AZ529" s="476"/>
      <c r="BA529" s="476"/>
      <c r="BB529" s="476"/>
      <c r="BC529" s="476"/>
      <c r="BD529" s="476"/>
      <c r="BE529" s="476"/>
      <c r="BF529" s="476"/>
      <c r="BG529" s="476"/>
      <c r="BH529" s="476"/>
      <c r="BI529" s="476"/>
      <c r="BJ529" s="476"/>
      <c r="BK529" s="476"/>
      <c r="BL529" s="476"/>
      <c r="BM529" s="476"/>
      <c r="BN529" s="476"/>
      <c r="BO529" s="476"/>
      <c r="BP529" s="476"/>
      <c r="BQ529" s="476"/>
      <c r="BR529" s="476"/>
      <c r="BS529" s="476"/>
      <c r="BT529" s="476"/>
      <c r="BU529" s="476"/>
      <c r="BV529" s="476"/>
      <c r="BW529" s="333"/>
      <c r="BX529" s="333"/>
      <c r="BY529" s="333"/>
      <c r="BZ529" s="333"/>
      <c r="CA529" s="333"/>
      <c r="CB529" s="333"/>
      <c r="CC529" s="333"/>
      <c r="CD529" s="333"/>
      <c r="CE529" s="333"/>
      <c r="CF529" s="333"/>
      <c r="CG529" s="333"/>
      <c r="CH529" s="333"/>
      <c r="CI529" s="333"/>
      <c r="CJ529" s="333"/>
      <c r="CK529" s="333"/>
      <c r="CL529" s="333"/>
      <c r="CM529" s="333"/>
      <c r="CN529" s="333"/>
      <c r="CO529" s="333"/>
      <c r="CP529" s="333"/>
      <c r="CQ529" s="333"/>
      <c r="CR529" s="333"/>
      <c r="CS529" s="333"/>
      <c r="CT529" s="333"/>
      <c r="CU529" s="333"/>
      <c r="CV529" s="333"/>
      <c r="CW529" s="333"/>
      <c r="CX529" s="333"/>
      <c r="CY529" s="333"/>
    </row>
    <row r="530" spans="1:112" ht="14" x14ac:dyDescent="0.3">
      <c r="B530" s="333"/>
      <c r="C530" s="324"/>
      <c r="D530" s="767"/>
      <c r="E530" s="767"/>
      <c r="F530" s="767"/>
      <c r="G530" s="325"/>
      <c r="H530" s="325"/>
      <c r="I530" s="325"/>
      <c r="J530" s="326"/>
      <c r="K530" s="326"/>
      <c r="L530" s="326"/>
      <c r="M530" s="326"/>
      <c r="N530" s="326"/>
      <c r="O530" s="326"/>
      <c r="P530" s="326"/>
      <c r="Q530" s="326"/>
      <c r="R530" s="326"/>
      <c r="S530" s="326"/>
      <c r="T530" s="326"/>
      <c r="U530" s="326"/>
      <c r="V530" s="326"/>
      <c r="W530" s="326"/>
      <c r="X530" s="326"/>
      <c r="Y530" s="7"/>
      <c r="Z530" s="7"/>
      <c r="AA530" s="7"/>
      <c r="AB530" s="7"/>
      <c r="AC530" s="7"/>
      <c r="AD530" s="7"/>
      <c r="AE530" s="7"/>
      <c r="AF530" s="7"/>
      <c r="AG530" s="7"/>
      <c r="AH530" s="22"/>
      <c r="AI530" s="22"/>
      <c r="AJ530" s="7"/>
      <c r="AK530" s="23"/>
      <c r="AV530" s="24"/>
      <c r="AW530" s="24"/>
      <c r="AX530" s="279"/>
      <c r="AY530" s="279"/>
      <c r="AZ530" s="279"/>
      <c r="BA530" s="24"/>
      <c r="BB530" s="109" t="str">
        <f>IF(AND(BD24,RowsPreferredOne=BT21),"Advisory Note","")</f>
        <v>Advisory Note</v>
      </c>
      <c r="BC530" s="158" t="s">
        <v>283</v>
      </c>
      <c r="BD530" s="24"/>
      <c r="BE530" s="24"/>
      <c r="BF530" s="24"/>
      <c r="BG530" s="24"/>
      <c r="BH530" s="24"/>
      <c r="BI530" s="24"/>
      <c r="BJ530" s="24"/>
      <c r="BK530" s="25"/>
      <c r="BM530" s="25"/>
      <c r="BW530" s="333"/>
      <c r="BX530" s="333"/>
      <c r="BY530" s="333"/>
      <c r="BZ530" s="333"/>
      <c r="CA530" s="333"/>
      <c r="CB530" s="333"/>
      <c r="CC530" s="333"/>
      <c r="CD530" s="333"/>
      <c r="CE530" s="333"/>
      <c r="CF530" s="333"/>
      <c r="CG530" s="333"/>
      <c r="CH530" s="333"/>
      <c r="CI530" s="333"/>
      <c r="CJ530" s="333"/>
      <c r="CK530" s="333"/>
      <c r="CL530" s="333"/>
      <c r="CM530" s="333"/>
      <c r="CN530" s="333"/>
      <c r="CO530" s="333"/>
      <c r="CP530" s="333"/>
      <c r="CQ530" s="333"/>
      <c r="CR530" s="333"/>
      <c r="CS530" s="333"/>
      <c r="CT530" s="333"/>
      <c r="CU530" s="333"/>
      <c r="CV530" s="333"/>
      <c r="CW530" s="333"/>
      <c r="CX530" s="333"/>
      <c r="CY530" s="333"/>
    </row>
    <row r="531" spans="1:112" ht="14" x14ac:dyDescent="0.3">
      <c r="B531" s="333"/>
      <c r="C531" s="324"/>
      <c r="D531" s="324"/>
      <c r="E531" s="327"/>
      <c r="F531" s="324"/>
      <c r="G531" s="324"/>
      <c r="H531" s="324"/>
      <c r="I531" s="324"/>
      <c r="J531" s="326"/>
      <c r="K531" s="326"/>
      <c r="L531" s="326"/>
      <c r="M531" s="326"/>
      <c r="N531" s="326"/>
      <c r="O531" s="326"/>
      <c r="P531" s="326"/>
      <c r="Q531" s="326"/>
      <c r="R531" s="326"/>
      <c r="S531" s="326"/>
      <c r="T531" s="326"/>
      <c r="U531" s="326"/>
      <c r="V531" s="326"/>
      <c r="W531" s="326"/>
      <c r="X531" s="326"/>
      <c r="Y531" s="7"/>
      <c r="Z531" s="7"/>
      <c r="AA531" s="7"/>
      <c r="AB531" s="7"/>
      <c r="AC531" s="7"/>
      <c r="AD531" s="7"/>
      <c r="AE531" s="7"/>
      <c r="AF531" s="7"/>
      <c r="AG531" s="7"/>
      <c r="AH531" s="22"/>
      <c r="AI531" s="22"/>
      <c r="AJ531" s="7"/>
      <c r="AK531" s="23"/>
      <c r="AV531" s="24"/>
      <c r="AW531" s="24"/>
      <c r="AX531" s="279"/>
      <c r="AY531" s="279"/>
      <c r="AZ531" s="279"/>
      <c r="BA531" s="24"/>
      <c r="BB531" s="109"/>
      <c r="BC531" s="158"/>
      <c r="BD531" s="24"/>
      <c r="BE531" s="24"/>
      <c r="BF531" s="24"/>
      <c r="BG531" s="24"/>
      <c r="BH531" s="24"/>
      <c r="BI531" s="24"/>
      <c r="BJ531" s="24"/>
      <c r="BK531" s="25"/>
      <c r="BM531" s="25"/>
      <c r="BW531" s="333"/>
      <c r="BX531" s="333"/>
      <c r="BY531" s="333"/>
      <c r="BZ531" s="333"/>
      <c r="CA531" s="333"/>
      <c r="CB531" s="333"/>
      <c r="CC531" s="333"/>
      <c r="CD531" s="333"/>
      <c r="CE531" s="333"/>
      <c r="CF531" s="333"/>
      <c r="CG531" s="333"/>
      <c r="CH531" s="333"/>
      <c r="CI531" s="333"/>
      <c r="CJ531" s="333"/>
      <c r="CK531" s="333"/>
      <c r="CL531" s="333"/>
      <c r="CM531" s="333"/>
      <c r="CN531" s="333"/>
      <c r="CO531" s="333"/>
      <c r="CP531" s="333"/>
      <c r="CQ531" s="333"/>
      <c r="CR531" s="333"/>
      <c r="CS531" s="333"/>
      <c r="CT531" s="333"/>
      <c r="CU531" s="333"/>
      <c r="CV531" s="333"/>
      <c r="CW531" s="333"/>
      <c r="CX531" s="333"/>
      <c r="CY531" s="333"/>
    </row>
    <row r="532" spans="1:112" ht="13" x14ac:dyDescent="0.3">
      <c r="B532" s="333"/>
      <c r="C532" s="326"/>
      <c r="D532" s="326"/>
      <c r="E532" s="326"/>
      <c r="F532" s="326"/>
      <c r="G532" s="326"/>
      <c r="H532" s="326"/>
      <c r="I532" s="326"/>
      <c r="J532" s="326"/>
      <c r="K532" s="326"/>
      <c r="L532" s="326"/>
      <c r="M532" s="326"/>
      <c r="N532" s="326"/>
      <c r="O532" s="326"/>
      <c r="P532" s="326"/>
      <c r="Q532" s="326"/>
      <c r="R532" s="326"/>
      <c r="S532" s="326"/>
      <c r="T532" s="326"/>
      <c r="U532" s="326"/>
      <c r="V532" s="326"/>
      <c r="W532" s="326"/>
      <c r="X532" s="326"/>
      <c r="Y532" s="7"/>
      <c r="Z532" s="7"/>
      <c r="AA532" s="7"/>
      <c r="AB532" s="7"/>
      <c r="AC532" s="7"/>
      <c r="AD532" s="7"/>
      <c r="AE532" s="7"/>
      <c r="AF532" s="7"/>
      <c r="AG532" s="7"/>
      <c r="AH532" s="22"/>
      <c r="AI532" s="22"/>
      <c r="AJ532" s="7"/>
      <c r="AK532" s="23"/>
      <c r="AV532" s="24"/>
      <c r="AW532" s="24"/>
      <c r="AX532" s="279"/>
      <c r="AY532" s="279"/>
      <c r="AZ532" s="279"/>
      <c r="BA532" s="24"/>
      <c r="BB532" s="109"/>
      <c r="BC532" s="158"/>
      <c r="BD532" s="24"/>
      <c r="BE532" s="24"/>
      <c r="BF532" s="24"/>
      <c r="BG532" s="24"/>
      <c r="BH532" s="24"/>
      <c r="BI532" s="24"/>
      <c r="BJ532" s="24"/>
      <c r="BK532" s="25"/>
      <c r="BM532" s="25"/>
      <c r="BW532" s="333"/>
      <c r="BX532" s="333"/>
      <c r="BY532" s="333"/>
      <c r="BZ532" s="333"/>
      <c r="CA532" s="333"/>
      <c r="CB532" s="333"/>
      <c r="CC532" s="333"/>
      <c r="CD532" s="333"/>
      <c r="CE532" s="333"/>
      <c r="CF532" s="333"/>
      <c r="CG532" s="333"/>
      <c r="CH532" s="333"/>
      <c r="CI532" s="333"/>
      <c r="CJ532" s="333"/>
      <c r="CK532" s="333"/>
      <c r="CL532" s="333"/>
      <c r="CM532" s="333"/>
      <c r="CN532" s="333"/>
      <c r="CO532" s="333"/>
      <c r="CP532" s="333"/>
      <c r="CQ532" s="333"/>
      <c r="CR532" s="333"/>
      <c r="CS532" s="333"/>
      <c r="CT532" s="333"/>
      <c r="CU532" s="333"/>
      <c r="CV532" s="333"/>
      <c r="CW532" s="333"/>
      <c r="CX532" s="333"/>
      <c r="CY532" s="333"/>
    </row>
    <row r="533" spans="1:112" ht="13" x14ac:dyDescent="0.3">
      <c r="B533" s="333"/>
      <c r="C533" s="326"/>
      <c r="D533" s="326"/>
      <c r="E533" s="326"/>
      <c r="F533" s="326"/>
      <c r="G533" s="326"/>
      <c r="H533" s="326"/>
      <c r="I533" s="326"/>
      <c r="J533" s="326"/>
      <c r="K533" s="326"/>
      <c r="L533" s="326"/>
      <c r="M533" s="326"/>
      <c r="N533" s="326"/>
      <c r="O533" s="326"/>
      <c r="P533" s="326"/>
      <c r="Q533" s="326"/>
      <c r="R533" s="326"/>
      <c r="S533" s="326"/>
      <c r="T533" s="326"/>
      <c r="U533" s="326"/>
      <c r="V533" s="326"/>
      <c r="W533" s="326"/>
      <c r="X533" s="326"/>
      <c r="Y533" s="7"/>
      <c r="Z533" s="7"/>
      <c r="AA533" s="7"/>
      <c r="AB533" s="7"/>
      <c r="AC533" s="7"/>
      <c r="AD533" s="7"/>
      <c r="AE533" s="7"/>
      <c r="AF533" s="7"/>
      <c r="AG533" s="7"/>
      <c r="AH533" s="22"/>
      <c r="AI533" s="22"/>
      <c r="AJ533" s="7"/>
      <c r="AK533" s="23"/>
      <c r="AV533" s="24"/>
      <c r="AW533" s="24"/>
      <c r="AX533" s="279"/>
      <c r="AY533" s="279"/>
      <c r="AZ533" s="279"/>
      <c r="BA533" s="24"/>
      <c r="BB533" s="109"/>
      <c r="BC533" s="158"/>
      <c r="BD533" s="24"/>
      <c r="BE533" s="24"/>
      <c r="BF533" s="24"/>
      <c r="BG533" s="24"/>
      <c r="BH533" s="24"/>
      <c r="BI533" s="24"/>
      <c r="BJ533" s="24"/>
      <c r="BK533" s="25"/>
      <c r="BM533" s="25"/>
      <c r="BW533" s="333"/>
      <c r="BX533" s="333"/>
      <c r="BY533" s="333"/>
      <c r="BZ533" s="333"/>
      <c r="CA533" s="333"/>
      <c r="CB533" s="333"/>
      <c r="CC533" s="333"/>
      <c r="CD533" s="333"/>
      <c r="CE533" s="333"/>
      <c r="CF533" s="333"/>
      <c r="CG533" s="333"/>
      <c r="CH533" s="333"/>
      <c r="CI533" s="333"/>
      <c r="CJ533" s="333"/>
      <c r="CK533" s="333"/>
      <c r="CL533" s="333"/>
      <c r="CM533" s="333"/>
      <c r="CN533" s="333"/>
      <c r="CO533" s="333"/>
      <c r="CP533" s="333"/>
      <c r="CQ533" s="333"/>
      <c r="CR533" s="333"/>
      <c r="CS533" s="333"/>
      <c r="CT533" s="333"/>
      <c r="CU533" s="333"/>
      <c r="CV533" s="333"/>
      <c r="CW533" s="333"/>
      <c r="CX533" s="333"/>
      <c r="CY533" s="333"/>
    </row>
    <row r="534" spans="1:112" ht="13" x14ac:dyDescent="0.3">
      <c r="B534" s="333"/>
      <c r="C534" s="326"/>
      <c r="D534" s="326"/>
      <c r="E534" s="326"/>
      <c r="F534" s="326"/>
      <c r="G534" s="326"/>
      <c r="H534" s="326"/>
      <c r="I534" s="326"/>
      <c r="J534" s="326"/>
      <c r="K534" s="326"/>
      <c r="L534" s="326"/>
      <c r="M534" s="326"/>
      <c r="N534" s="326"/>
      <c r="O534" s="326"/>
      <c r="P534" s="326"/>
      <c r="Q534" s="326"/>
      <c r="R534" s="326"/>
      <c r="S534" s="326"/>
      <c r="T534" s="326"/>
      <c r="U534" s="326"/>
      <c r="V534" s="326"/>
      <c r="W534" s="326"/>
      <c r="X534" s="326"/>
      <c r="Y534" s="7"/>
      <c r="Z534" s="7"/>
      <c r="AA534" s="7"/>
      <c r="AB534" s="7"/>
      <c r="AC534" s="7"/>
      <c r="AD534" s="7"/>
      <c r="AE534" s="7"/>
      <c r="AF534" s="7"/>
      <c r="AG534" s="7"/>
      <c r="AH534" s="22"/>
      <c r="AI534" s="22"/>
      <c r="AJ534" s="7"/>
      <c r="AK534" s="23"/>
      <c r="AV534" s="24"/>
      <c r="AW534" s="24"/>
      <c r="AX534" s="279"/>
      <c r="AY534" s="279"/>
      <c r="AZ534" s="279"/>
      <c r="BA534" s="24"/>
      <c r="BB534" s="109"/>
      <c r="BC534" s="158"/>
      <c r="BD534" s="24"/>
      <c r="BE534" s="24"/>
      <c r="BF534" s="24"/>
      <c r="BG534" s="24"/>
      <c r="BH534" s="24"/>
      <c r="BI534" s="24"/>
      <c r="BJ534" s="24"/>
      <c r="BK534" s="25"/>
      <c r="BM534" s="25"/>
      <c r="BW534" s="333"/>
      <c r="BX534" s="333"/>
      <c r="BY534" s="333"/>
      <c r="BZ534" s="333"/>
      <c r="CA534" s="333"/>
      <c r="CB534" s="333"/>
      <c r="CC534" s="333"/>
      <c r="CD534" s="333"/>
      <c r="CE534" s="333"/>
      <c r="CF534" s="333"/>
      <c r="CG534" s="333"/>
      <c r="CH534" s="333"/>
      <c r="CI534" s="333"/>
      <c r="CJ534" s="333"/>
      <c r="CK534" s="333"/>
      <c r="CL534" s="333"/>
      <c r="CM534" s="333"/>
      <c r="CN534" s="333"/>
      <c r="CO534" s="333"/>
      <c r="CP534" s="333"/>
      <c r="CQ534" s="333"/>
      <c r="CR534" s="333"/>
      <c r="CS534" s="333"/>
      <c r="CT534" s="333"/>
      <c r="CU534" s="333"/>
      <c r="CV534" s="333"/>
      <c r="CW534" s="333"/>
      <c r="CX534" s="333"/>
      <c r="CY534" s="333"/>
    </row>
    <row r="535" spans="1:112" x14ac:dyDescent="0.25">
      <c r="B535" s="333"/>
      <c r="C535" s="326"/>
      <c r="D535" s="326"/>
      <c r="E535" s="326"/>
      <c r="F535" s="326"/>
      <c r="G535" s="326"/>
      <c r="H535" s="326"/>
      <c r="I535" s="326"/>
      <c r="J535" s="326"/>
      <c r="K535" s="326"/>
      <c r="L535" s="326"/>
      <c r="M535" s="326"/>
      <c r="N535" s="326"/>
      <c r="O535" s="326"/>
      <c r="P535" s="326"/>
      <c r="Q535" s="326"/>
      <c r="R535" s="326"/>
      <c r="S535" s="326"/>
      <c r="T535" s="326"/>
      <c r="U535" s="326"/>
      <c r="V535" s="326"/>
      <c r="W535" s="326"/>
      <c r="X535" s="326"/>
      <c r="Y535" s="7"/>
      <c r="Z535" s="7"/>
      <c r="AA535" s="7"/>
      <c r="AB535" s="7"/>
      <c r="AC535" s="7"/>
      <c r="AD535" s="7"/>
      <c r="AE535" s="7"/>
      <c r="AF535" s="7"/>
      <c r="AG535" s="7"/>
      <c r="AH535" s="22"/>
      <c r="AI535" s="22"/>
      <c r="AJ535" s="7"/>
      <c r="AK535" s="23"/>
      <c r="AV535" s="24"/>
      <c r="AW535" s="24"/>
      <c r="AX535" s="279"/>
      <c r="AY535" s="279"/>
      <c r="AZ535" s="279"/>
      <c r="BA535" s="24"/>
      <c r="BB535" s="24"/>
      <c r="BC535" s="24"/>
      <c r="BD535" s="24"/>
      <c r="BE535" s="24"/>
      <c r="BF535" s="24"/>
      <c r="BG535" s="24"/>
      <c r="BH535" s="24"/>
      <c r="BI535" s="24"/>
      <c r="BJ535" s="24"/>
      <c r="BK535" s="25"/>
      <c r="BM535" s="25"/>
      <c r="BW535" s="333"/>
      <c r="BX535" s="333"/>
      <c r="BY535" s="333"/>
      <c r="BZ535" s="333"/>
      <c r="CA535" s="333"/>
      <c r="CB535" s="333"/>
      <c r="CC535" s="333"/>
      <c r="CD535" s="333"/>
      <c r="CE535" s="333"/>
      <c r="CF535" s="333"/>
      <c r="CG535" s="333"/>
      <c r="CH535" s="333"/>
      <c r="CI535" s="333"/>
      <c r="CJ535" s="333"/>
      <c r="CK535" s="333"/>
      <c r="CL535" s="333"/>
      <c r="CM535" s="333"/>
      <c r="CN535" s="333"/>
      <c r="CO535" s="333"/>
      <c r="CP535" s="333"/>
      <c r="CQ535" s="333"/>
      <c r="CR535" s="333"/>
      <c r="CS535" s="333"/>
      <c r="CT535" s="333"/>
      <c r="CU535" s="333"/>
      <c r="CV535" s="333"/>
      <c r="CW535" s="333"/>
      <c r="CX535" s="333"/>
      <c r="CY535" s="333"/>
    </row>
    <row r="536" spans="1:112" ht="15.5" x14ac:dyDescent="0.25">
      <c r="A536" s="333"/>
      <c r="B536" s="333"/>
      <c r="C536" s="333"/>
      <c r="D536" s="334"/>
      <c r="E536" s="345"/>
      <c r="F536" s="345"/>
      <c r="G536" s="363"/>
      <c r="H536" s="364"/>
      <c r="I536" s="364"/>
      <c r="J536" s="364"/>
      <c r="K536" s="364"/>
      <c r="L536" s="364"/>
      <c r="M536" s="364"/>
      <c r="N536" s="364"/>
      <c r="O536" s="364"/>
      <c r="P536" s="364"/>
      <c r="Q536" s="364"/>
      <c r="R536" s="364"/>
      <c r="S536" s="348"/>
      <c r="T536" s="341"/>
      <c r="U536" s="365"/>
      <c r="V536" s="365"/>
      <c r="W536" s="365"/>
      <c r="X536" s="345"/>
      <c r="Y536" s="345"/>
      <c r="Z536" s="345"/>
      <c r="AA536" s="345"/>
      <c r="AB536" s="345"/>
      <c r="AC536" s="345"/>
      <c r="AD536" s="345"/>
      <c r="AE536" s="345"/>
      <c r="AF536" s="345"/>
      <c r="AG536" s="345"/>
      <c r="AH536" s="366"/>
      <c r="AI536" s="366"/>
      <c r="AJ536" s="345"/>
      <c r="AK536" s="367"/>
      <c r="AL536" s="333"/>
      <c r="AM536" s="333"/>
      <c r="AN536" s="333"/>
      <c r="AO536" s="333"/>
      <c r="AP536" s="333"/>
      <c r="AQ536" s="333"/>
      <c r="AR536" s="333"/>
      <c r="AS536" s="333"/>
      <c r="AT536" s="333"/>
      <c r="AU536" s="333"/>
      <c r="AV536" s="368"/>
      <c r="AW536" s="368"/>
      <c r="AX536" s="369"/>
      <c r="AY536" s="369"/>
      <c r="AZ536" s="369"/>
      <c r="BA536" s="368"/>
      <c r="BB536" s="368"/>
      <c r="BC536" s="368"/>
      <c r="BD536" s="368"/>
      <c r="BE536" s="368"/>
      <c r="BF536" s="368"/>
      <c r="BG536" s="368"/>
      <c r="BH536" s="368"/>
      <c r="BI536" s="368"/>
      <c r="BJ536" s="368"/>
      <c r="BK536" s="370"/>
      <c r="BL536" s="362"/>
      <c r="BM536" s="370"/>
      <c r="BN536" s="333"/>
      <c r="BO536" s="333"/>
      <c r="BP536" s="333"/>
      <c r="BQ536" s="333"/>
      <c r="BR536" s="333"/>
      <c r="BS536" s="333"/>
      <c r="BT536" s="333"/>
      <c r="BU536" s="333"/>
      <c r="BV536" s="333"/>
      <c r="BW536" s="333"/>
      <c r="BX536" s="333"/>
      <c r="BY536" s="333"/>
      <c r="BZ536" s="333"/>
      <c r="CA536" s="333"/>
      <c r="CB536" s="333"/>
      <c r="CC536" s="333"/>
      <c r="CD536" s="333"/>
      <c r="CE536" s="333"/>
      <c r="CF536" s="333"/>
      <c r="CG536" s="333"/>
      <c r="CH536" s="333"/>
      <c r="CI536" s="333"/>
      <c r="CJ536" s="333"/>
      <c r="CK536" s="333"/>
      <c r="CL536" s="333"/>
      <c r="CM536" s="333"/>
      <c r="CN536" s="333"/>
      <c r="CO536" s="333"/>
      <c r="CP536" s="333"/>
      <c r="CQ536" s="333"/>
      <c r="CR536" s="333"/>
      <c r="CS536" s="333"/>
      <c r="CT536" s="333"/>
      <c r="CU536" s="333"/>
      <c r="CV536" s="333"/>
      <c r="CW536" s="333"/>
      <c r="CX536" s="333"/>
      <c r="CY536" s="333"/>
    </row>
    <row r="537" spans="1:112" outlineLevel="1" x14ac:dyDescent="0.25">
      <c r="A537" s="333"/>
      <c r="B537" s="333"/>
      <c r="C537" s="333"/>
      <c r="D537" s="334"/>
      <c r="E537" s="333"/>
      <c r="F537" s="333"/>
      <c r="G537" s="333"/>
      <c r="H537" s="333"/>
      <c r="I537" s="333"/>
      <c r="J537" s="333"/>
      <c r="K537" s="333"/>
      <c r="L537" s="335"/>
      <c r="M537" s="335"/>
      <c r="N537" s="335"/>
      <c r="O537" s="335"/>
      <c r="P537" s="335"/>
      <c r="Q537" s="335"/>
      <c r="R537" s="335"/>
      <c r="S537" s="335"/>
      <c r="T537" s="335"/>
      <c r="U537" s="360"/>
      <c r="V537" s="360"/>
      <c r="W537" s="360"/>
      <c r="X537" s="333"/>
      <c r="Y537" s="333"/>
      <c r="Z537" s="333"/>
      <c r="AA537" s="333"/>
      <c r="AB537" s="333"/>
      <c r="AC537" s="333"/>
      <c r="AD537" s="333"/>
      <c r="AE537" s="333"/>
      <c r="AF537" s="333"/>
      <c r="AG537" s="333"/>
      <c r="AH537" s="361"/>
      <c r="AI537" s="361"/>
      <c r="AJ537" s="333"/>
      <c r="AK537" s="333"/>
      <c r="AL537" s="333"/>
      <c r="AM537" s="333"/>
      <c r="AN537" s="333"/>
      <c r="AO537" s="333"/>
      <c r="AP537" s="333"/>
      <c r="AQ537" s="333"/>
      <c r="AR537" s="333"/>
      <c r="AS537" s="333"/>
      <c r="AT537" s="333"/>
      <c r="AU537" s="333"/>
      <c r="AV537" s="333"/>
      <c r="AW537" s="333"/>
      <c r="AX537" s="335"/>
      <c r="AY537" s="335"/>
      <c r="AZ537" s="335"/>
      <c r="BA537" s="333"/>
      <c r="BB537" s="333"/>
      <c r="BC537" s="333"/>
      <c r="BD537" s="333"/>
      <c r="BE537" s="333"/>
      <c r="BF537" s="333"/>
      <c r="BG537" s="333"/>
      <c r="BH537" s="333"/>
      <c r="BI537" s="333"/>
      <c r="BJ537" s="333"/>
      <c r="BK537" s="333"/>
      <c r="BL537" s="362"/>
      <c r="BM537" s="333"/>
      <c r="BN537" s="333"/>
      <c r="BO537" s="333"/>
      <c r="BP537" s="333"/>
      <c r="BQ537" s="333"/>
      <c r="BR537" s="333"/>
      <c r="BS537" s="333"/>
      <c r="BT537" s="333"/>
      <c r="BU537" s="333"/>
      <c r="BV537" s="333"/>
      <c r="BW537" s="333"/>
      <c r="BX537" s="333"/>
      <c r="BY537" s="333"/>
      <c r="BZ537" s="333"/>
      <c r="CA537" s="333"/>
      <c r="CB537" s="333"/>
      <c r="CC537" s="333"/>
      <c r="CD537" s="333"/>
      <c r="CE537" s="333"/>
      <c r="CF537" s="333"/>
      <c r="CG537" s="333"/>
      <c r="CH537" s="333"/>
      <c r="CI537" s="333"/>
      <c r="CJ537" s="333"/>
      <c r="CK537" s="333"/>
      <c r="CL537" s="333"/>
      <c r="CM537" s="333"/>
      <c r="CN537" s="333"/>
      <c r="CO537" s="333"/>
      <c r="CP537" s="333"/>
      <c r="CQ537" s="333"/>
      <c r="CR537" s="333"/>
      <c r="CS537" s="333"/>
      <c r="CT537" s="333"/>
      <c r="CU537" s="333"/>
      <c r="CV537" s="333"/>
      <c r="CW537" s="333"/>
      <c r="CX537" s="378"/>
      <c r="CY537" s="378"/>
      <c r="CZ537" s="71"/>
    </row>
    <row r="538" spans="1:112" ht="13" hidden="1" outlineLevel="1" x14ac:dyDescent="0.3">
      <c r="A538" s="333"/>
      <c r="B538" s="333"/>
      <c r="C538" s="371" t="s">
        <v>346</v>
      </c>
      <c r="D538" s="334"/>
      <c r="E538" s="334"/>
      <c r="F538" s="340"/>
      <c r="G538" s="372" t="s">
        <v>354</v>
      </c>
      <c r="H538" s="373"/>
      <c r="I538" s="373"/>
      <c r="J538" s="359"/>
      <c r="K538" s="375" t="s">
        <v>498</v>
      </c>
      <c r="L538" s="471" t="s">
        <v>499</v>
      </c>
      <c r="M538" s="335"/>
      <c r="N538" s="335"/>
      <c r="O538" s="335"/>
      <c r="P538" s="335"/>
      <c r="Q538" s="335"/>
      <c r="R538" s="335"/>
      <c r="S538" s="335"/>
      <c r="T538" s="374" t="s">
        <v>109</v>
      </c>
      <c r="U538" s="360"/>
      <c r="V538" s="360"/>
      <c r="W538" s="360"/>
      <c r="X538" s="335"/>
      <c r="Y538" s="335"/>
      <c r="Z538" s="335"/>
      <c r="AA538" s="335"/>
      <c r="AB538" s="335"/>
      <c r="AC538" s="335"/>
      <c r="AD538" s="335"/>
      <c r="AE538" s="335"/>
      <c r="AF538" s="335"/>
      <c r="AG538" s="335"/>
      <c r="AH538" s="361"/>
      <c r="AI538" s="361"/>
      <c r="AJ538" s="333"/>
      <c r="AK538" s="333"/>
      <c r="AL538" s="333"/>
      <c r="AM538" s="333"/>
      <c r="AN538" s="333"/>
      <c r="AO538" s="333"/>
      <c r="AP538" s="333"/>
      <c r="AQ538" s="333"/>
      <c r="AR538" s="333"/>
      <c r="AS538" s="333"/>
      <c r="AT538" s="333"/>
      <c r="AU538" s="340"/>
      <c r="AV538" s="333"/>
      <c r="AW538" s="333"/>
      <c r="AX538" s="335"/>
      <c r="AY538" s="335"/>
      <c r="AZ538" s="335"/>
      <c r="BA538" s="333"/>
      <c r="BB538" s="333"/>
      <c r="BC538" s="333"/>
      <c r="BD538" s="333"/>
      <c r="BE538" s="333"/>
      <c r="BF538" s="333"/>
      <c r="BG538" s="333"/>
      <c r="BH538" s="333"/>
      <c r="BI538" s="333"/>
      <c r="BJ538" s="333"/>
      <c r="BK538" s="333"/>
      <c r="BL538" s="362"/>
      <c r="BM538" s="333"/>
      <c r="BN538" s="333"/>
      <c r="BO538" s="333"/>
      <c r="BP538" s="333"/>
      <c r="BQ538" s="333"/>
      <c r="BR538" s="333"/>
      <c r="BS538" s="333"/>
      <c r="BT538" s="333"/>
      <c r="BU538" s="333"/>
      <c r="BV538" s="333"/>
      <c r="BW538" s="333"/>
      <c r="BX538" s="333"/>
      <c r="BY538" s="333"/>
      <c r="BZ538" s="333"/>
      <c r="CA538" s="333"/>
      <c r="CB538" s="333"/>
      <c r="CC538" s="333"/>
      <c r="CD538" s="333"/>
      <c r="CE538" s="333"/>
      <c r="CF538" s="333"/>
      <c r="CG538" s="333"/>
      <c r="CH538" s="333"/>
      <c r="CI538" s="333"/>
      <c r="CJ538" s="333"/>
      <c r="CK538" s="333"/>
      <c r="CL538" s="333"/>
      <c r="CM538" s="333"/>
      <c r="CN538" s="333"/>
      <c r="CO538" s="333"/>
      <c r="CP538" s="333"/>
      <c r="CQ538" s="333"/>
      <c r="CR538" s="333"/>
      <c r="CS538" s="333"/>
      <c r="CT538" s="333"/>
      <c r="CU538" s="333"/>
      <c r="CV538" s="333"/>
      <c r="CW538" s="333"/>
      <c r="CX538" s="378"/>
      <c r="CY538" s="378"/>
      <c r="CZ538" s="71"/>
    </row>
    <row r="539" spans="1:112" hidden="1" outlineLevel="1" x14ac:dyDescent="0.25">
      <c r="A539" s="333"/>
      <c r="B539" s="333"/>
      <c r="C539" s="375" t="str">
        <f>IF(RowsPreferredOne&lt;&gt;RowsShownOne,"click arrow below","")</f>
        <v/>
      </c>
      <c r="D539" s="376"/>
      <c r="E539" s="376"/>
      <c r="F539" s="340"/>
      <c r="G539" s="377" t="s">
        <v>5</v>
      </c>
      <c r="H539" s="375"/>
      <c r="I539" s="378"/>
      <c r="J539" s="333"/>
      <c r="K539" s="378">
        <v>8</v>
      </c>
      <c r="L539" s="472">
        <v>160</v>
      </c>
      <c r="M539" s="378" t="s">
        <v>143</v>
      </c>
      <c r="N539" s="378"/>
      <c r="O539" s="378"/>
      <c r="P539" s="335"/>
      <c r="Q539" s="335"/>
      <c r="R539" s="335"/>
      <c r="S539" s="335"/>
      <c r="T539" s="379" t="b">
        <f>ISNUMBER(R25:S25)</f>
        <v>0</v>
      </c>
      <c r="U539" s="380" t="e">
        <f>VLOOKUP(Q25,Afactors,3,FALSE)</f>
        <v>#N/A</v>
      </c>
      <c r="V539" s="337"/>
      <c r="W539" s="337"/>
      <c r="X539" s="381"/>
      <c r="Y539" s="382" t="s">
        <v>75</v>
      </c>
      <c r="Z539" s="383">
        <v>0.7</v>
      </c>
      <c r="AA539" s="360" t="b">
        <v>1</v>
      </c>
      <c r="AB539" s="477"/>
      <c r="AC539" s="382"/>
      <c r="AD539" s="383"/>
      <c r="AE539" s="383"/>
      <c r="AF539" s="360"/>
      <c r="AG539" s="381"/>
      <c r="AH539" s="361"/>
      <c r="AI539" s="361"/>
      <c r="AJ539" s="333"/>
      <c r="AK539" s="333" t="s">
        <v>116</v>
      </c>
      <c r="AL539" s="333"/>
      <c r="AM539" s="333"/>
      <c r="AN539" s="333"/>
      <c r="AO539" s="333"/>
      <c r="AP539" s="333"/>
      <c r="AQ539" s="333"/>
      <c r="AR539" s="333"/>
      <c r="AS539" s="333"/>
      <c r="AT539" s="333"/>
      <c r="AU539" s="333"/>
      <c r="AV539" s="333"/>
      <c r="AW539" s="333"/>
      <c r="AX539" s="335"/>
      <c r="AY539" s="335"/>
      <c r="AZ539" s="335"/>
      <c r="BA539" s="333"/>
      <c r="BB539" s="333"/>
      <c r="BC539" s="333"/>
      <c r="BD539" s="333"/>
      <c r="BE539" s="333"/>
      <c r="BF539" s="333"/>
      <c r="BG539" s="333"/>
      <c r="BH539" s="333"/>
      <c r="BI539" s="333"/>
      <c r="BJ539" s="333"/>
      <c r="BK539" s="333"/>
      <c r="BL539" s="362"/>
      <c r="BM539" s="333"/>
      <c r="BN539" s="333"/>
      <c r="BO539" s="333"/>
      <c r="BP539" s="333"/>
      <c r="BQ539" s="333"/>
      <c r="BR539" s="333"/>
      <c r="BS539" s="333"/>
      <c r="BT539" s="333"/>
      <c r="BU539" s="333"/>
      <c r="BV539" s="333"/>
      <c r="BW539" s="333"/>
      <c r="BX539" s="333"/>
      <c r="BY539" s="333"/>
      <c r="BZ539" s="333"/>
      <c r="CA539" s="333"/>
      <c r="CB539" s="333"/>
      <c r="CC539" s="333"/>
      <c r="CD539" s="333"/>
      <c r="CE539" s="333"/>
      <c r="CF539" s="333"/>
      <c r="CG539" s="333"/>
      <c r="CH539" s="333"/>
      <c r="CI539" s="333"/>
      <c r="CJ539" s="333"/>
      <c r="CK539" s="333"/>
      <c r="CL539" s="333"/>
      <c r="CM539" s="333"/>
      <c r="CN539" s="333"/>
      <c r="CO539" s="333"/>
      <c r="CP539" s="333"/>
      <c r="CQ539" s="377"/>
      <c r="CR539" s="479"/>
      <c r="CS539" s="479"/>
      <c r="CT539" s="479"/>
      <c r="CU539" s="479"/>
      <c r="CV539" s="333"/>
      <c r="CW539" s="333"/>
      <c r="CX539" s="378"/>
      <c r="CY539" s="378"/>
      <c r="CZ539" s="71"/>
    </row>
    <row r="540" spans="1:112" ht="13" hidden="1" outlineLevel="1" x14ac:dyDescent="0.3">
      <c r="A540" s="333"/>
      <c r="B540" s="333"/>
      <c r="C540" s="333"/>
      <c r="D540" s="334"/>
      <c r="E540" s="333"/>
      <c r="F540" s="333"/>
      <c r="G540" s="378" t="s">
        <v>6</v>
      </c>
      <c r="H540" s="333"/>
      <c r="I540" s="333"/>
      <c r="J540" s="378"/>
      <c r="K540" s="378">
        <v>5</v>
      </c>
      <c r="L540" s="472">
        <v>240</v>
      </c>
      <c r="M540" s="384" t="s">
        <v>350</v>
      </c>
      <c r="N540" s="335"/>
      <c r="O540" s="335"/>
      <c r="P540" s="335"/>
      <c r="Q540" s="335"/>
      <c r="R540" s="335"/>
      <c r="S540" s="335"/>
      <c r="T540" s="385" t="b">
        <f>OR(NOT(N24=FixedDim),AND(IF(N24=FixedDim,TRUE,FALSE),ISNUMBER(P24)))</f>
        <v>1</v>
      </c>
      <c r="U540" s="386"/>
      <c r="V540" s="337"/>
      <c r="W540" s="337"/>
      <c r="X540" s="387"/>
      <c r="Y540" s="388" t="s">
        <v>40</v>
      </c>
      <c r="Z540" s="387">
        <v>0.9</v>
      </c>
      <c r="AA540" s="360" t="b">
        <v>1</v>
      </c>
      <c r="AB540" s="477"/>
      <c r="AC540" s="388"/>
      <c r="AD540" s="387"/>
      <c r="AE540" s="387"/>
      <c r="AF540" s="360"/>
      <c r="AG540" s="387"/>
      <c r="AH540" s="361"/>
      <c r="AI540" s="389"/>
      <c r="AJ540" s="333"/>
      <c r="AK540" s="333" t="b">
        <f>AND(AM24:AM523)</f>
        <v>1</v>
      </c>
      <c r="AL540" s="333"/>
      <c r="AM540" s="333"/>
      <c r="AN540" s="333"/>
      <c r="AO540" s="333"/>
      <c r="AP540" s="333"/>
      <c r="AQ540" s="333"/>
      <c r="AR540" s="333"/>
      <c r="AS540" s="333"/>
      <c r="AT540" s="333"/>
      <c r="AU540" s="333"/>
      <c r="AV540" s="333"/>
      <c r="AW540" s="333"/>
      <c r="AX540" s="335"/>
      <c r="AY540" s="335"/>
      <c r="AZ540" s="335"/>
      <c r="BA540" s="333"/>
      <c r="BB540" s="333"/>
      <c r="BC540" s="333"/>
      <c r="BD540" s="333"/>
      <c r="BE540" s="333"/>
      <c r="BF540" s="333"/>
      <c r="BG540" s="333"/>
      <c r="BH540" s="333"/>
      <c r="BI540" s="333"/>
      <c r="BJ540" s="333"/>
      <c r="BK540" s="333"/>
      <c r="BL540" s="362"/>
      <c r="BM540" s="333"/>
      <c r="BN540" s="333"/>
      <c r="BO540" s="333"/>
      <c r="BP540" s="333"/>
      <c r="BQ540" s="333"/>
      <c r="BR540" s="333"/>
      <c r="BS540" s="333"/>
      <c r="BT540" s="333"/>
      <c r="BU540" s="333"/>
      <c r="BV540" s="333"/>
      <c r="BW540" s="333"/>
      <c r="BX540" s="333"/>
      <c r="BY540" s="333"/>
      <c r="BZ540" s="333"/>
      <c r="CA540" s="333"/>
      <c r="CB540" s="333"/>
      <c r="CC540" s="333"/>
      <c r="CD540" s="333"/>
      <c r="CE540" s="333"/>
      <c r="CF540" s="333"/>
      <c r="CG540" s="333"/>
      <c r="CH540" s="333"/>
      <c r="CI540" s="333"/>
      <c r="CJ540" s="333"/>
      <c r="CK540" s="333"/>
      <c r="CL540" s="333"/>
      <c r="CM540" s="333"/>
      <c r="CN540" s="335"/>
      <c r="CO540" s="335"/>
      <c r="CP540" s="333"/>
      <c r="CQ540" s="378"/>
      <c r="CR540" s="378"/>
      <c r="CS540" s="378"/>
      <c r="CT540" s="378"/>
      <c r="CU540" s="378"/>
      <c r="CV540" s="333"/>
      <c r="CW540" s="333"/>
      <c r="CX540" s="335"/>
      <c r="CY540" s="335"/>
      <c r="CZ540" s="82"/>
      <c r="DA540" s="928"/>
      <c r="DB540" s="928"/>
      <c r="DC540" s="928"/>
      <c r="DD540" s="926"/>
      <c r="DE540" s="926"/>
      <c r="DF540" s="926"/>
      <c r="DG540" s="926"/>
      <c r="DH540" s="927"/>
    </row>
    <row r="541" spans="1:112" ht="13" hidden="1" outlineLevel="1" x14ac:dyDescent="0.3">
      <c r="A541" s="333"/>
      <c r="B541" s="333"/>
      <c r="C541" s="333"/>
      <c r="D541" s="334"/>
      <c r="E541" s="333"/>
      <c r="F541" s="333"/>
      <c r="G541" s="390" t="s">
        <v>352</v>
      </c>
      <c r="H541" s="333"/>
      <c r="I541" s="333"/>
      <c r="J541" s="333"/>
      <c r="K541" s="378">
        <v>2</v>
      </c>
      <c r="L541" s="472">
        <v>40</v>
      </c>
      <c r="M541" s="384" t="s">
        <v>351</v>
      </c>
      <c r="N541" s="335"/>
      <c r="O541" s="335"/>
      <c r="P541" s="335"/>
      <c r="Q541" s="335"/>
      <c r="R541" s="335"/>
      <c r="S541" s="335"/>
      <c r="T541" s="385" t="b">
        <f>OR(NOT(N24=FixedDim),NOT(N24=DynamicDim),AND(IF(N24=FixedDim,TRUE,FALSE),ISNUMBER(P24)),AND(IF(N24=DynamicDim,TRUE,FALSE),ISNUMBER(#REF!)))</f>
        <v>1</v>
      </c>
      <c r="U541" s="386"/>
      <c r="V541" s="337"/>
      <c r="W541" s="337"/>
      <c r="X541" s="387"/>
      <c r="Y541" s="388" t="s">
        <v>41</v>
      </c>
      <c r="Z541" s="387">
        <v>0.7</v>
      </c>
      <c r="AA541" s="360" t="b">
        <v>1</v>
      </c>
      <c r="AB541" s="477"/>
      <c r="AC541" s="388"/>
      <c r="AD541" s="387"/>
      <c r="AE541" s="387"/>
      <c r="AF541" s="360"/>
      <c r="AG541" s="387"/>
      <c r="AH541" s="361"/>
      <c r="AI541" s="389"/>
      <c r="AJ541" s="333"/>
      <c r="AK541" s="333"/>
      <c r="AL541" s="333"/>
      <c r="AM541" s="333"/>
      <c r="AN541" s="333"/>
      <c r="AO541" s="333"/>
      <c r="AP541" s="333"/>
      <c r="AQ541" s="333"/>
      <c r="AR541" s="333"/>
      <c r="AS541" s="333"/>
      <c r="AT541" s="333"/>
      <c r="AU541" s="333"/>
      <c r="AV541" s="333"/>
      <c r="AW541" s="333"/>
      <c r="AX541" s="335"/>
      <c r="AY541" s="335"/>
      <c r="AZ541" s="335"/>
      <c r="BA541" s="333"/>
      <c r="BB541" s="333"/>
      <c r="BC541" s="333"/>
      <c r="BD541" s="333"/>
      <c r="BE541" s="333"/>
      <c r="BF541" s="333"/>
      <c r="BG541" s="333"/>
      <c r="BH541" s="333"/>
      <c r="BI541" s="333"/>
      <c r="BJ541" s="333"/>
      <c r="BK541" s="333"/>
      <c r="BL541" s="362"/>
      <c r="BM541" s="333"/>
      <c r="BN541" s="333"/>
      <c r="BO541" s="333"/>
      <c r="BP541" s="333"/>
      <c r="BQ541" s="333"/>
      <c r="BR541" s="333"/>
      <c r="BS541" s="333"/>
      <c r="BT541" s="333"/>
      <c r="BU541" s="333"/>
      <c r="BV541" s="333"/>
      <c r="BW541" s="333"/>
      <c r="BX541" s="333"/>
      <c r="BY541" s="333"/>
      <c r="BZ541" s="333"/>
      <c r="CA541" s="333"/>
      <c r="CB541" s="333"/>
      <c r="CC541" s="333"/>
      <c r="CD541" s="333"/>
      <c r="CE541" s="333"/>
      <c r="CF541" s="333"/>
      <c r="CG541" s="333"/>
      <c r="CH541" s="333"/>
      <c r="CI541" s="333"/>
      <c r="CJ541" s="333"/>
      <c r="CK541" s="333"/>
      <c r="CL541" s="333"/>
      <c r="CM541" s="333"/>
      <c r="CN541" s="333"/>
      <c r="CO541" s="333"/>
      <c r="CP541" s="333"/>
      <c r="CQ541" s="378"/>
      <c r="CR541" s="378"/>
      <c r="CS541" s="378"/>
      <c r="CT541" s="378"/>
      <c r="CU541" s="378"/>
      <c r="CV541" s="333"/>
      <c r="CW541" s="333"/>
      <c r="CX541" s="378"/>
      <c r="CY541" s="378"/>
      <c r="CZ541" s="71"/>
    </row>
    <row r="542" spans="1:112" hidden="1" outlineLevel="1" x14ac:dyDescent="0.25">
      <c r="A542" s="333"/>
      <c r="B542" s="333"/>
      <c r="C542" s="333"/>
      <c r="D542" s="334"/>
      <c r="E542" s="333"/>
      <c r="F542" s="333"/>
      <c r="G542" s="390" t="s">
        <v>399</v>
      </c>
      <c r="H542" s="333"/>
      <c r="I542" s="333"/>
      <c r="J542" s="333"/>
      <c r="K542" s="391">
        <v>11.5</v>
      </c>
      <c r="L542" s="473">
        <v>800</v>
      </c>
      <c r="M542" s="335"/>
      <c r="N542" s="335"/>
      <c r="O542" s="335"/>
      <c r="P542" s="335"/>
      <c r="Q542" s="335"/>
      <c r="R542" s="335"/>
      <c r="S542" s="335"/>
      <c r="T542" s="385" t="e">
        <f>MATCH(N24,ValidControlsAll,0)</f>
        <v>#N/A</v>
      </c>
      <c r="U542" s="386"/>
      <c r="V542" s="337"/>
      <c r="W542" s="337"/>
      <c r="X542" s="387"/>
      <c r="Y542" s="388" t="s">
        <v>43</v>
      </c>
      <c r="Z542" s="387">
        <v>0.55000000000000004</v>
      </c>
      <c r="AA542" s="360" t="b">
        <v>1</v>
      </c>
      <c r="AB542" s="477"/>
      <c r="AC542" s="388"/>
      <c r="AD542" s="387"/>
      <c r="AE542" s="387"/>
      <c r="AF542" s="360"/>
      <c r="AG542" s="387"/>
      <c r="AH542" s="361"/>
      <c r="AI542" s="389"/>
      <c r="AJ542" s="333"/>
      <c r="AK542" s="333"/>
      <c r="AL542" s="333"/>
      <c r="AM542" s="333"/>
      <c r="AN542" s="333"/>
      <c r="AO542" s="333"/>
      <c r="AP542" s="333"/>
      <c r="AQ542" s="333"/>
      <c r="AR542" s="333"/>
      <c r="AS542" s="333"/>
      <c r="AT542" s="333"/>
      <c r="AU542" s="333"/>
      <c r="AV542" s="333"/>
      <c r="AW542" s="333"/>
      <c r="AX542" s="335"/>
      <c r="AY542" s="335"/>
      <c r="AZ542" s="335"/>
      <c r="BA542" s="333"/>
      <c r="BB542" s="333"/>
      <c r="BC542" s="333"/>
      <c r="BD542" s="333"/>
      <c r="BE542" s="333"/>
      <c r="BF542" s="333"/>
      <c r="BG542" s="333"/>
      <c r="BH542" s="333"/>
      <c r="BI542" s="333"/>
      <c r="BJ542" s="333"/>
      <c r="BK542" s="333"/>
      <c r="BL542" s="362"/>
      <c r="BM542" s="333"/>
      <c r="BN542" s="333"/>
      <c r="BO542" s="333"/>
      <c r="BP542" s="333"/>
      <c r="BQ542" s="333"/>
      <c r="BR542" s="333"/>
      <c r="BS542" s="333"/>
      <c r="BT542" s="333"/>
      <c r="BU542" s="333"/>
      <c r="BV542" s="333"/>
      <c r="BW542" s="333"/>
      <c r="BX542" s="333"/>
      <c r="BY542" s="333"/>
      <c r="BZ542" s="333"/>
      <c r="CA542" s="333"/>
      <c r="CB542" s="333"/>
      <c r="CC542" s="333"/>
      <c r="CD542" s="333"/>
      <c r="CE542" s="333"/>
      <c r="CF542" s="333"/>
      <c r="CG542" s="333"/>
      <c r="CH542" s="333"/>
      <c r="CI542" s="333"/>
      <c r="CJ542" s="333"/>
      <c r="CK542" s="333"/>
      <c r="CL542" s="333"/>
      <c r="CM542" s="333"/>
      <c r="CN542" s="333"/>
      <c r="CO542" s="333"/>
      <c r="CP542" s="333"/>
      <c r="CQ542" s="378"/>
      <c r="CR542" s="378"/>
      <c r="CS542" s="378"/>
      <c r="CT542" s="378"/>
      <c r="CU542" s="378"/>
      <c r="CV542" s="333"/>
      <c r="CW542" s="333"/>
      <c r="CX542" s="378"/>
      <c r="CY542" s="378"/>
      <c r="CZ542" s="71"/>
    </row>
    <row r="543" spans="1:112" hidden="1" outlineLevel="1" x14ac:dyDescent="0.25">
      <c r="A543" s="333"/>
      <c r="B543" s="333"/>
      <c r="C543" s="333"/>
      <c r="D543" s="334"/>
      <c r="E543" s="333"/>
      <c r="F543" s="333"/>
      <c r="G543" s="390" t="s">
        <v>400</v>
      </c>
      <c r="H543" s="333"/>
      <c r="I543" s="333"/>
      <c r="J543" s="333"/>
      <c r="K543" s="378">
        <v>2.5</v>
      </c>
      <c r="L543" s="473">
        <v>160</v>
      </c>
      <c r="M543" s="335"/>
      <c r="N543" s="335"/>
      <c r="O543" s="335"/>
      <c r="P543" s="335"/>
      <c r="Q543" s="335"/>
      <c r="R543" s="335"/>
      <c r="S543" s="335"/>
      <c r="T543" s="385" t="str">
        <f>IF(ISTEXT(N24),VLOOKUP(N24,Afactors,3,FALSE),"")</f>
        <v/>
      </c>
      <c r="U543" s="386"/>
      <c r="V543" s="337"/>
      <c r="W543" s="337"/>
      <c r="X543" s="392"/>
      <c r="Y543" s="388" t="s">
        <v>173</v>
      </c>
      <c r="Z543" s="392">
        <v>0.95</v>
      </c>
      <c r="AA543" s="360" t="b">
        <v>1</v>
      </c>
      <c r="AB543" s="477"/>
      <c r="AC543" s="388"/>
      <c r="AD543" s="392"/>
      <c r="AE543" s="392"/>
      <c r="AF543" s="360"/>
      <c r="AG543" s="392"/>
      <c r="AH543" s="361"/>
      <c r="AI543" s="393"/>
      <c r="AJ543" s="333"/>
      <c r="AK543" s="333"/>
      <c r="AL543" s="333"/>
      <c r="AM543" s="333"/>
      <c r="AN543" s="333"/>
      <c r="AO543" s="333"/>
      <c r="AP543" s="333"/>
      <c r="AQ543" s="333"/>
      <c r="AR543" s="333"/>
      <c r="AS543" s="333"/>
      <c r="AT543" s="333"/>
      <c r="AU543" s="333"/>
      <c r="AV543" s="333"/>
      <c r="AW543" s="333"/>
      <c r="AX543" s="335"/>
      <c r="AY543" s="335"/>
      <c r="AZ543" s="335"/>
      <c r="BA543" s="333"/>
      <c r="BB543" s="333"/>
      <c r="BC543" s="333"/>
      <c r="BD543" s="333"/>
      <c r="BE543" s="333"/>
      <c r="BF543" s="333"/>
      <c r="BG543" s="333"/>
      <c r="BH543" s="333"/>
      <c r="BI543" s="333"/>
      <c r="BJ543" s="333"/>
      <c r="BK543" s="333"/>
      <c r="BL543" s="362"/>
      <c r="BM543" s="333"/>
      <c r="BN543" s="333"/>
      <c r="BO543" s="333"/>
      <c r="BP543" s="333"/>
      <c r="BQ543" s="333"/>
      <c r="BR543" s="333"/>
      <c r="BS543" s="333"/>
      <c r="BT543" s="333"/>
      <c r="BU543" s="333"/>
      <c r="BV543" s="333"/>
      <c r="BW543" s="333"/>
      <c r="BX543" s="333"/>
      <c r="BY543" s="333"/>
      <c r="BZ543" s="333"/>
      <c r="CA543" s="333"/>
      <c r="CB543" s="333"/>
      <c r="CC543" s="333"/>
      <c r="CD543" s="333"/>
      <c r="CE543" s="333"/>
      <c r="CF543" s="333"/>
      <c r="CG543" s="333"/>
      <c r="CH543" s="333"/>
      <c r="CI543" s="333"/>
      <c r="CJ543" s="333"/>
      <c r="CK543" s="333"/>
      <c r="CL543" s="333"/>
      <c r="CM543" s="333"/>
      <c r="CN543" s="333"/>
      <c r="CO543" s="333"/>
      <c r="CP543" s="333"/>
      <c r="CQ543" s="378"/>
      <c r="CR543" s="378"/>
      <c r="CS543" s="378"/>
      <c r="CT543" s="378"/>
      <c r="CU543" s="378"/>
      <c r="CV543" s="333"/>
      <c r="CW543" s="333"/>
      <c r="CX543" s="378"/>
      <c r="CY543" s="378"/>
      <c r="CZ543" s="71"/>
    </row>
    <row r="544" spans="1:112" hidden="1" outlineLevel="1" x14ac:dyDescent="0.25">
      <c r="A544" s="333"/>
      <c r="B544" s="333"/>
      <c r="C544" s="333"/>
      <c r="D544" s="334"/>
      <c r="E544" s="333"/>
      <c r="F544" s="333"/>
      <c r="G544" s="390" t="s">
        <v>401</v>
      </c>
      <c r="H544" s="333"/>
      <c r="I544" s="333"/>
      <c r="J544" s="333"/>
      <c r="K544" s="378">
        <v>2.5</v>
      </c>
      <c r="L544" s="473">
        <v>160</v>
      </c>
      <c r="M544" s="335"/>
      <c r="N544" s="335"/>
      <c r="O544" s="335"/>
      <c r="P544" s="335"/>
      <c r="Q544" s="335"/>
      <c r="R544" s="335"/>
      <c r="S544" s="335"/>
      <c r="T544" s="385"/>
      <c r="U544" s="386"/>
      <c r="V544" s="337"/>
      <c r="W544" s="337"/>
      <c r="X544" s="392"/>
      <c r="Y544" s="394" t="s">
        <v>200</v>
      </c>
      <c r="Z544" s="392">
        <v>0.85</v>
      </c>
      <c r="AA544" s="360" t="b">
        <v>1</v>
      </c>
      <c r="AB544" s="477"/>
      <c r="AC544" s="388"/>
      <c r="AD544" s="392"/>
      <c r="AE544" s="392"/>
      <c r="AF544" s="360"/>
      <c r="AG544" s="392"/>
      <c r="AH544" s="361"/>
      <c r="AI544" s="393"/>
      <c r="AJ544" s="333"/>
      <c r="AK544" s="333"/>
      <c r="AL544" s="333"/>
      <c r="AM544" s="333"/>
      <c r="AN544" s="333"/>
      <c r="AO544" s="333"/>
      <c r="AP544" s="333"/>
      <c r="AQ544" s="333"/>
      <c r="AR544" s="333"/>
      <c r="AS544" s="333"/>
      <c r="AT544" s="333"/>
      <c r="AU544" s="333"/>
      <c r="AV544" s="333"/>
      <c r="AW544" s="333"/>
      <c r="AX544" s="335"/>
      <c r="AY544" s="335"/>
      <c r="AZ544" s="335"/>
      <c r="BA544" s="333"/>
      <c r="BB544" s="333"/>
      <c r="BC544" s="333"/>
      <c r="BD544" s="333"/>
      <c r="BE544" s="333"/>
      <c r="BF544" s="333"/>
      <c r="BG544" s="333"/>
      <c r="BH544" s="333"/>
      <c r="BI544" s="333"/>
      <c r="BJ544" s="333"/>
      <c r="BK544" s="333"/>
      <c r="BL544" s="362"/>
      <c r="BM544" s="333"/>
      <c r="BN544" s="333"/>
      <c r="BO544" s="333"/>
      <c r="BP544" s="333"/>
      <c r="BQ544" s="333"/>
      <c r="BR544" s="333"/>
      <c r="BS544" s="333"/>
      <c r="BT544" s="333"/>
      <c r="BU544" s="333"/>
      <c r="BV544" s="333"/>
      <c r="BW544" s="333"/>
      <c r="BX544" s="333"/>
      <c r="BY544" s="333"/>
      <c r="BZ544" s="333"/>
      <c r="CA544" s="333"/>
      <c r="CB544" s="333"/>
      <c r="CC544" s="333"/>
      <c r="CD544" s="333"/>
      <c r="CE544" s="333"/>
      <c r="CF544" s="333"/>
      <c r="CG544" s="333"/>
      <c r="CH544" s="333"/>
      <c r="CI544" s="333"/>
      <c r="CJ544" s="333"/>
      <c r="CK544" s="333"/>
      <c r="CL544" s="333"/>
      <c r="CM544" s="333"/>
      <c r="CN544" s="333"/>
      <c r="CO544" s="333"/>
      <c r="CP544" s="333"/>
      <c r="CQ544" s="378"/>
      <c r="CR544" s="378"/>
      <c r="CS544" s="378"/>
      <c r="CT544" s="378"/>
      <c r="CU544" s="378"/>
      <c r="CV544" s="333"/>
      <c r="CW544" s="333"/>
      <c r="CX544" s="378"/>
      <c r="CY544" s="378"/>
      <c r="CZ544" s="71"/>
    </row>
    <row r="545" spans="1:104" ht="25" hidden="1" outlineLevel="1" x14ac:dyDescent="0.25">
      <c r="A545" s="333"/>
      <c r="B545" s="333"/>
      <c r="C545" s="333"/>
      <c r="D545" s="334"/>
      <c r="E545" s="333"/>
      <c r="F545" s="333"/>
      <c r="G545" s="378" t="s">
        <v>65</v>
      </c>
      <c r="H545" s="333"/>
      <c r="I545" s="333"/>
      <c r="J545" s="333"/>
      <c r="K545" s="378">
        <v>4.5</v>
      </c>
      <c r="L545" s="473">
        <v>160</v>
      </c>
      <c r="M545" s="335"/>
      <c r="N545" s="335"/>
      <c r="O545" s="335"/>
      <c r="P545" s="335"/>
      <c r="Q545" s="335"/>
      <c r="R545" s="335"/>
      <c r="S545" s="335"/>
      <c r="T545" s="385" t="s">
        <v>172</v>
      </c>
      <c r="U545" s="386" t="s">
        <v>154</v>
      </c>
      <c r="V545" s="337"/>
      <c r="W545" s="337"/>
      <c r="X545" s="392"/>
      <c r="Y545" s="394" t="s">
        <v>201</v>
      </c>
      <c r="Z545" s="392">
        <v>0.9</v>
      </c>
      <c r="AA545" s="360" t="b">
        <v>1</v>
      </c>
      <c r="AB545" s="477"/>
      <c r="AC545" s="388"/>
      <c r="AD545" s="392"/>
      <c r="AE545" s="392"/>
      <c r="AF545" s="360"/>
      <c r="AG545" s="392"/>
      <c r="AH545" s="361"/>
      <c r="AI545" s="393"/>
      <c r="AJ545" s="333"/>
      <c r="AK545" s="333"/>
      <c r="AL545" s="333"/>
      <c r="AM545" s="333"/>
      <c r="AN545" s="333"/>
      <c r="AO545" s="333"/>
      <c r="AP545" s="333"/>
      <c r="AQ545" s="333"/>
      <c r="AR545" s="333"/>
      <c r="AS545" s="333"/>
      <c r="AT545" s="333"/>
      <c r="AU545" s="333"/>
      <c r="AV545" s="333"/>
      <c r="AW545" s="333"/>
      <c r="AX545" s="335"/>
      <c r="AY545" s="335"/>
      <c r="AZ545" s="335"/>
      <c r="BA545" s="333"/>
      <c r="BB545" s="333"/>
      <c r="BC545" s="333"/>
      <c r="BD545" s="333"/>
      <c r="BE545" s="333"/>
      <c r="BF545" s="333"/>
      <c r="BG545" s="333"/>
      <c r="BH545" s="333"/>
      <c r="BI545" s="333"/>
      <c r="BJ545" s="333"/>
      <c r="BK545" s="333"/>
      <c r="BL545" s="362"/>
      <c r="BM545" s="333"/>
      <c r="BN545" s="333"/>
      <c r="BO545" s="333"/>
      <c r="BP545" s="333"/>
      <c r="BQ545" s="333"/>
      <c r="BR545" s="333"/>
      <c r="BS545" s="333"/>
      <c r="BT545" s="333"/>
      <c r="BU545" s="333"/>
      <c r="BV545" s="333"/>
      <c r="BW545" s="333"/>
      <c r="BX545" s="333"/>
      <c r="BY545" s="333"/>
      <c r="BZ545" s="333"/>
      <c r="CA545" s="333"/>
      <c r="CB545" s="333"/>
      <c r="CC545" s="333"/>
      <c r="CD545" s="333"/>
      <c r="CE545" s="333"/>
      <c r="CF545" s="333"/>
      <c r="CG545" s="333"/>
      <c r="CH545" s="333"/>
      <c r="CI545" s="333"/>
      <c r="CJ545" s="333"/>
      <c r="CK545" s="333"/>
      <c r="CL545" s="333"/>
      <c r="CM545" s="333"/>
      <c r="CN545" s="333"/>
      <c r="CO545" s="333"/>
      <c r="CP545" s="333"/>
      <c r="CQ545" s="378"/>
      <c r="CR545" s="378"/>
      <c r="CS545" s="378"/>
      <c r="CT545" s="378"/>
      <c r="CU545" s="378"/>
      <c r="CV545" s="333"/>
      <c r="CW545" s="333"/>
      <c r="CX545" s="378"/>
      <c r="CY545" s="378"/>
      <c r="CZ545" s="71"/>
    </row>
    <row r="546" spans="1:104" hidden="1" outlineLevel="1" x14ac:dyDescent="0.25">
      <c r="A546" s="333"/>
      <c r="B546" s="333"/>
      <c r="C546" s="333"/>
      <c r="D546" s="334"/>
      <c r="E546" s="333"/>
      <c r="F546" s="333"/>
      <c r="G546" s="390" t="s">
        <v>402</v>
      </c>
      <c r="H546" s="333"/>
      <c r="I546" s="333"/>
      <c r="J546" s="333"/>
      <c r="K546" s="378">
        <v>3</v>
      </c>
      <c r="L546" s="473">
        <v>160</v>
      </c>
      <c r="M546" s="335"/>
      <c r="N546" s="335"/>
      <c r="O546" s="335"/>
      <c r="P546" s="335"/>
      <c r="Q546" s="335"/>
      <c r="R546" s="335"/>
      <c r="S546" s="335"/>
      <c r="T546" s="395"/>
      <c r="U546" s="396"/>
      <c r="V546" s="337"/>
      <c r="W546" s="337"/>
      <c r="X546" s="392"/>
      <c r="Y546" s="394" t="s">
        <v>78</v>
      </c>
      <c r="Z546" s="392">
        <v>0.8</v>
      </c>
      <c r="AA546" s="360" t="b">
        <v>1</v>
      </c>
      <c r="AB546" s="477"/>
      <c r="AC546" s="397"/>
      <c r="AD546" s="392"/>
      <c r="AE546" s="392"/>
      <c r="AF546" s="361"/>
      <c r="AG546" s="392"/>
      <c r="AH546" s="361"/>
      <c r="AI546" s="393"/>
      <c r="AJ546" s="333"/>
      <c r="AK546" s="333"/>
      <c r="AL546" s="333"/>
      <c r="AM546" s="333"/>
      <c r="AN546" s="333"/>
      <c r="AO546" s="333"/>
      <c r="AP546" s="333"/>
      <c r="AQ546" s="333"/>
      <c r="AR546" s="333"/>
      <c r="AS546" s="333"/>
      <c r="AT546" s="333"/>
      <c r="AU546" s="333"/>
      <c r="AV546" s="333"/>
      <c r="AW546" s="333"/>
      <c r="AX546" s="335"/>
      <c r="AY546" s="335"/>
      <c r="AZ546" s="335"/>
      <c r="BA546" s="333"/>
      <c r="BB546" s="333"/>
      <c r="BC546" s="333"/>
      <c r="BD546" s="333"/>
      <c r="BE546" s="333"/>
      <c r="BF546" s="333"/>
      <c r="BG546" s="333"/>
      <c r="BH546" s="333"/>
      <c r="BI546" s="333"/>
      <c r="BJ546" s="333"/>
      <c r="BK546" s="333"/>
      <c r="BL546" s="362"/>
      <c r="BM546" s="333"/>
      <c r="BN546" s="333"/>
      <c r="BO546" s="333"/>
      <c r="BP546" s="333"/>
      <c r="BQ546" s="333"/>
      <c r="BR546" s="333"/>
      <c r="BS546" s="333"/>
      <c r="BT546" s="333"/>
      <c r="BU546" s="333"/>
      <c r="BV546" s="333"/>
      <c r="BW546" s="333"/>
      <c r="BX546" s="333"/>
      <c r="BY546" s="333"/>
      <c r="BZ546" s="333"/>
      <c r="CA546" s="333"/>
      <c r="CB546" s="333"/>
      <c r="CC546" s="333"/>
      <c r="CD546" s="333"/>
      <c r="CE546" s="333"/>
      <c r="CF546" s="333"/>
      <c r="CG546" s="333"/>
      <c r="CH546" s="333"/>
      <c r="CI546" s="333"/>
      <c r="CJ546" s="333"/>
      <c r="CK546" s="333"/>
      <c r="CL546" s="333"/>
      <c r="CM546" s="333"/>
      <c r="CN546" s="333"/>
      <c r="CO546" s="333"/>
      <c r="CP546" s="333"/>
      <c r="CQ546" s="378"/>
      <c r="CR546" s="378"/>
      <c r="CS546" s="378"/>
      <c r="CT546" s="378"/>
      <c r="CU546" s="378"/>
      <c r="CV546" s="333"/>
      <c r="CW546" s="333"/>
      <c r="CX546" s="378"/>
      <c r="CY546" s="378"/>
      <c r="CZ546" s="71"/>
    </row>
    <row r="547" spans="1:104" ht="13" hidden="1" outlineLevel="1" x14ac:dyDescent="0.3">
      <c r="A547" s="333"/>
      <c r="B547" s="333"/>
      <c r="C547" s="333"/>
      <c r="D547" s="334"/>
      <c r="E547" s="333"/>
      <c r="F547" s="333"/>
      <c r="G547" s="390" t="s">
        <v>403</v>
      </c>
      <c r="H547" s="333"/>
      <c r="I547" s="333"/>
      <c r="J547" s="333"/>
      <c r="K547" s="378">
        <v>4.5</v>
      </c>
      <c r="L547" s="473">
        <v>240</v>
      </c>
      <c r="M547" s="335"/>
      <c r="N547" s="335"/>
      <c r="O547" s="335"/>
      <c r="P547" s="335"/>
      <c r="Q547" s="335"/>
      <c r="R547" s="335"/>
      <c r="S547" s="335"/>
      <c r="T547" s="384" t="s">
        <v>304</v>
      </c>
      <c r="U547" s="360"/>
      <c r="V547" s="360"/>
      <c r="W547" s="360"/>
      <c r="X547" s="392"/>
      <c r="Y547" s="394" t="s">
        <v>202</v>
      </c>
      <c r="Z547" s="361">
        <v>0</v>
      </c>
      <c r="AA547" s="361" t="b">
        <v>0</v>
      </c>
      <c r="AB547" s="361"/>
      <c r="AC547" s="397"/>
      <c r="AD547" s="392"/>
      <c r="AE547" s="392"/>
      <c r="AF547" s="361"/>
      <c r="AG547" s="392"/>
      <c r="AH547" s="361"/>
      <c r="AI547" s="393"/>
      <c r="AJ547" s="333"/>
      <c r="AK547" s="333"/>
      <c r="AL547" s="333"/>
      <c r="AM547" s="333"/>
      <c r="AN547" s="333"/>
      <c r="AO547" s="333"/>
      <c r="AP547" s="333"/>
      <c r="AQ547" s="333"/>
      <c r="AR547" s="333"/>
      <c r="AS547" s="333"/>
      <c r="AT547" s="333"/>
      <c r="AU547" s="333"/>
      <c r="AV547" s="333"/>
      <c r="AW547" s="333"/>
      <c r="AX547" s="335"/>
      <c r="AY547" s="335"/>
      <c r="AZ547" s="335"/>
      <c r="BA547" s="333"/>
      <c r="BB547" s="333"/>
      <c r="BC547" s="333"/>
      <c r="BD547" s="333"/>
      <c r="BE547" s="333"/>
      <c r="BF547" s="333"/>
      <c r="BG547" s="333"/>
      <c r="BH547" s="333"/>
      <c r="BI547" s="333"/>
      <c r="BJ547" s="333"/>
      <c r="BK547" s="333"/>
      <c r="BL547" s="362"/>
      <c r="BM547" s="333"/>
      <c r="BN547" s="333"/>
      <c r="BO547" s="333"/>
      <c r="BP547" s="333"/>
      <c r="BQ547" s="333"/>
      <c r="BR547" s="333"/>
      <c r="BS547" s="333"/>
      <c r="BT547" s="333"/>
      <c r="BU547" s="333"/>
      <c r="BV547" s="333"/>
      <c r="BW547" s="333"/>
      <c r="BX547" s="333"/>
      <c r="BY547" s="333"/>
      <c r="BZ547" s="333"/>
      <c r="CA547" s="333"/>
      <c r="CB547" s="333"/>
      <c r="CC547" s="333"/>
      <c r="CD547" s="333"/>
      <c r="CE547" s="333"/>
      <c r="CF547" s="333"/>
      <c r="CG547" s="333"/>
      <c r="CH547" s="333"/>
      <c r="CI547" s="333"/>
      <c r="CJ547" s="333"/>
      <c r="CK547" s="333"/>
      <c r="CL547" s="333"/>
      <c r="CM547" s="333"/>
      <c r="CN547" s="333"/>
      <c r="CO547" s="333"/>
      <c r="CP547" s="333"/>
      <c r="CQ547" s="378"/>
      <c r="CR547" s="378"/>
      <c r="CS547" s="378"/>
      <c r="CT547" s="378"/>
      <c r="CU547" s="378"/>
      <c r="CV547" s="333"/>
      <c r="CW547" s="333"/>
      <c r="CX547" s="378"/>
      <c r="CY547" s="378"/>
      <c r="CZ547" s="71"/>
    </row>
    <row r="548" spans="1:104" hidden="1" outlineLevel="1" x14ac:dyDescent="0.25">
      <c r="A548" s="333"/>
      <c r="B548" s="333"/>
      <c r="C548" s="333"/>
      <c r="D548" s="334"/>
      <c r="E548" s="333"/>
      <c r="F548" s="333"/>
      <c r="G548" s="378" t="s">
        <v>66</v>
      </c>
      <c r="H548" s="333"/>
      <c r="I548" s="333"/>
      <c r="J548" s="333"/>
      <c r="K548" s="378">
        <v>5</v>
      </c>
      <c r="L548" s="473">
        <v>240</v>
      </c>
      <c r="M548" s="335"/>
      <c r="N548" s="335"/>
      <c r="O548" s="335"/>
      <c r="P548" s="335"/>
      <c r="Q548" s="335"/>
      <c r="R548" s="335"/>
      <c r="S548" s="335"/>
      <c r="T548" s="335"/>
      <c r="U548" s="360"/>
      <c r="V548" s="360"/>
      <c r="W548" s="360"/>
      <c r="X548" s="392"/>
      <c r="Y548" s="394" t="s">
        <v>203</v>
      </c>
      <c r="Z548" s="361"/>
      <c r="AA548" s="361" t="b">
        <v>0</v>
      </c>
      <c r="AB548" s="361"/>
      <c r="AC548" s="397"/>
      <c r="AD548" s="392"/>
      <c r="AE548" s="392"/>
      <c r="AF548" s="361"/>
      <c r="AG548" s="392"/>
      <c r="AH548" s="361"/>
      <c r="AI548" s="393"/>
      <c r="AJ548" s="333"/>
      <c r="AK548" s="333"/>
      <c r="AL548" s="333"/>
      <c r="AM548" s="333"/>
      <c r="AN548" s="333"/>
      <c r="AO548" s="333"/>
      <c r="AP548" s="333"/>
      <c r="AQ548" s="333"/>
      <c r="AR548" s="333"/>
      <c r="AS548" s="333"/>
      <c r="AT548" s="333"/>
      <c r="AU548" s="333"/>
      <c r="AV548" s="333"/>
      <c r="AW548" s="333"/>
      <c r="AX548" s="335"/>
      <c r="AY548" s="335"/>
      <c r="AZ548" s="335"/>
      <c r="BA548" s="333"/>
      <c r="BB548" s="333"/>
      <c r="BC548" s="333"/>
      <c r="BD548" s="333"/>
      <c r="BE548" s="333"/>
      <c r="BF548" s="333"/>
      <c r="BG548" s="333"/>
      <c r="BH548" s="333"/>
      <c r="BI548" s="333"/>
      <c r="BJ548" s="333"/>
      <c r="BK548" s="333"/>
      <c r="BL548" s="362"/>
      <c r="BM548" s="333"/>
      <c r="BN548" s="333"/>
      <c r="BO548" s="333"/>
      <c r="BP548" s="333"/>
      <c r="BQ548" s="333"/>
      <c r="BR548" s="333"/>
      <c r="BS548" s="333"/>
      <c r="BT548" s="333"/>
      <c r="BU548" s="333"/>
      <c r="BV548" s="333"/>
      <c r="BW548" s="333"/>
      <c r="BX548" s="333"/>
      <c r="BY548" s="333"/>
      <c r="BZ548" s="333"/>
      <c r="CA548" s="333"/>
      <c r="CB548" s="333"/>
      <c r="CC548" s="333"/>
      <c r="CD548" s="333"/>
      <c r="CE548" s="333"/>
      <c r="CF548" s="333"/>
      <c r="CG548" s="333"/>
      <c r="CH548" s="333"/>
      <c r="CI548" s="333"/>
      <c r="CJ548" s="333"/>
      <c r="CK548" s="333"/>
      <c r="CL548" s="333"/>
      <c r="CM548" s="333"/>
      <c r="CN548" s="333"/>
      <c r="CO548" s="333"/>
      <c r="CP548" s="333"/>
      <c r="CQ548" s="378"/>
      <c r="CR548" s="378"/>
      <c r="CS548" s="378"/>
      <c r="CT548" s="378"/>
      <c r="CU548" s="378"/>
      <c r="CV548" s="333"/>
      <c r="CW548" s="333"/>
      <c r="CX548" s="378"/>
      <c r="CY548" s="378"/>
      <c r="CZ548" s="71"/>
    </row>
    <row r="549" spans="1:104" ht="13" hidden="1" outlineLevel="1" x14ac:dyDescent="0.3">
      <c r="A549" s="333"/>
      <c r="B549" s="333"/>
      <c r="C549" s="333"/>
      <c r="D549" s="334"/>
      <c r="E549" s="333"/>
      <c r="F549" s="333"/>
      <c r="G549" s="378" t="s">
        <v>7</v>
      </c>
      <c r="H549" s="333"/>
      <c r="I549" s="333"/>
      <c r="J549" s="333"/>
      <c r="K549" s="378">
        <v>4.5</v>
      </c>
      <c r="L549" s="473">
        <v>320</v>
      </c>
      <c r="M549" s="398" t="s">
        <v>113</v>
      </c>
      <c r="N549" s="399"/>
      <c r="O549" s="399"/>
      <c r="P549" s="335"/>
      <c r="Q549" s="399" t="s">
        <v>115</v>
      </c>
      <c r="R549" s="399"/>
      <c r="S549" s="399" t="s">
        <v>114</v>
      </c>
      <c r="T549" s="335"/>
      <c r="U549" s="360"/>
      <c r="V549" s="360"/>
      <c r="W549" s="360"/>
      <c r="X549" s="392"/>
      <c r="Y549" s="400" t="s">
        <v>207</v>
      </c>
      <c r="Z549" s="392">
        <v>0.5</v>
      </c>
      <c r="AA549" s="361" t="b">
        <v>1</v>
      </c>
      <c r="AB549" s="361"/>
      <c r="AC549" s="392"/>
      <c r="AD549" s="392"/>
      <c r="AE549" s="392"/>
      <c r="AF549" s="392"/>
      <c r="AG549" s="392"/>
      <c r="AH549" s="361"/>
      <c r="AI549" s="393"/>
      <c r="AJ549" s="333"/>
      <c r="AK549" s="333"/>
      <c r="AL549" s="333"/>
      <c r="AM549" s="333"/>
      <c r="AN549" s="333"/>
      <c r="AO549" s="333"/>
      <c r="AP549" s="333"/>
      <c r="AQ549" s="333"/>
      <c r="AR549" s="333"/>
      <c r="AS549" s="333"/>
      <c r="AT549" s="333"/>
      <c r="AU549" s="333"/>
      <c r="AV549" s="333"/>
      <c r="AW549" s="333"/>
      <c r="AX549" s="335"/>
      <c r="AY549" s="335"/>
      <c r="AZ549" s="335"/>
      <c r="BA549" s="333"/>
      <c r="BB549" s="333"/>
      <c r="BC549" s="333"/>
      <c r="BD549" s="333"/>
      <c r="BE549" s="333"/>
      <c r="BF549" s="333"/>
      <c r="BG549" s="333"/>
      <c r="BH549" s="333"/>
      <c r="BI549" s="333"/>
      <c r="BJ549" s="333"/>
      <c r="BK549" s="333"/>
      <c r="BL549" s="362"/>
      <c r="BM549" s="333"/>
      <c r="BN549" s="333"/>
      <c r="BO549" s="333"/>
      <c r="BP549" s="333"/>
      <c r="BQ549" s="333"/>
      <c r="BR549" s="333"/>
      <c r="BS549" s="333"/>
      <c r="BT549" s="333"/>
      <c r="BU549" s="333"/>
      <c r="BV549" s="333"/>
      <c r="BW549" s="333"/>
      <c r="BX549" s="333"/>
      <c r="BY549" s="333"/>
      <c r="BZ549" s="333"/>
      <c r="CA549" s="333"/>
      <c r="CB549" s="333"/>
      <c r="CC549" s="333"/>
      <c r="CD549" s="333"/>
      <c r="CE549" s="333"/>
      <c r="CF549" s="333"/>
      <c r="CG549" s="333"/>
      <c r="CH549" s="333"/>
      <c r="CI549" s="333"/>
      <c r="CJ549" s="333"/>
      <c r="CK549" s="333"/>
      <c r="CL549" s="333"/>
      <c r="CM549" s="333"/>
      <c r="CN549" s="333"/>
      <c r="CO549" s="333"/>
      <c r="CP549" s="333"/>
      <c r="CQ549" s="378"/>
      <c r="CR549" s="378"/>
      <c r="CS549" s="378"/>
      <c r="CT549" s="378"/>
      <c r="CU549" s="378"/>
      <c r="CV549" s="333"/>
      <c r="CW549" s="333"/>
      <c r="CX549" s="378"/>
      <c r="CY549" s="378"/>
      <c r="CZ549" s="71"/>
    </row>
    <row r="550" spans="1:104" hidden="1" outlineLevel="1" x14ac:dyDescent="0.25">
      <c r="A550" s="333"/>
      <c r="B550" s="333"/>
      <c r="C550" s="333"/>
      <c r="D550" s="334"/>
      <c r="E550" s="333"/>
      <c r="F550" s="333"/>
      <c r="G550" s="378" t="s">
        <v>47</v>
      </c>
      <c r="H550" s="333"/>
      <c r="I550" s="333"/>
      <c r="J550" s="333"/>
      <c r="K550" s="378">
        <v>3</v>
      </c>
      <c r="L550" s="473">
        <v>80</v>
      </c>
      <c r="M550" s="378"/>
      <c r="N550" s="335"/>
      <c r="O550" s="335"/>
      <c r="P550" s="335"/>
      <c r="Q550" s="335"/>
      <c r="R550" s="335"/>
      <c r="S550" s="335"/>
      <c r="T550" s="335"/>
      <c r="U550" s="360"/>
      <c r="V550" s="360"/>
      <c r="W550" s="360"/>
      <c r="X550" s="392"/>
      <c r="Y550" s="400" t="s">
        <v>208</v>
      </c>
      <c r="Z550" s="392">
        <v>0.6</v>
      </c>
      <c r="AA550" s="361" t="b">
        <v>1</v>
      </c>
      <c r="AB550" s="361"/>
      <c r="AC550" s="392"/>
      <c r="AD550" s="392"/>
      <c r="AE550" s="392"/>
      <c r="AF550" s="392"/>
      <c r="AG550" s="392"/>
      <c r="AH550" s="361"/>
      <c r="AI550" s="393"/>
      <c r="AJ550" s="333"/>
      <c r="AK550" s="333"/>
      <c r="AL550" s="333"/>
      <c r="AM550" s="333"/>
      <c r="AN550" s="333"/>
      <c r="AO550" s="333"/>
      <c r="AP550" s="333"/>
      <c r="AQ550" s="333"/>
      <c r="AR550" s="333"/>
      <c r="AS550" s="333"/>
      <c r="AT550" s="333"/>
      <c r="AU550" s="333"/>
      <c r="AV550" s="333"/>
      <c r="AW550" s="333"/>
      <c r="AX550" s="335"/>
      <c r="AY550" s="335"/>
      <c r="AZ550" s="335"/>
      <c r="BA550" s="333"/>
      <c r="BB550" s="333"/>
      <c r="BC550" s="333"/>
      <c r="BD550" s="333"/>
      <c r="BE550" s="333"/>
      <c r="BF550" s="333"/>
      <c r="BG550" s="333"/>
      <c r="BH550" s="333"/>
      <c r="BI550" s="333"/>
      <c r="BJ550" s="333"/>
      <c r="BK550" s="333"/>
      <c r="BL550" s="362"/>
      <c r="BM550" s="333"/>
      <c r="BN550" s="333"/>
      <c r="BO550" s="333"/>
      <c r="BP550" s="333"/>
      <c r="BQ550" s="333"/>
      <c r="BR550" s="333"/>
      <c r="BS550" s="333"/>
      <c r="BT550" s="333"/>
      <c r="BU550" s="333"/>
      <c r="BV550" s="333"/>
      <c r="BW550" s="333"/>
      <c r="BX550" s="333"/>
      <c r="BY550" s="333"/>
      <c r="BZ550" s="333"/>
      <c r="CA550" s="333"/>
      <c r="CB550" s="333"/>
      <c r="CC550" s="333"/>
      <c r="CD550" s="333"/>
      <c r="CE550" s="333"/>
      <c r="CF550" s="333"/>
      <c r="CG550" s="333"/>
      <c r="CH550" s="333"/>
      <c r="CI550" s="333"/>
      <c r="CJ550" s="333"/>
      <c r="CK550" s="333"/>
      <c r="CL550" s="333"/>
      <c r="CM550" s="333"/>
      <c r="CN550" s="333"/>
      <c r="CO550" s="333"/>
      <c r="CP550" s="333"/>
      <c r="CQ550" s="378"/>
      <c r="CR550" s="378"/>
      <c r="CS550" s="378"/>
      <c r="CT550" s="378"/>
      <c r="CU550" s="378"/>
      <c r="CV550" s="333"/>
      <c r="CW550" s="333"/>
      <c r="CX550" s="378"/>
      <c r="CY550" s="378"/>
      <c r="CZ550" s="71"/>
    </row>
    <row r="551" spans="1:104" hidden="1" outlineLevel="1" x14ac:dyDescent="0.25">
      <c r="A551" s="333"/>
      <c r="B551" s="333"/>
      <c r="C551" s="333"/>
      <c r="D551" s="334"/>
      <c r="E551" s="333"/>
      <c r="F551" s="333"/>
      <c r="G551" s="378" t="s">
        <v>48</v>
      </c>
      <c r="H551" s="333"/>
      <c r="I551" s="333"/>
      <c r="J551" s="333"/>
      <c r="K551" s="378">
        <v>4</v>
      </c>
      <c r="L551" s="473">
        <v>160</v>
      </c>
      <c r="M551" s="378" t="s">
        <v>142</v>
      </c>
      <c r="N551" s="335"/>
      <c r="O551" s="335"/>
      <c r="P551" s="335"/>
      <c r="Q551" s="335" t="b">
        <f>ISBLANK(DescriptionOne)</f>
        <v>1</v>
      </c>
      <c r="R551" s="335"/>
      <c r="S551" s="378" t="str">
        <f>IF(Q551,"1.  ENTER BUILDING NAME AND DESCRIPTION BELOW - identifying the particular part(s) covered by this assessment.","")</f>
        <v>1.  ENTER BUILDING NAME AND DESCRIPTION BELOW - identifying the particular part(s) covered by this assessment.</v>
      </c>
      <c r="T551" s="335"/>
      <c r="U551" s="360"/>
      <c r="V551" s="360"/>
      <c r="W551" s="360"/>
      <c r="X551" s="392"/>
      <c r="Y551" s="397">
        <v>0</v>
      </c>
      <c r="Z551" s="392"/>
      <c r="AA551" s="361" t="b">
        <v>1</v>
      </c>
      <c r="AB551" s="361"/>
      <c r="AC551" s="361"/>
      <c r="AD551" s="361"/>
      <c r="AE551" s="361"/>
      <c r="AF551" s="361"/>
      <c r="AG551" s="361"/>
      <c r="AH551" s="361"/>
      <c r="AI551" s="393"/>
      <c r="AJ551" s="333"/>
      <c r="AK551" s="333"/>
      <c r="AL551" s="333"/>
      <c r="AM551" s="333"/>
      <c r="AN551" s="333"/>
      <c r="AO551" s="333"/>
      <c r="AP551" s="333"/>
      <c r="AQ551" s="333"/>
      <c r="AR551" s="333"/>
      <c r="AS551" s="333"/>
      <c r="AT551" s="333"/>
      <c r="AU551" s="333"/>
      <c r="AV551" s="333"/>
      <c r="AW551" s="333"/>
      <c r="AX551" s="335"/>
      <c r="AY551" s="335"/>
      <c r="AZ551" s="335"/>
      <c r="BA551" s="333"/>
      <c r="BB551" s="333"/>
      <c r="BC551" s="333"/>
      <c r="BD551" s="333"/>
      <c r="BE551" s="333"/>
      <c r="BF551" s="333"/>
      <c r="BG551" s="333"/>
      <c r="BH551" s="333"/>
      <c r="BI551" s="333"/>
      <c r="BJ551" s="333"/>
      <c r="BK551" s="333"/>
      <c r="BL551" s="362"/>
      <c r="BM551" s="333"/>
      <c r="BN551" s="333"/>
      <c r="BO551" s="333"/>
      <c r="BP551" s="333"/>
      <c r="BQ551" s="333"/>
      <c r="BR551" s="333"/>
      <c r="BS551" s="333"/>
      <c r="BT551" s="333"/>
      <c r="BU551" s="333"/>
      <c r="BV551" s="333"/>
      <c r="BW551" s="333"/>
      <c r="BX551" s="333"/>
      <c r="BY551" s="333"/>
      <c r="BZ551" s="333"/>
      <c r="CA551" s="333"/>
      <c r="CB551" s="333"/>
      <c r="CC551" s="333"/>
      <c r="CD551" s="333"/>
      <c r="CE551" s="333"/>
      <c r="CF551" s="333"/>
      <c r="CG551" s="333"/>
      <c r="CH551" s="333"/>
      <c r="CI551" s="333"/>
      <c r="CJ551" s="333"/>
      <c r="CK551" s="333"/>
      <c r="CL551" s="333"/>
      <c r="CM551" s="333"/>
      <c r="CN551" s="333"/>
      <c r="CO551" s="333"/>
      <c r="CP551" s="333"/>
      <c r="CQ551" s="378"/>
      <c r="CR551" s="378"/>
      <c r="CS551" s="378"/>
      <c r="CT551" s="378"/>
      <c r="CU551" s="378"/>
      <c r="CV551" s="333"/>
      <c r="CW551" s="333"/>
      <c r="CX551" s="378"/>
      <c r="CY551" s="378"/>
      <c r="CZ551" s="71"/>
    </row>
    <row r="552" spans="1:104" ht="13" hidden="1" outlineLevel="1" x14ac:dyDescent="0.3">
      <c r="A552" s="333"/>
      <c r="B552" s="333"/>
      <c r="C552" s="333"/>
      <c r="D552" s="334"/>
      <c r="E552" s="333"/>
      <c r="F552" s="333"/>
      <c r="G552" s="378" t="s">
        <v>49</v>
      </c>
      <c r="H552" s="333"/>
      <c r="I552" s="333"/>
      <c r="J552" s="333"/>
      <c r="K552" s="378">
        <v>9</v>
      </c>
      <c r="L552" s="473">
        <v>160</v>
      </c>
      <c r="M552" s="401" t="s">
        <v>219</v>
      </c>
      <c r="N552" s="335"/>
      <c r="O552" s="335"/>
      <c r="P552" s="335"/>
      <c r="Q552" s="335"/>
      <c r="R552" s="335"/>
      <c r="S552" s="378"/>
      <c r="T552" s="335"/>
      <c r="U552" s="360"/>
      <c r="V552" s="360"/>
      <c r="W552" s="360"/>
      <c r="X552" s="392"/>
      <c r="Y552" s="361"/>
      <c r="Z552" s="361"/>
      <c r="AA552" s="361"/>
      <c r="AB552" s="361"/>
      <c r="AC552" s="361"/>
      <c r="AD552" s="361"/>
      <c r="AE552" s="361"/>
      <c r="AF552" s="361"/>
      <c r="AG552" s="361"/>
      <c r="AH552" s="361"/>
      <c r="AI552" s="393"/>
      <c r="AJ552" s="333"/>
      <c r="AK552" s="333"/>
      <c r="AL552" s="333"/>
      <c r="AM552" s="333"/>
      <c r="AN552" s="333"/>
      <c r="AO552" s="333"/>
      <c r="AP552" s="333"/>
      <c r="AQ552" s="333"/>
      <c r="AR552" s="333"/>
      <c r="AS552" s="333"/>
      <c r="AT552" s="333"/>
      <c r="AU552" s="333"/>
      <c r="AV552" s="333"/>
      <c r="AW552" s="333"/>
      <c r="AX552" s="335"/>
      <c r="AY552" s="335"/>
      <c r="AZ552" s="335"/>
      <c r="BA552" s="333"/>
      <c r="BB552" s="333"/>
      <c r="BC552" s="333"/>
      <c r="BD552" s="333"/>
      <c r="BE552" s="333"/>
      <c r="BF552" s="333"/>
      <c r="BG552" s="333"/>
      <c r="BH552" s="333"/>
      <c r="BI552" s="333"/>
      <c r="BJ552" s="333"/>
      <c r="BK552" s="333"/>
      <c r="BL552" s="362"/>
      <c r="BM552" s="333"/>
      <c r="BN552" s="333"/>
      <c r="BO552" s="333"/>
      <c r="BP552" s="333"/>
      <c r="BQ552" s="333"/>
      <c r="BR552" s="333"/>
      <c r="BS552" s="333"/>
      <c r="BT552" s="333"/>
      <c r="BU552" s="333"/>
      <c r="BV552" s="333"/>
      <c r="BW552" s="333"/>
      <c r="BX552" s="333"/>
      <c r="BY552" s="333"/>
      <c r="BZ552" s="333"/>
      <c r="CA552" s="333"/>
      <c r="CB552" s="333"/>
      <c r="CC552" s="333"/>
      <c r="CD552" s="333"/>
      <c r="CE552" s="333"/>
      <c r="CF552" s="333"/>
      <c r="CG552" s="333"/>
      <c r="CH552" s="333"/>
      <c r="CI552" s="333"/>
      <c r="CJ552" s="333"/>
      <c r="CK552" s="333"/>
      <c r="CL552" s="333"/>
      <c r="CM552" s="333"/>
      <c r="CN552" s="333"/>
      <c r="CO552" s="333"/>
      <c r="CP552" s="333"/>
      <c r="CQ552" s="378"/>
      <c r="CR552" s="378"/>
      <c r="CS552" s="378"/>
      <c r="CT552" s="378"/>
      <c r="CU552" s="378"/>
      <c r="CV552" s="333"/>
      <c r="CW552" s="333"/>
      <c r="CX552" s="378"/>
      <c r="CY552" s="378"/>
      <c r="CZ552" s="71"/>
    </row>
    <row r="553" spans="1:104" hidden="1" outlineLevel="1" x14ac:dyDescent="0.25">
      <c r="A553" s="333"/>
      <c r="B553" s="333"/>
      <c r="C553" s="333"/>
      <c r="D553" s="334"/>
      <c r="E553" s="333"/>
      <c r="F553" s="333"/>
      <c r="G553" s="390" t="s">
        <v>404</v>
      </c>
      <c r="H553" s="333"/>
      <c r="I553" s="333"/>
      <c r="J553" s="333"/>
      <c r="K553" s="378">
        <v>4</v>
      </c>
      <c r="L553" s="473">
        <v>240</v>
      </c>
      <c r="M553" s="390" t="s">
        <v>223</v>
      </c>
      <c r="N553" s="335"/>
      <c r="O553" s="335"/>
      <c r="P553" s="335"/>
      <c r="Q553" s="335" t="b">
        <f>AND(NOT(Q551),ISBLANK(ClassificationOne))</f>
        <v>0</v>
      </c>
      <c r="R553" s="335"/>
      <c r="S553" s="378" t="str">
        <f>IF(Q553,"2.  ENTER CLASSIFICATION","")</f>
        <v/>
      </c>
      <c r="T553" s="335"/>
      <c r="U553" s="360"/>
      <c r="V553" s="360"/>
      <c r="W553" s="360"/>
      <c r="X553" s="392"/>
      <c r="Y553" s="333"/>
      <c r="Z553" s="333"/>
      <c r="AA553" s="333"/>
      <c r="AB553" s="333"/>
      <c r="AC553" s="392"/>
      <c r="AD553" s="392"/>
      <c r="AE553" s="392"/>
      <c r="AF553" s="392"/>
      <c r="AG553" s="392"/>
      <c r="AH553" s="361"/>
      <c r="AI553" s="393"/>
      <c r="AJ553" s="333"/>
      <c r="AK553" s="333"/>
      <c r="AL553" s="333"/>
      <c r="AM553" s="333"/>
      <c r="AN553" s="333"/>
      <c r="AO553" s="333"/>
      <c r="AP553" s="333"/>
      <c r="AQ553" s="333"/>
      <c r="AR553" s="333"/>
      <c r="AS553" s="333"/>
      <c r="AT553" s="333"/>
      <c r="AU553" s="333"/>
      <c r="AV553" s="333"/>
      <c r="AW553" s="333"/>
      <c r="AX553" s="335"/>
      <c r="AY553" s="335"/>
      <c r="AZ553" s="335"/>
      <c r="BA553" s="333"/>
      <c r="BB553" s="333"/>
      <c r="BC553" s="333"/>
      <c r="BD553" s="333"/>
      <c r="BE553" s="333"/>
      <c r="BF553" s="333"/>
      <c r="BG553" s="333"/>
      <c r="BH553" s="333"/>
      <c r="BI553" s="333"/>
      <c r="BJ553" s="333"/>
      <c r="BK553" s="333"/>
      <c r="BL553" s="362"/>
      <c r="BM553" s="333"/>
      <c r="BN553" s="333"/>
      <c r="BO553" s="333"/>
      <c r="BP553" s="333"/>
      <c r="BQ553" s="333"/>
      <c r="BR553" s="333"/>
      <c r="BS553" s="333"/>
      <c r="BT553" s="333"/>
      <c r="BU553" s="333"/>
      <c r="BV553" s="333"/>
      <c r="BW553" s="333"/>
      <c r="BX553" s="333"/>
      <c r="BY553" s="333"/>
      <c r="BZ553" s="333"/>
      <c r="CA553" s="333"/>
      <c r="CB553" s="333"/>
      <c r="CC553" s="333"/>
      <c r="CD553" s="333"/>
      <c r="CE553" s="333"/>
      <c r="CF553" s="333"/>
      <c r="CG553" s="333"/>
      <c r="CH553" s="333"/>
      <c r="CI553" s="333"/>
      <c r="CJ553" s="333"/>
      <c r="CK553" s="333"/>
      <c r="CL553" s="333"/>
      <c r="CM553" s="333"/>
      <c r="CN553" s="333"/>
      <c r="CO553" s="333"/>
      <c r="CP553" s="333"/>
      <c r="CQ553" s="378"/>
      <c r="CR553" s="378"/>
      <c r="CS553" s="378"/>
      <c r="CT553" s="378"/>
      <c r="CU553" s="378"/>
      <c r="CV553" s="333"/>
      <c r="CW553" s="333"/>
      <c r="CX553" s="378"/>
      <c r="CY553" s="378"/>
      <c r="CZ553" s="71"/>
    </row>
    <row r="554" spans="1:104" hidden="1" outlineLevel="1" x14ac:dyDescent="0.25">
      <c r="A554" s="333"/>
      <c r="B554" s="333"/>
      <c r="C554" s="333"/>
      <c r="D554" s="334"/>
      <c r="E554" s="333"/>
      <c r="F554" s="333"/>
      <c r="G554" s="378" t="s">
        <v>8</v>
      </c>
      <c r="H554" s="333"/>
      <c r="I554" s="333"/>
      <c r="J554" s="333"/>
      <c r="K554" s="378">
        <v>4.5</v>
      </c>
      <c r="L554" s="473">
        <v>400</v>
      </c>
      <c r="M554" s="390" t="s">
        <v>222</v>
      </c>
      <c r="N554" s="335"/>
      <c r="O554" s="335"/>
      <c r="P554" s="335"/>
      <c r="Q554" s="335" t="b">
        <f>AND(NOT(Q551),NOT(Q553),ISBLANK(E24))</f>
        <v>0</v>
      </c>
      <c r="R554" s="335"/>
      <c r="S554" s="378" t="str">
        <f>IF(Q554,"3.  Enter lighting system details.","")</f>
        <v/>
      </c>
      <c r="T554" s="335"/>
      <c r="U554" s="360"/>
      <c r="V554" s="360"/>
      <c r="W554" s="360"/>
      <c r="X554" s="392"/>
      <c r="Y554" s="333"/>
      <c r="Z554" s="333"/>
      <c r="AA554" s="392"/>
      <c r="AB554" s="392"/>
      <c r="AC554" s="392"/>
      <c r="AD554" s="392"/>
      <c r="AE554" s="392"/>
      <c r="AF554" s="392"/>
      <c r="AG554" s="392"/>
      <c r="AH554" s="361"/>
      <c r="AI554" s="393"/>
      <c r="AJ554" s="333"/>
      <c r="AK554" s="333"/>
      <c r="AL554" s="333"/>
      <c r="AM554" s="333"/>
      <c r="AN554" s="333"/>
      <c r="AO554" s="333"/>
      <c r="AP554" s="333"/>
      <c r="AQ554" s="333"/>
      <c r="AR554" s="333"/>
      <c r="AS554" s="333"/>
      <c r="AT554" s="333"/>
      <c r="AU554" s="333"/>
      <c r="AV554" s="333"/>
      <c r="AW554" s="333"/>
      <c r="AX554" s="335"/>
      <c r="AY554" s="335"/>
      <c r="AZ554" s="335"/>
      <c r="BA554" s="333"/>
      <c r="BB554" s="333"/>
      <c r="BC554" s="333"/>
      <c r="BD554" s="333"/>
      <c r="BE554" s="333"/>
      <c r="BF554" s="333"/>
      <c r="BG554" s="333"/>
      <c r="BH554" s="333"/>
      <c r="BI554" s="333"/>
      <c r="BJ554" s="333"/>
      <c r="BK554" s="333"/>
      <c r="BL554" s="362"/>
      <c r="BM554" s="333"/>
      <c r="BN554" s="333"/>
      <c r="BO554" s="333"/>
      <c r="BP554" s="333"/>
      <c r="BQ554" s="333"/>
      <c r="BR554" s="333"/>
      <c r="BS554" s="333"/>
      <c r="BT554" s="333"/>
      <c r="BU554" s="333"/>
      <c r="BV554" s="333"/>
      <c r="BW554" s="333"/>
      <c r="BX554" s="333"/>
      <c r="BY554" s="333"/>
      <c r="BZ554" s="333"/>
      <c r="CA554" s="333"/>
      <c r="CB554" s="333"/>
      <c r="CC554" s="333"/>
      <c r="CD554" s="333"/>
      <c r="CE554" s="333"/>
      <c r="CF554" s="333"/>
      <c r="CG554" s="333"/>
      <c r="CH554" s="333"/>
      <c r="CI554" s="333"/>
      <c r="CJ554" s="333"/>
      <c r="CK554" s="333"/>
      <c r="CL554" s="333"/>
      <c r="CM554" s="333"/>
      <c r="CN554" s="333"/>
      <c r="CO554" s="333"/>
      <c r="CP554" s="333"/>
      <c r="CQ554" s="378"/>
      <c r="CR554" s="378"/>
      <c r="CS554" s="378"/>
      <c r="CT554" s="378"/>
      <c r="CU554" s="378"/>
      <c r="CV554" s="333"/>
      <c r="CW554" s="333"/>
      <c r="CX554" s="378"/>
      <c r="CY554" s="378"/>
      <c r="CZ554" s="71"/>
    </row>
    <row r="555" spans="1:104" hidden="1" outlineLevel="1" x14ac:dyDescent="0.25">
      <c r="A555" s="333"/>
      <c r="B555" s="333"/>
      <c r="C555" s="333"/>
      <c r="D555" s="334"/>
      <c r="E555" s="333"/>
      <c r="F555" s="333"/>
      <c r="G555" s="390" t="s">
        <v>405</v>
      </c>
      <c r="H555" s="333"/>
      <c r="I555" s="333"/>
      <c r="J555" s="333"/>
      <c r="K555" s="378">
        <v>6</v>
      </c>
      <c r="L555" s="473">
        <v>400</v>
      </c>
      <c r="M555" s="335"/>
      <c r="N555" s="335"/>
      <c r="O555" s="335"/>
      <c r="P555" s="335"/>
      <c r="Q555" s="335"/>
      <c r="R555" s="335"/>
      <c r="S555" s="335"/>
      <c r="T555" s="335"/>
      <c r="U555" s="360"/>
      <c r="V555" s="360"/>
      <c r="W555" s="360"/>
      <c r="X555" s="392"/>
      <c r="Y555" s="397"/>
      <c r="Z555" s="392"/>
      <c r="AA555" s="392"/>
      <c r="AB555" s="392"/>
      <c r="AC555" s="392"/>
      <c r="AD555" s="392"/>
      <c r="AE555" s="392"/>
      <c r="AF555" s="392"/>
      <c r="AG555" s="392"/>
      <c r="AH555" s="361"/>
      <c r="AI555" s="393"/>
      <c r="AJ555" s="333"/>
      <c r="AK555" s="333"/>
      <c r="AL555" s="333"/>
      <c r="AM555" s="333"/>
      <c r="AN555" s="333"/>
      <c r="AO555" s="333"/>
      <c r="AP555" s="333"/>
      <c r="AQ555" s="333"/>
      <c r="AR555" s="333"/>
      <c r="AS555" s="333"/>
      <c r="AT555" s="333"/>
      <c r="AU555" s="333"/>
      <c r="AV555" s="333"/>
      <c r="AW555" s="333"/>
      <c r="AX555" s="335"/>
      <c r="AY555" s="335"/>
      <c r="AZ555" s="335"/>
      <c r="BA555" s="333"/>
      <c r="BB555" s="333"/>
      <c r="BC555" s="333"/>
      <c r="BD555" s="333"/>
      <c r="BE555" s="333"/>
      <c r="BF555" s="333"/>
      <c r="BG555" s="333"/>
      <c r="BH555" s="333"/>
      <c r="BI555" s="333"/>
      <c r="BJ555" s="333"/>
      <c r="BK555" s="333"/>
      <c r="BL555" s="362"/>
      <c r="BM555" s="333"/>
      <c r="BN555" s="333"/>
      <c r="BO555" s="333"/>
      <c r="BP555" s="333"/>
      <c r="BQ555" s="333"/>
      <c r="BR555" s="333"/>
      <c r="BS555" s="333"/>
      <c r="BT555" s="333"/>
      <c r="BU555" s="333"/>
      <c r="BV555" s="333"/>
      <c r="BW555" s="333"/>
      <c r="BX555" s="333"/>
      <c r="BY555" s="333"/>
      <c r="BZ555" s="333"/>
      <c r="CA555" s="333"/>
      <c r="CB555" s="333"/>
      <c r="CC555" s="333"/>
      <c r="CD555" s="333"/>
      <c r="CE555" s="333"/>
      <c r="CF555" s="333"/>
      <c r="CG555" s="333"/>
      <c r="CH555" s="333"/>
      <c r="CI555" s="333"/>
      <c r="CJ555" s="333"/>
      <c r="CK555" s="333"/>
      <c r="CL555" s="333"/>
      <c r="CM555" s="333"/>
      <c r="CN555" s="333"/>
      <c r="CO555" s="333"/>
      <c r="CP555" s="333"/>
      <c r="CQ555" s="378"/>
      <c r="CR555" s="378"/>
      <c r="CS555" s="378"/>
      <c r="CT555" s="378"/>
      <c r="CU555" s="378"/>
      <c r="CV555" s="333"/>
      <c r="CW555" s="333"/>
      <c r="CX555" s="378"/>
      <c r="CY555" s="378"/>
      <c r="CZ555" s="71"/>
    </row>
    <row r="556" spans="1:104" hidden="1" outlineLevel="1" x14ac:dyDescent="0.25">
      <c r="A556" s="333"/>
      <c r="B556" s="333"/>
      <c r="C556" s="333"/>
      <c r="D556" s="334"/>
      <c r="E556" s="333"/>
      <c r="F556" s="333"/>
      <c r="G556" s="390" t="s">
        <v>406</v>
      </c>
      <c r="H556" s="333"/>
      <c r="I556" s="333"/>
      <c r="J556" s="333"/>
      <c r="K556" s="378">
        <v>2.5</v>
      </c>
      <c r="L556" s="473">
        <v>240</v>
      </c>
      <c r="M556" s="335"/>
      <c r="N556" s="335"/>
      <c r="O556" s="335"/>
      <c r="P556" s="335"/>
      <c r="Q556" s="335"/>
      <c r="R556" s="335"/>
      <c r="S556" s="335"/>
      <c r="T556" s="335"/>
      <c r="U556" s="360"/>
      <c r="V556" s="360"/>
      <c r="W556" s="360"/>
      <c r="X556" s="392"/>
      <c r="Y556" s="388"/>
      <c r="Z556" s="392"/>
      <c r="AA556" s="392"/>
      <c r="AB556" s="392"/>
      <c r="AC556" s="392"/>
      <c r="AD556" s="392"/>
      <c r="AE556" s="392"/>
      <c r="AF556" s="392"/>
      <c r="AG556" s="392"/>
      <c r="AH556" s="361"/>
      <c r="AI556" s="393"/>
      <c r="AJ556" s="333"/>
      <c r="AK556" s="333"/>
      <c r="AL556" s="333"/>
      <c r="AM556" s="333"/>
      <c r="AN556" s="333"/>
      <c r="AO556" s="333"/>
      <c r="AP556" s="333"/>
      <c r="AQ556" s="333"/>
      <c r="AR556" s="333"/>
      <c r="AS556" s="333"/>
      <c r="AT556" s="333"/>
      <c r="AU556" s="333"/>
      <c r="AV556" s="333"/>
      <c r="AW556" s="333"/>
      <c r="AX556" s="335"/>
      <c r="AY556" s="335"/>
      <c r="AZ556" s="335"/>
      <c r="BA556" s="333"/>
      <c r="BB556" s="333"/>
      <c r="BC556" s="333"/>
      <c r="BD556" s="333"/>
      <c r="BE556" s="333"/>
      <c r="BF556" s="333"/>
      <c r="BG556" s="333"/>
      <c r="BH556" s="333"/>
      <c r="BI556" s="333"/>
      <c r="BJ556" s="333"/>
      <c r="BK556" s="333"/>
      <c r="BL556" s="362"/>
      <c r="BM556" s="333"/>
      <c r="BN556" s="333"/>
      <c r="BO556" s="333"/>
      <c r="BP556" s="333"/>
      <c r="BQ556" s="333"/>
      <c r="BR556" s="333"/>
      <c r="BS556" s="333"/>
      <c r="BT556" s="333"/>
      <c r="BU556" s="333"/>
      <c r="BV556" s="333"/>
      <c r="BW556" s="333"/>
      <c r="BX556" s="333"/>
      <c r="BY556" s="333"/>
      <c r="BZ556" s="333"/>
      <c r="CA556" s="333"/>
      <c r="CB556" s="333"/>
      <c r="CC556" s="333"/>
      <c r="CD556" s="333"/>
      <c r="CE556" s="333"/>
      <c r="CF556" s="333"/>
      <c r="CG556" s="333"/>
      <c r="CH556" s="333"/>
      <c r="CI556" s="333"/>
      <c r="CJ556" s="333"/>
      <c r="CK556" s="333"/>
      <c r="CL556" s="333"/>
      <c r="CM556" s="333"/>
      <c r="CN556" s="333"/>
      <c r="CO556" s="333"/>
      <c r="CP556" s="333"/>
      <c r="CQ556" s="378"/>
      <c r="CR556" s="378"/>
      <c r="CS556" s="378"/>
      <c r="CT556" s="378"/>
      <c r="CU556" s="378"/>
      <c r="CV556" s="333"/>
      <c r="CW556" s="333"/>
      <c r="CX556" s="378"/>
      <c r="CY556" s="378"/>
      <c r="CZ556" s="71"/>
    </row>
    <row r="557" spans="1:104" ht="13" hidden="1" outlineLevel="1" x14ac:dyDescent="0.3">
      <c r="A557" s="333"/>
      <c r="B557" s="333"/>
      <c r="C557" s="333"/>
      <c r="D557" s="334"/>
      <c r="E557" s="333"/>
      <c r="F557" s="333"/>
      <c r="G557" s="378" t="s">
        <v>9</v>
      </c>
      <c r="H557" s="333"/>
      <c r="I557" s="333"/>
      <c r="J557" s="333"/>
      <c r="K557" s="378">
        <v>4</v>
      </c>
      <c r="L557" s="473">
        <v>240</v>
      </c>
      <c r="M557" s="390" t="s">
        <v>220</v>
      </c>
      <c r="N557" s="335"/>
      <c r="O557" s="335"/>
      <c r="P557" s="335"/>
      <c r="Q557" s="335" t="b">
        <f>AND(NOT(ISBLANK(DescriptionOne)),NOT(ISBLANK(ClassificationOne)))</f>
        <v>0</v>
      </c>
      <c r="R557" s="335"/>
      <c r="S557" s="384" t="s">
        <v>281</v>
      </c>
      <c r="T557" s="335"/>
      <c r="U557" s="360"/>
      <c r="V557" s="360"/>
      <c r="W557" s="360"/>
      <c r="X557" s="392"/>
      <c r="Y557" s="333"/>
      <c r="Z557" s="402" t="s">
        <v>85</v>
      </c>
      <c r="AA557" s="392"/>
      <c r="AB557" s="392"/>
      <c r="AC557" s="392"/>
      <c r="AD557" s="392"/>
      <c r="AE557" s="392"/>
      <c r="AF557" s="392"/>
      <c r="AG557" s="392"/>
      <c r="AH557" s="361"/>
      <c r="AI557" s="393"/>
      <c r="AJ557" s="333"/>
      <c r="AK557" s="333"/>
      <c r="AL557" s="333"/>
      <c r="AM557" s="333"/>
      <c r="AN557" s="333"/>
      <c r="AO557" s="333"/>
      <c r="AP557" s="333"/>
      <c r="AQ557" s="333"/>
      <c r="AR557" s="333"/>
      <c r="AS557" s="333"/>
      <c r="AT557" s="333"/>
      <c r="AU557" s="333"/>
      <c r="AV557" s="333"/>
      <c r="AW557" s="333"/>
      <c r="AX557" s="335"/>
      <c r="AY557" s="335"/>
      <c r="AZ557" s="335"/>
      <c r="BA557" s="333"/>
      <c r="BB557" s="333"/>
      <c r="BC557" s="333"/>
      <c r="BD557" s="333"/>
      <c r="BE557" s="333"/>
      <c r="BF557" s="333"/>
      <c r="BG557" s="333"/>
      <c r="BH557" s="333"/>
      <c r="BI557" s="333"/>
      <c r="BJ557" s="333"/>
      <c r="BK557" s="333"/>
      <c r="BL557" s="362"/>
      <c r="BM557" s="333"/>
      <c r="BN557" s="333"/>
      <c r="BO557" s="333"/>
      <c r="BP557" s="333"/>
      <c r="BQ557" s="333"/>
      <c r="BR557" s="333"/>
      <c r="BS557" s="333"/>
      <c r="BT557" s="333"/>
      <c r="BU557" s="333"/>
      <c r="BV557" s="333"/>
      <c r="BW557" s="333"/>
      <c r="BX557" s="333"/>
      <c r="BY557" s="333"/>
      <c r="BZ557" s="333"/>
      <c r="CA557" s="333"/>
      <c r="CB557" s="333"/>
      <c r="CC557" s="333"/>
      <c r="CD557" s="333"/>
      <c r="CE557" s="333"/>
      <c r="CF557" s="333"/>
      <c r="CG557" s="333"/>
      <c r="CH557" s="333"/>
      <c r="CI557" s="333"/>
      <c r="CJ557" s="333"/>
      <c r="CK557" s="333"/>
      <c r="CL557" s="333"/>
      <c r="CM557" s="333"/>
      <c r="CN557" s="333"/>
      <c r="CO557" s="333"/>
      <c r="CP557" s="333"/>
      <c r="CQ557" s="378"/>
      <c r="CR557" s="378"/>
      <c r="CS557" s="378"/>
      <c r="CT557" s="378"/>
      <c r="CU557" s="378"/>
      <c r="CV557" s="333"/>
      <c r="CW557" s="333"/>
      <c r="CX557" s="378"/>
      <c r="CY557" s="378"/>
      <c r="CZ557" s="71"/>
    </row>
    <row r="558" spans="1:104" ht="13" hidden="1" outlineLevel="1" x14ac:dyDescent="0.3">
      <c r="A558" s="333"/>
      <c r="B558" s="333"/>
      <c r="C558" s="333"/>
      <c r="D558" s="334"/>
      <c r="E558" s="333"/>
      <c r="F558" s="333"/>
      <c r="G558" s="378" t="s">
        <v>67</v>
      </c>
      <c r="H558" s="333"/>
      <c r="I558" s="333"/>
      <c r="J558" s="333"/>
      <c r="K558" s="378">
        <v>6</v>
      </c>
      <c r="L558" s="473">
        <v>400</v>
      </c>
      <c r="M558" s="378"/>
      <c r="N558" s="335"/>
      <c r="O558" s="335"/>
      <c r="P558" s="335"/>
      <c r="Q558" s="335"/>
      <c r="R558" s="335"/>
      <c r="S558" s="384" t="s">
        <v>282</v>
      </c>
      <c r="T558" s="335"/>
      <c r="U558" s="360"/>
      <c r="V558" s="360"/>
      <c r="W558" s="360"/>
      <c r="X558" s="392"/>
      <c r="Y558" s="333"/>
      <c r="Z558" s="333" t="s">
        <v>83</v>
      </c>
      <c r="AA558" s="392"/>
      <c r="AB558" s="392"/>
      <c r="AC558" s="392"/>
      <c r="AD558" s="392"/>
      <c r="AE558" s="392"/>
      <c r="AF558" s="392"/>
      <c r="AG558" s="392"/>
      <c r="AH558" s="361"/>
      <c r="AI558" s="393"/>
      <c r="AJ558" s="333"/>
      <c r="AK558" s="333"/>
      <c r="AL558" s="333"/>
      <c r="AM558" s="333"/>
      <c r="AN558" s="333"/>
      <c r="AO558" s="333"/>
      <c r="AP558" s="333"/>
      <c r="AQ558" s="333"/>
      <c r="AR558" s="333"/>
      <c r="AS558" s="333"/>
      <c r="AT558" s="333"/>
      <c r="AU558" s="333"/>
      <c r="AV558" s="333"/>
      <c r="AW558" s="333"/>
      <c r="AX558" s="335"/>
      <c r="AY558" s="335"/>
      <c r="AZ558" s="335"/>
      <c r="BA558" s="333"/>
      <c r="BB558" s="333"/>
      <c r="BC558" s="333"/>
      <c r="BD558" s="333"/>
      <c r="BE558" s="333"/>
      <c r="BF558" s="333"/>
      <c r="BG558" s="333"/>
      <c r="BH558" s="333"/>
      <c r="BI558" s="333"/>
      <c r="BJ558" s="333"/>
      <c r="BK558" s="333"/>
      <c r="BL558" s="362"/>
      <c r="BM558" s="333"/>
      <c r="BN558" s="333"/>
      <c r="BO558" s="333"/>
      <c r="BP558" s="333"/>
      <c r="BQ558" s="333"/>
      <c r="BR558" s="333"/>
      <c r="BS558" s="333"/>
      <c r="BT558" s="333"/>
      <c r="BU558" s="333"/>
      <c r="BV558" s="333"/>
      <c r="BW558" s="333"/>
      <c r="BX558" s="333"/>
      <c r="BY558" s="333"/>
      <c r="BZ558" s="333"/>
      <c r="CA558" s="333"/>
      <c r="CB558" s="333"/>
      <c r="CC558" s="333"/>
      <c r="CD558" s="333"/>
      <c r="CE558" s="333"/>
      <c r="CF558" s="333"/>
      <c r="CG558" s="333"/>
      <c r="CH558" s="333"/>
      <c r="CI558" s="333"/>
      <c r="CJ558" s="333"/>
      <c r="CK558" s="333"/>
      <c r="CL558" s="333"/>
      <c r="CM558" s="333"/>
      <c r="CN558" s="333"/>
      <c r="CO558" s="333"/>
      <c r="CP558" s="333"/>
      <c r="CQ558" s="378"/>
      <c r="CR558" s="378"/>
      <c r="CS558" s="378"/>
      <c r="CT558" s="378"/>
      <c r="CU558" s="378"/>
      <c r="CV558" s="333"/>
      <c r="CW558" s="333"/>
      <c r="CX558" s="378"/>
      <c r="CY558" s="378"/>
      <c r="CZ558" s="71"/>
    </row>
    <row r="559" spans="1:104" hidden="1" outlineLevel="1" x14ac:dyDescent="0.25">
      <c r="A559" s="333"/>
      <c r="B559" s="333"/>
      <c r="C559" s="333"/>
      <c r="D559" s="334"/>
      <c r="E559" s="333"/>
      <c r="F559" s="333"/>
      <c r="G559" s="378" t="s">
        <v>50</v>
      </c>
      <c r="H559" s="333"/>
      <c r="I559" s="333"/>
      <c r="J559" s="333"/>
      <c r="K559" s="378">
        <v>2.5</v>
      </c>
      <c r="L559" s="473">
        <v>240</v>
      </c>
      <c r="M559" s="335"/>
      <c r="N559" s="335"/>
      <c r="O559" s="335"/>
      <c r="P559" s="335"/>
      <c r="Q559" s="335"/>
      <c r="R559" s="335"/>
      <c r="S559" s="335"/>
      <c r="T559" s="335"/>
      <c r="U559" s="360"/>
      <c r="V559" s="360"/>
      <c r="W559" s="360"/>
      <c r="X559" s="392"/>
      <c r="Y559" s="333"/>
      <c r="Z559" s="403" t="s">
        <v>84</v>
      </c>
      <c r="AA559" s="392"/>
      <c r="AB559" s="392"/>
      <c r="AC559" s="392"/>
      <c r="AD559" s="392"/>
      <c r="AE559" s="392"/>
      <c r="AF559" s="392"/>
      <c r="AG559" s="392"/>
      <c r="AH559" s="361"/>
      <c r="AI559" s="361"/>
      <c r="AJ559" s="333"/>
      <c r="AK559" s="333"/>
      <c r="AL559" s="333"/>
      <c r="AM559" s="333"/>
      <c r="AN559" s="333"/>
      <c r="AO559" s="333"/>
      <c r="AP559" s="333"/>
      <c r="AQ559" s="333"/>
      <c r="AR559" s="333"/>
      <c r="AS559" s="333"/>
      <c r="AT559" s="333"/>
      <c r="AU559" s="333"/>
      <c r="AV559" s="333"/>
      <c r="AW559" s="333"/>
      <c r="AX559" s="335"/>
      <c r="AY559" s="335"/>
      <c r="AZ559" s="335"/>
      <c r="BA559" s="333"/>
      <c r="BB559" s="333"/>
      <c r="BC559" s="333"/>
      <c r="BD559" s="333"/>
      <c r="BE559" s="333"/>
      <c r="BF559" s="333"/>
      <c r="BG559" s="333"/>
      <c r="BH559" s="333"/>
      <c r="BI559" s="333"/>
      <c r="BJ559" s="333"/>
      <c r="BK559" s="333"/>
      <c r="BL559" s="362"/>
      <c r="BM559" s="333"/>
      <c r="BN559" s="333"/>
      <c r="BO559" s="333"/>
      <c r="BP559" s="333"/>
      <c r="BQ559" s="333"/>
      <c r="BR559" s="333"/>
      <c r="BS559" s="333"/>
      <c r="BT559" s="333"/>
      <c r="BU559" s="333"/>
      <c r="BV559" s="333"/>
      <c r="BW559" s="333"/>
      <c r="BX559" s="333"/>
      <c r="BY559" s="333"/>
      <c r="BZ559" s="333"/>
      <c r="CA559" s="333"/>
      <c r="CB559" s="333"/>
      <c r="CC559" s="333"/>
      <c r="CD559" s="333"/>
      <c r="CE559" s="333"/>
      <c r="CF559" s="333"/>
      <c r="CG559" s="333"/>
      <c r="CH559" s="333"/>
      <c r="CI559" s="333"/>
      <c r="CJ559" s="333"/>
      <c r="CK559" s="333"/>
      <c r="CL559" s="333"/>
      <c r="CM559" s="333"/>
      <c r="CN559" s="333"/>
      <c r="CO559" s="333"/>
      <c r="CP559" s="333"/>
      <c r="CQ559" s="378"/>
      <c r="CR559" s="378"/>
      <c r="CS559" s="378"/>
      <c r="CT559" s="378"/>
      <c r="CU559" s="378"/>
      <c r="CV559" s="333"/>
      <c r="CW559" s="333"/>
      <c r="CX559" s="378"/>
      <c r="CY559" s="378"/>
      <c r="CZ559" s="71"/>
    </row>
    <row r="560" spans="1:104" hidden="1" outlineLevel="1" x14ac:dyDescent="0.25">
      <c r="A560" s="333"/>
      <c r="B560" s="333"/>
      <c r="C560" s="333"/>
      <c r="D560" s="334"/>
      <c r="E560" s="333"/>
      <c r="F560" s="333"/>
      <c r="G560" s="378" t="s">
        <v>51</v>
      </c>
      <c r="H560" s="333"/>
      <c r="I560" s="333"/>
      <c r="J560" s="333"/>
      <c r="K560" s="378">
        <v>4.5</v>
      </c>
      <c r="L560" s="473">
        <v>320</v>
      </c>
      <c r="M560" s="335"/>
      <c r="N560" s="335"/>
      <c r="O560" s="335"/>
      <c r="P560" s="335"/>
      <c r="Q560" s="335"/>
      <c r="R560" s="335"/>
      <c r="S560" s="335"/>
      <c r="T560" s="335"/>
      <c r="U560" s="360"/>
      <c r="V560" s="360"/>
      <c r="W560" s="360"/>
      <c r="X560" s="392"/>
      <c r="Y560" s="333"/>
      <c r="Z560" s="403" t="s">
        <v>86</v>
      </c>
      <c r="AA560" s="388"/>
      <c r="AB560" s="388"/>
      <c r="AC560" s="388"/>
      <c r="AD560" s="388"/>
      <c r="AE560" s="388"/>
      <c r="AF560" s="388"/>
      <c r="AG560" s="388"/>
      <c r="AH560" s="392"/>
      <c r="AI560" s="361"/>
      <c r="AJ560" s="333"/>
      <c r="AK560" s="333"/>
      <c r="AL560" s="333"/>
      <c r="AM560" s="333"/>
      <c r="AN560" s="333"/>
      <c r="AO560" s="333"/>
      <c r="AP560" s="333"/>
      <c r="AQ560" s="333"/>
      <c r="AR560" s="333"/>
      <c r="AS560" s="333"/>
      <c r="AT560" s="333"/>
      <c r="AU560" s="333"/>
      <c r="AV560" s="333"/>
      <c r="AW560" s="333"/>
      <c r="AX560" s="335"/>
      <c r="AY560" s="335"/>
      <c r="AZ560" s="335"/>
      <c r="BA560" s="333"/>
      <c r="BB560" s="333"/>
      <c r="BC560" s="333"/>
      <c r="BD560" s="333"/>
      <c r="BE560" s="333"/>
      <c r="BF560" s="333"/>
      <c r="BG560" s="333"/>
      <c r="BH560" s="333"/>
      <c r="BI560" s="333"/>
      <c r="BJ560" s="333"/>
      <c r="BK560" s="333"/>
      <c r="BL560" s="362"/>
      <c r="BM560" s="333"/>
      <c r="BN560" s="333"/>
      <c r="BO560" s="333"/>
      <c r="BP560" s="333"/>
      <c r="BQ560" s="333"/>
      <c r="BR560" s="333"/>
      <c r="BS560" s="333"/>
      <c r="BT560" s="333"/>
      <c r="BU560" s="333"/>
      <c r="BV560" s="333"/>
      <c r="BW560" s="333"/>
      <c r="BX560" s="333"/>
      <c r="BY560" s="333"/>
      <c r="BZ560" s="333"/>
      <c r="CA560" s="333"/>
      <c r="CB560" s="333"/>
      <c r="CC560" s="333"/>
      <c r="CD560" s="333"/>
      <c r="CE560" s="333"/>
      <c r="CF560" s="333"/>
      <c r="CG560" s="333"/>
      <c r="CH560" s="333"/>
      <c r="CI560" s="333"/>
      <c r="CJ560" s="333"/>
      <c r="CK560" s="333"/>
      <c r="CL560" s="333"/>
      <c r="CM560" s="333"/>
      <c r="CN560" s="333"/>
      <c r="CO560" s="333"/>
      <c r="CP560" s="333"/>
      <c r="CQ560" s="378"/>
      <c r="CR560" s="378"/>
      <c r="CS560" s="378"/>
      <c r="CT560" s="378"/>
      <c r="CU560" s="378"/>
      <c r="CV560" s="333"/>
      <c r="CW560" s="333"/>
      <c r="CX560" s="378"/>
      <c r="CY560" s="378"/>
      <c r="CZ560" s="71"/>
    </row>
    <row r="561" spans="1:104" hidden="1" outlineLevel="1" x14ac:dyDescent="0.25">
      <c r="A561" s="333"/>
      <c r="B561" s="333"/>
      <c r="C561" s="333"/>
      <c r="D561" s="334"/>
      <c r="E561" s="333"/>
      <c r="F561" s="333"/>
      <c r="G561" s="390" t="s">
        <v>407</v>
      </c>
      <c r="H561" s="333"/>
      <c r="I561" s="333"/>
      <c r="J561" s="333"/>
      <c r="K561" s="378">
        <v>4.5</v>
      </c>
      <c r="L561" s="473">
        <v>240</v>
      </c>
      <c r="M561" s="335"/>
      <c r="N561" s="338"/>
      <c r="O561" s="335"/>
      <c r="P561" s="335"/>
      <c r="Q561" s="335"/>
      <c r="R561" s="335"/>
      <c r="S561" s="335"/>
      <c r="T561" s="335"/>
      <c r="U561" s="360"/>
      <c r="V561" s="360"/>
      <c r="W561" s="360"/>
      <c r="X561" s="333"/>
      <c r="Y561" s="333"/>
      <c r="Z561" s="403" t="s">
        <v>87</v>
      </c>
      <c r="AA561" s="333"/>
      <c r="AB561" s="333"/>
      <c r="AC561" s="333"/>
      <c r="AD561" s="333"/>
      <c r="AE561" s="333"/>
      <c r="AF561" s="333"/>
      <c r="AG561" s="333"/>
      <c r="AH561" s="361"/>
      <c r="AI561" s="361"/>
      <c r="AJ561" s="333"/>
      <c r="AK561" s="333"/>
      <c r="AL561" s="333"/>
      <c r="AM561" s="333"/>
      <c r="AN561" s="333"/>
      <c r="AO561" s="333"/>
      <c r="AP561" s="333"/>
      <c r="AQ561" s="333"/>
      <c r="AR561" s="333"/>
      <c r="AS561" s="333"/>
      <c r="AT561" s="333"/>
      <c r="AU561" s="333"/>
      <c r="AV561" s="333"/>
      <c r="AW561" s="333"/>
      <c r="AX561" s="335"/>
      <c r="AY561" s="335"/>
      <c r="AZ561" s="335"/>
      <c r="BA561" s="333"/>
      <c r="BB561" s="333"/>
      <c r="BC561" s="333"/>
      <c r="BD561" s="333"/>
      <c r="BE561" s="333"/>
      <c r="BF561" s="333"/>
      <c r="BG561" s="333"/>
      <c r="BH561" s="333"/>
      <c r="BI561" s="333"/>
      <c r="BJ561" s="333"/>
      <c r="BK561" s="333"/>
      <c r="BL561" s="362"/>
      <c r="BM561" s="333"/>
      <c r="BN561" s="333"/>
      <c r="BO561" s="333"/>
      <c r="BP561" s="333"/>
      <c r="BQ561" s="333"/>
      <c r="BR561" s="333"/>
      <c r="BS561" s="333"/>
      <c r="BT561" s="333"/>
      <c r="BU561" s="333"/>
      <c r="BV561" s="333"/>
      <c r="BW561" s="333"/>
      <c r="BX561" s="333"/>
      <c r="BY561" s="333"/>
      <c r="BZ561" s="333"/>
      <c r="CA561" s="333"/>
      <c r="CB561" s="333"/>
      <c r="CC561" s="333"/>
      <c r="CD561" s="333"/>
      <c r="CE561" s="333"/>
      <c r="CF561" s="333"/>
      <c r="CG561" s="333"/>
      <c r="CH561" s="333"/>
      <c r="CI561" s="333"/>
      <c r="CJ561" s="333"/>
      <c r="CK561" s="333"/>
      <c r="CL561" s="333"/>
      <c r="CM561" s="333"/>
      <c r="CN561" s="333"/>
      <c r="CO561" s="333"/>
      <c r="CP561" s="333"/>
      <c r="CQ561" s="378"/>
      <c r="CR561" s="378"/>
      <c r="CS561" s="378"/>
      <c r="CT561" s="378"/>
      <c r="CU561" s="378"/>
      <c r="CV561" s="333"/>
      <c r="CW561" s="333"/>
      <c r="CX561" s="378"/>
      <c r="CY561" s="378"/>
      <c r="CZ561" s="71"/>
    </row>
    <row r="562" spans="1:104" ht="13" hidden="1" outlineLevel="1" x14ac:dyDescent="0.3">
      <c r="A562" s="333"/>
      <c r="B562" s="333"/>
      <c r="C562" s="333"/>
      <c r="D562" s="334"/>
      <c r="E562" s="333"/>
      <c r="F562" s="333"/>
      <c r="G562" s="378" t="s">
        <v>10</v>
      </c>
      <c r="H562" s="333"/>
      <c r="I562" s="333"/>
      <c r="J562" s="333"/>
      <c r="K562" s="378">
        <v>2.5</v>
      </c>
      <c r="L562" s="473">
        <v>240</v>
      </c>
      <c r="M562" s="404" t="s">
        <v>162</v>
      </c>
      <c r="N562" s="335"/>
      <c r="O562" s="399"/>
      <c r="P562" s="399"/>
      <c r="Q562" s="335"/>
      <c r="R562" s="335"/>
      <c r="S562" s="335"/>
      <c r="T562" s="335"/>
      <c r="U562" s="360"/>
      <c r="V562" s="360"/>
      <c r="W562" s="360"/>
      <c r="X562" s="333"/>
      <c r="Y562" s="333"/>
      <c r="Z562" s="403" t="s">
        <v>92</v>
      </c>
      <c r="AA562" s="333"/>
      <c r="AB562" s="333"/>
      <c r="AC562" s="333"/>
      <c r="AD562" s="333"/>
      <c r="AE562" s="333"/>
      <c r="AF562" s="333"/>
      <c r="AG562" s="333"/>
      <c r="AH562" s="361"/>
      <c r="AI562" s="361"/>
      <c r="AJ562" s="333"/>
      <c r="AK562" s="333"/>
      <c r="AL562" s="333"/>
      <c r="AM562" s="333"/>
      <c r="AN562" s="333"/>
      <c r="AO562" s="333"/>
      <c r="AP562" s="333"/>
      <c r="AQ562" s="333"/>
      <c r="AR562" s="333"/>
      <c r="AS562" s="333"/>
      <c r="AT562" s="333"/>
      <c r="AU562" s="333"/>
      <c r="AV562" s="333"/>
      <c r="AW562" s="333"/>
      <c r="AX562" s="335"/>
      <c r="AY562" s="335"/>
      <c r="AZ562" s="335"/>
      <c r="BA562" s="333"/>
      <c r="BB562" s="333"/>
      <c r="BC562" s="333"/>
      <c r="BD562" s="333"/>
      <c r="BE562" s="333"/>
      <c r="BF562" s="333"/>
      <c r="BG562" s="333"/>
      <c r="BH562" s="333"/>
      <c r="BI562" s="333"/>
      <c r="BJ562" s="333"/>
      <c r="BK562" s="333"/>
      <c r="BL562" s="362"/>
      <c r="BM562" s="333"/>
      <c r="BN562" s="333"/>
      <c r="BO562" s="333"/>
      <c r="BP562" s="333"/>
      <c r="BQ562" s="333"/>
      <c r="BR562" s="333"/>
      <c r="BS562" s="333"/>
      <c r="BT562" s="333"/>
      <c r="BU562" s="333"/>
      <c r="BV562" s="333"/>
      <c r="BW562" s="333"/>
      <c r="BX562" s="333"/>
      <c r="BY562" s="333"/>
      <c r="BZ562" s="333"/>
      <c r="CA562" s="333"/>
      <c r="CB562" s="333"/>
      <c r="CC562" s="333"/>
      <c r="CD562" s="333"/>
      <c r="CE562" s="333"/>
      <c r="CF562" s="333"/>
      <c r="CG562" s="333"/>
      <c r="CH562" s="333"/>
      <c r="CI562" s="333"/>
      <c r="CJ562" s="333"/>
      <c r="CK562" s="333"/>
      <c r="CL562" s="333"/>
      <c r="CM562" s="333"/>
      <c r="CN562" s="333"/>
      <c r="CO562" s="333"/>
      <c r="CP562" s="333"/>
      <c r="CQ562" s="378"/>
      <c r="CR562" s="378"/>
      <c r="CS562" s="378"/>
      <c r="CT562" s="378"/>
      <c r="CU562" s="378"/>
      <c r="CV562" s="333"/>
      <c r="CW562" s="333"/>
      <c r="CX562" s="378"/>
      <c r="CY562" s="378"/>
      <c r="CZ562" s="71"/>
    </row>
    <row r="563" spans="1:104" hidden="1" outlineLevel="1" x14ac:dyDescent="0.25">
      <c r="A563" s="333"/>
      <c r="B563" s="333"/>
      <c r="C563" s="333"/>
      <c r="D563" s="334"/>
      <c r="E563" s="333"/>
      <c r="F563" s="333"/>
      <c r="G563" s="378" t="s">
        <v>11</v>
      </c>
      <c r="H563" s="333"/>
      <c r="I563" s="333"/>
      <c r="J563" s="333"/>
      <c r="K563" s="378">
        <v>4.5</v>
      </c>
      <c r="L563" s="473">
        <v>320</v>
      </c>
      <c r="M563" s="405"/>
      <c r="N563" s="405"/>
      <c r="O563" s="335"/>
      <c r="P563" s="335"/>
      <c r="Q563" s="335"/>
      <c r="R563" s="335"/>
      <c r="S563" s="335"/>
      <c r="T563" s="335"/>
      <c r="U563" s="360"/>
      <c r="V563" s="360"/>
      <c r="W563" s="360"/>
      <c r="X563" s="333"/>
      <c r="Y563" s="333"/>
      <c r="Z563" s="403" t="s">
        <v>93</v>
      </c>
      <c r="AA563" s="333"/>
      <c r="AB563" s="333"/>
      <c r="AC563" s="333"/>
      <c r="AD563" s="333"/>
      <c r="AE563" s="333"/>
      <c r="AF563" s="333"/>
      <c r="AG563" s="333"/>
      <c r="AH563" s="361"/>
      <c r="AI563" s="361"/>
      <c r="AJ563" s="333"/>
      <c r="AK563" s="333"/>
      <c r="AL563" s="333"/>
      <c r="AM563" s="333"/>
      <c r="AN563" s="333"/>
      <c r="AO563" s="333"/>
      <c r="AP563" s="333"/>
      <c r="AQ563" s="333"/>
      <c r="AR563" s="333"/>
      <c r="AS563" s="333"/>
      <c r="AT563" s="333"/>
      <c r="AU563" s="333"/>
      <c r="AV563" s="333"/>
      <c r="AW563" s="333"/>
      <c r="AX563" s="335"/>
      <c r="AY563" s="335"/>
      <c r="AZ563" s="335"/>
      <c r="BA563" s="333"/>
      <c r="BB563" s="333"/>
      <c r="BC563" s="333"/>
      <c r="BD563" s="333"/>
      <c r="BE563" s="333"/>
      <c r="BF563" s="333"/>
      <c r="BG563" s="333"/>
      <c r="BH563" s="333"/>
      <c r="BI563" s="333"/>
      <c r="BJ563" s="333"/>
      <c r="BK563" s="333"/>
      <c r="BL563" s="362"/>
      <c r="BM563" s="333"/>
      <c r="BN563" s="333"/>
      <c r="BO563" s="333"/>
      <c r="BP563" s="333"/>
      <c r="BQ563" s="333"/>
      <c r="BR563" s="333"/>
      <c r="BS563" s="333"/>
      <c r="BT563" s="333"/>
      <c r="BU563" s="333"/>
      <c r="BV563" s="333"/>
      <c r="BW563" s="333"/>
      <c r="BX563" s="333"/>
      <c r="BY563" s="333"/>
      <c r="BZ563" s="333"/>
      <c r="CA563" s="333"/>
      <c r="CB563" s="333"/>
      <c r="CC563" s="333"/>
      <c r="CD563" s="333"/>
      <c r="CE563" s="333"/>
      <c r="CF563" s="333"/>
      <c r="CG563" s="333"/>
      <c r="CH563" s="333"/>
      <c r="CI563" s="333"/>
      <c r="CJ563" s="333"/>
      <c r="CK563" s="333"/>
      <c r="CL563" s="333"/>
      <c r="CM563" s="333"/>
      <c r="CN563" s="333"/>
      <c r="CO563" s="333"/>
      <c r="CP563" s="333"/>
      <c r="CQ563" s="378"/>
      <c r="CR563" s="378"/>
      <c r="CS563" s="378"/>
      <c r="CT563" s="378"/>
      <c r="CU563" s="378"/>
      <c r="CV563" s="333"/>
      <c r="CW563" s="333"/>
      <c r="CX563" s="378"/>
      <c r="CY563" s="378"/>
      <c r="CZ563" s="71"/>
    </row>
    <row r="564" spans="1:104" ht="13" hidden="1" outlineLevel="1" x14ac:dyDescent="0.3">
      <c r="A564" s="333"/>
      <c r="B564" s="333"/>
      <c r="C564" s="333"/>
      <c r="D564" s="334"/>
      <c r="E564" s="333"/>
      <c r="F564" s="333"/>
      <c r="G564" s="390" t="s">
        <v>353</v>
      </c>
      <c r="H564" s="333"/>
      <c r="I564" s="333"/>
      <c r="J564" s="333"/>
      <c r="K564" s="378">
        <v>2.5</v>
      </c>
      <c r="L564" s="473">
        <v>160</v>
      </c>
      <c r="M564" s="378" t="s">
        <v>163</v>
      </c>
      <c r="N564" s="335"/>
      <c r="O564" s="335"/>
      <c r="P564" s="335" t="b">
        <f>AND(MIPDLONE&gt;=ADIPLone)</f>
        <v>1</v>
      </c>
      <c r="Q564" s="335" t="str">
        <f>IF(AND(PassCom,P$566),"Green","n/a")</f>
        <v>n/a</v>
      </c>
      <c r="R564" s="335"/>
      <c r="S564" s="384" t="s">
        <v>361</v>
      </c>
      <c r="T564" s="335"/>
      <c r="U564" s="360"/>
      <c r="V564" s="360"/>
      <c r="W564" s="360"/>
      <c r="X564" s="333"/>
      <c r="Y564" s="333"/>
      <c r="Z564" s="403" t="s">
        <v>88</v>
      </c>
      <c r="AA564" s="333"/>
      <c r="AB564" s="333"/>
      <c r="AC564" s="333"/>
      <c r="AD564" s="333"/>
      <c r="AE564" s="333"/>
      <c r="AF564" s="333"/>
      <c r="AG564" s="333"/>
      <c r="AH564" s="361"/>
      <c r="AI564" s="361"/>
      <c r="AJ564" s="333"/>
      <c r="AK564" s="333"/>
      <c r="AL564" s="333"/>
      <c r="AM564" s="333"/>
      <c r="AN564" s="333"/>
      <c r="AO564" s="333"/>
      <c r="AP564" s="333"/>
      <c r="AQ564" s="333"/>
      <c r="AR564" s="333"/>
      <c r="AS564" s="333"/>
      <c r="AT564" s="333"/>
      <c r="AU564" s="333"/>
      <c r="AV564" s="333"/>
      <c r="AW564" s="333"/>
      <c r="AX564" s="335"/>
      <c r="AY564" s="335"/>
      <c r="AZ564" s="335"/>
      <c r="BA564" s="333"/>
      <c r="BB564" s="333"/>
      <c r="BC564" s="333"/>
      <c r="BD564" s="333"/>
      <c r="BE564" s="333"/>
      <c r="BF564" s="333"/>
      <c r="BG564" s="333"/>
      <c r="BH564" s="333"/>
      <c r="BI564" s="333"/>
      <c r="BJ564" s="333"/>
      <c r="BK564" s="333"/>
      <c r="BL564" s="362"/>
      <c r="BM564" s="333"/>
      <c r="BN564" s="333"/>
      <c r="BO564" s="333"/>
      <c r="BP564" s="333"/>
      <c r="BQ564" s="333"/>
      <c r="BR564" s="333"/>
      <c r="BS564" s="333"/>
      <c r="BT564" s="333"/>
      <c r="BU564" s="333"/>
      <c r="BV564" s="333"/>
      <c r="BW564" s="333"/>
      <c r="BX564" s="333"/>
      <c r="BY564" s="333"/>
      <c r="BZ564" s="333"/>
      <c r="CA564" s="333"/>
      <c r="CB564" s="333"/>
      <c r="CC564" s="333"/>
      <c r="CD564" s="333"/>
      <c r="CE564" s="333"/>
      <c r="CF564" s="333"/>
      <c r="CG564" s="333"/>
      <c r="CH564" s="333"/>
      <c r="CI564" s="333"/>
      <c r="CJ564" s="333"/>
      <c r="CK564" s="333"/>
      <c r="CL564" s="333"/>
      <c r="CM564" s="333"/>
      <c r="CN564" s="333"/>
      <c r="CO564" s="333"/>
      <c r="CP564" s="333"/>
      <c r="CQ564" s="378"/>
      <c r="CR564" s="378"/>
      <c r="CS564" s="378"/>
      <c r="CT564" s="378"/>
      <c r="CU564" s="378"/>
      <c r="CV564" s="333"/>
      <c r="CW564" s="333"/>
      <c r="CX564" s="378"/>
      <c r="CY564" s="378"/>
      <c r="CZ564" s="71"/>
    </row>
    <row r="565" spans="1:104" ht="13" hidden="1" outlineLevel="1" x14ac:dyDescent="0.3">
      <c r="A565" s="333"/>
      <c r="B565" s="333"/>
      <c r="C565" s="333"/>
      <c r="D565" s="334"/>
      <c r="E565" s="333"/>
      <c r="F565" s="333"/>
      <c r="G565" s="390" t="s">
        <v>408</v>
      </c>
      <c r="H565" s="333"/>
      <c r="I565" s="333"/>
      <c r="J565" s="333"/>
      <c r="K565" s="378">
        <v>4</v>
      </c>
      <c r="L565" s="473">
        <v>160</v>
      </c>
      <c r="M565" s="378" t="s">
        <v>165</v>
      </c>
      <c r="N565" s="335"/>
      <c r="O565" s="335"/>
      <c r="P565" s="335" t="b">
        <f>AND(ADIPLone&gt;MIPDLONE)</f>
        <v>0</v>
      </c>
      <c r="Q565" s="335" t="str">
        <f>IF(AND(FailCom,P$566),"Red","n/a")</f>
        <v>n/a</v>
      </c>
      <c r="R565" s="335"/>
      <c r="S565" s="384" t="s">
        <v>361</v>
      </c>
      <c r="T565" s="335"/>
      <c r="U565" s="360"/>
      <c r="V565" s="360"/>
      <c r="W565" s="360"/>
      <c r="X565" s="333"/>
      <c r="Y565" s="333"/>
      <c r="Z565" s="403" t="s">
        <v>89</v>
      </c>
      <c r="AA565" s="333"/>
      <c r="AB565" s="333"/>
      <c r="AC565" s="333"/>
      <c r="AD565" s="333"/>
      <c r="AE565" s="333"/>
      <c r="AF565" s="333"/>
      <c r="AG565" s="333"/>
      <c r="AH565" s="361"/>
      <c r="AI565" s="361"/>
      <c r="AJ565" s="333"/>
      <c r="AK565" s="333"/>
      <c r="AL565" s="333"/>
      <c r="AM565" s="333"/>
      <c r="AN565" s="333"/>
      <c r="AO565" s="333"/>
      <c r="AP565" s="333"/>
      <c r="AQ565" s="333"/>
      <c r="AR565" s="333"/>
      <c r="AS565" s="333"/>
      <c r="AT565" s="333"/>
      <c r="AU565" s="333"/>
      <c r="AV565" s="333"/>
      <c r="AW565" s="333"/>
      <c r="AX565" s="335"/>
      <c r="AY565" s="335"/>
      <c r="AZ565" s="335"/>
      <c r="BA565" s="333"/>
      <c r="BB565" s="333"/>
      <c r="BC565" s="333"/>
      <c r="BD565" s="333"/>
      <c r="BE565" s="333"/>
      <c r="BF565" s="333"/>
      <c r="BG565" s="333"/>
      <c r="BH565" s="333"/>
      <c r="BI565" s="333"/>
      <c r="BJ565" s="333"/>
      <c r="BK565" s="333"/>
      <c r="BL565" s="362"/>
      <c r="BM565" s="333"/>
      <c r="BN565" s="333"/>
      <c r="BO565" s="333"/>
      <c r="BP565" s="333"/>
      <c r="BQ565" s="333"/>
      <c r="BR565" s="333"/>
      <c r="BS565" s="333"/>
      <c r="BT565" s="333"/>
      <c r="BU565" s="333"/>
      <c r="BV565" s="333"/>
      <c r="BW565" s="333"/>
      <c r="BX565" s="333"/>
      <c r="BY565" s="333"/>
      <c r="BZ565" s="333"/>
      <c r="CA565" s="333"/>
      <c r="CB565" s="333"/>
      <c r="CC565" s="333"/>
      <c r="CD565" s="333"/>
      <c r="CE565" s="333"/>
      <c r="CF565" s="333"/>
      <c r="CG565" s="333"/>
      <c r="CH565" s="333"/>
      <c r="CI565" s="333"/>
      <c r="CJ565" s="333"/>
      <c r="CK565" s="333"/>
      <c r="CL565" s="333"/>
      <c r="CM565" s="333"/>
      <c r="CN565" s="333"/>
      <c r="CO565" s="333"/>
      <c r="CP565" s="333"/>
      <c r="CQ565" s="378"/>
      <c r="CR565" s="378"/>
      <c r="CS565" s="378"/>
      <c r="CT565" s="378"/>
      <c r="CU565" s="378"/>
      <c r="CV565" s="333"/>
      <c r="CW565" s="333"/>
      <c r="CX565" s="378"/>
      <c r="CY565" s="378"/>
      <c r="CZ565" s="71"/>
    </row>
    <row r="566" spans="1:104" ht="13" hidden="1" outlineLevel="1" x14ac:dyDescent="0.3">
      <c r="A566" s="333"/>
      <c r="B566" s="333"/>
      <c r="C566" s="333"/>
      <c r="D566" s="334"/>
      <c r="E566" s="333"/>
      <c r="F566" s="333"/>
      <c r="G566" s="390" t="s">
        <v>409</v>
      </c>
      <c r="H566" s="333"/>
      <c r="I566" s="333"/>
      <c r="J566" s="333"/>
      <c r="K566" s="378">
        <v>2</v>
      </c>
      <c r="L566" s="473">
        <v>80</v>
      </c>
      <c r="M566" s="390" t="s">
        <v>164</v>
      </c>
      <c r="N566" s="338"/>
      <c r="O566" s="335"/>
      <c r="P566" s="335" t="b">
        <f>AND(InputIssuesOne=0,TopInputsOKOne,RowsFilledOne&gt;0)</f>
        <v>0</v>
      </c>
      <c r="Q566" s="335"/>
      <c r="R566" s="335"/>
      <c r="S566" s="384" t="s">
        <v>359</v>
      </c>
      <c r="T566" s="335"/>
      <c r="U566" s="360"/>
      <c r="V566" s="360"/>
      <c r="W566" s="360"/>
      <c r="X566" s="333"/>
      <c r="Y566" s="333"/>
      <c r="Z566" s="403" t="s">
        <v>90</v>
      </c>
      <c r="AA566" s="333"/>
      <c r="AB566" s="333"/>
      <c r="AC566" s="333"/>
      <c r="AD566" s="333"/>
      <c r="AE566" s="333"/>
      <c r="AF566" s="333"/>
      <c r="AG566" s="333"/>
      <c r="AH566" s="361"/>
      <c r="AI566" s="361"/>
      <c r="AJ566" s="333"/>
      <c r="AK566" s="333"/>
      <c r="AL566" s="333"/>
      <c r="AM566" s="333"/>
      <c r="AN566" s="333"/>
      <c r="AO566" s="333"/>
      <c r="AP566" s="333"/>
      <c r="AQ566" s="333"/>
      <c r="AR566" s="333"/>
      <c r="AS566" s="333"/>
      <c r="AT566" s="333"/>
      <c r="AU566" s="333"/>
      <c r="AV566" s="333"/>
      <c r="AW566" s="333"/>
      <c r="AX566" s="335"/>
      <c r="AY566" s="335"/>
      <c r="AZ566" s="335"/>
      <c r="BA566" s="333"/>
      <c r="BB566" s="333"/>
      <c r="BC566" s="333"/>
      <c r="BD566" s="333"/>
      <c r="BE566" s="333"/>
      <c r="BF566" s="333"/>
      <c r="BG566" s="333"/>
      <c r="BH566" s="333"/>
      <c r="BI566" s="333"/>
      <c r="BJ566" s="333"/>
      <c r="BK566" s="333"/>
      <c r="BL566" s="362"/>
      <c r="BM566" s="333"/>
      <c r="BN566" s="333"/>
      <c r="BO566" s="333"/>
      <c r="BP566" s="333"/>
      <c r="BQ566" s="333"/>
      <c r="BR566" s="333"/>
      <c r="BS566" s="333"/>
      <c r="BT566" s="333"/>
      <c r="BU566" s="333"/>
      <c r="BV566" s="333"/>
      <c r="BW566" s="333"/>
      <c r="BX566" s="333"/>
      <c r="BY566" s="333"/>
      <c r="BZ566" s="333"/>
      <c r="CA566" s="333"/>
      <c r="CB566" s="333"/>
      <c r="CC566" s="333"/>
      <c r="CD566" s="333"/>
      <c r="CE566" s="333"/>
      <c r="CF566" s="333"/>
      <c r="CG566" s="333"/>
      <c r="CH566" s="333"/>
      <c r="CI566" s="333"/>
      <c r="CJ566" s="333"/>
      <c r="CK566" s="333"/>
      <c r="CL566" s="333"/>
      <c r="CM566" s="333"/>
      <c r="CN566" s="333"/>
      <c r="CO566" s="333"/>
      <c r="CP566" s="333"/>
      <c r="CQ566" s="378"/>
      <c r="CR566" s="378"/>
      <c r="CS566" s="378"/>
      <c r="CT566" s="378"/>
      <c r="CU566" s="378"/>
      <c r="CV566" s="333"/>
      <c r="CW566" s="333"/>
      <c r="CX566" s="378"/>
      <c r="CY566" s="378"/>
      <c r="CZ566" s="71"/>
    </row>
    <row r="567" spans="1:104" hidden="1" outlineLevel="1" x14ac:dyDescent="0.25">
      <c r="A567" s="333"/>
      <c r="B567" s="333"/>
      <c r="C567" s="333"/>
      <c r="D567" s="334"/>
      <c r="E567" s="333"/>
      <c r="F567" s="333"/>
      <c r="G567" s="378" t="s">
        <v>12</v>
      </c>
      <c r="H567" s="333"/>
      <c r="I567" s="333"/>
      <c r="J567" s="333"/>
      <c r="K567" s="378">
        <v>14</v>
      </c>
      <c r="L567" s="473">
        <v>80</v>
      </c>
      <c r="M567" s="378"/>
      <c r="N567" s="338"/>
      <c r="O567" s="335"/>
      <c r="P567" s="335"/>
      <c r="Q567" s="335"/>
      <c r="R567" s="335"/>
      <c r="S567" s="335"/>
      <c r="T567" s="335"/>
      <c r="U567" s="360"/>
      <c r="V567" s="360"/>
      <c r="W567" s="360"/>
      <c r="X567" s="333"/>
      <c r="Y567" s="333"/>
      <c r="Z567" s="403" t="s">
        <v>91</v>
      </c>
      <c r="AA567" s="333"/>
      <c r="AB567" s="333"/>
      <c r="AC567" s="333"/>
      <c r="AD567" s="333"/>
      <c r="AE567" s="333"/>
      <c r="AF567" s="333"/>
      <c r="AG567" s="333"/>
      <c r="AH567" s="361"/>
      <c r="AI567" s="361"/>
      <c r="AJ567" s="333"/>
      <c r="AK567" s="333"/>
      <c r="AL567" s="333"/>
      <c r="AM567" s="333"/>
      <c r="AN567" s="333"/>
      <c r="AO567" s="333"/>
      <c r="AP567" s="333"/>
      <c r="AQ567" s="333"/>
      <c r="AR567" s="333"/>
      <c r="AS567" s="333"/>
      <c r="AT567" s="333"/>
      <c r="AU567" s="333"/>
      <c r="AV567" s="333"/>
      <c r="AW567" s="333"/>
      <c r="AX567" s="335"/>
      <c r="AY567" s="335"/>
      <c r="AZ567" s="335"/>
      <c r="BA567" s="333"/>
      <c r="BB567" s="333"/>
      <c r="BC567" s="333"/>
      <c r="BD567" s="333"/>
      <c r="BE567" s="333"/>
      <c r="BF567" s="333"/>
      <c r="BG567" s="333"/>
      <c r="BH567" s="333"/>
      <c r="BI567" s="333"/>
      <c r="BJ567" s="333"/>
      <c r="BK567" s="333"/>
      <c r="BL567" s="362"/>
      <c r="BM567" s="333"/>
      <c r="BN567" s="333"/>
      <c r="BO567" s="333"/>
      <c r="BP567" s="333"/>
      <c r="BQ567" s="333"/>
      <c r="BR567" s="333"/>
      <c r="BS567" s="333"/>
      <c r="BT567" s="333"/>
      <c r="BU567" s="333"/>
      <c r="BV567" s="333"/>
      <c r="BW567" s="333"/>
      <c r="BX567" s="333"/>
      <c r="BY567" s="333"/>
      <c r="BZ567" s="333"/>
      <c r="CA567" s="333"/>
      <c r="CB567" s="333"/>
      <c r="CC567" s="333"/>
      <c r="CD567" s="333"/>
      <c r="CE567" s="333"/>
      <c r="CF567" s="333"/>
      <c r="CG567" s="333"/>
      <c r="CH567" s="333"/>
      <c r="CI567" s="333"/>
      <c r="CJ567" s="333"/>
      <c r="CK567" s="333"/>
      <c r="CL567" s="333"/>
      <c r="CM567" s="333"/>
      <c r="CN567" s="333"/>
      <c r="CO567" s="333"/>
      <c r="CP567" s="333"/>
      <c r="CQ567" s="378"/>
      <c r="CR567" s="378"/>
      <c r="CS567" s="378"/>
      <c r="CT567" s="378"/>
      <c r="CU567" s="378"/>
      <c r="CV567" s="333"/>
      <c r="CW567" s="333"/>
      <c r="CX567" s="378"/>
      <c r="CY567" s="378"/>
      <c r="CZ567" s="71"/>
    </row>
    <row r="568" spans="1:104" hidden="1" outlineLevel="1" x14ac:dyDescent="0.25">
      <c r="A568" s="333"/>
      <c r="B568" s="333"/>
      <c r="C568" s="333"/>
      <c r="D568" s="334"/>
      <c r="E568" s="333"/>
      <c r="F568" s="333"/>
      <c r="G568" s="378" t="s">
        <v>13</v>
      </c>
      <c r="H568" s="333"/>
      <c r="I568" s="333"/>
      <c r="J568" s="333"/>
      <c r="K568" s="378">
        <v>14</v>
      </c>
      <c r="L568" s="473">
        <v>160</v>
      </c>
      <c r="M568" s="335"/>
      <c r="N568" s="335"/>
      <c r="O568" s="335"/>
      <c r="P568" s="335"/>
      <c r="Q568" s="335"/>
      <c r="R568" s="335"/>
      <c r="S568" s="335"/>
      <c r="T568" s="335"/>
      <c r="U568" s="360"/>
      <c r="V568" s="360"/>
      <c r="W568" s="360"/>
      <c r="X568" s="333"/>
      <c r="Y568" s="333"/>
      <c r="Z568" s="333"/>
      <c r="AA568" s="333"/>
      <c r="AB568" s="333"/>
      <c r="AC568" s="333"/>
      <c r="AD568" s="333"/>
      <c r="AE568" s="333"/>
      <c r="AF568" s="333"/>
      <c r="AG568" s="333"/>
      <c r="AH568" s="361"/>
      <c r="AI568" s="361"/>
      <c r="AJ568" s="333"/>
      <c r="AK568" s="333"/>
      <c r="AL568" s="333"/>
      <c r="AM568" s="333"/>
      <c r="AN568" s="333"/>
      <c r="AO568" s="333"/>
      <c r="AP568" s="333"/>
      <c r="AQ568" s="333"/>
      <c r="AR568" s="333"/>
      <c r="AS568" s="333"/>
      <c r="AT568" s="333"/>
      <c r="AU568" s="333"/>
      <c r="AV568" s="333"/>
      <c r="AW568" s="333"/>
      <c r="AX568" s="335"/>
      <c r="AY568" s="335"/>
      <c r="AZ568" s="335"/>
      <c r="BA568" s="333"/>
      <c r="BB568" s="333"/>
      <c r="BC568" s="333"/>
      <c r="BD568" s="333"/>
      <c r="BE568" s="333"/>
      <c r="BF568" s="333"/>
      <c r="BG568" s="333"/>
      <c r="BH568" s="333"/>
      <c r="BI568" s="333"/>
      <c r="BJ568" s="333"/>
      <c r="BK568" s="333"/>
      <c r="BL568" s="362"/>
      <c r="BM568" s="333"/>
      <c r="BN568" s="333"/>
      <c r="BO568" s="333"/>
      <c r="BP568" s="333"/>
      <c r="BQ568" s="333"/>
      <c r="BR568" s="333"/>
      <c r="BS568" s="333"/>
      <c r="BT568" s="333"/>
      <c r="BU568" s="333"/>
      <c r="BV568" s="333"/>
      <c r="BW568" s="333"/>
      <c r="BX568" s="333"/>
      <c r="BY568" s="333"/>
      <c r="BZ568" s="333"/>
      <c r="CA568" s="333"/>
      <c r="CB568" s="333"/>
      <c r="CC568" s="333"/>
      <c r="CD568" s="333"/>
      <c r="CE568" s="333"/>
      <c r="CF568" s="333"/>
      <c r="CG568" s="333"/>
      <c r="CH568" s="333"/>
      <c r="CI568" s="333"/>
      <c r="CJ568" s="333"/>
      <c r="CK568" s="333"/>
      <c r="CL568" s="333"/>
      <c r="CM568" s="333"/>
      <c r="CN568" s="333"/>
      <c r="CO568" s="333"/>
      <c r="CP568" s="333"/>
      <c r="CQ568" s="378"/>
      <c r="CR568" s="378"/>
      <c r="CS568" s="378"/>
      <c r="CT568" s="378"/>
      <c r="CU568" s="378"/>
      <c r="CV568" s="333"/>
      <c r="CW568" s="333"/>
      <c r="CX568" s="378"/>
      <c r="CY568" s="378"/>
      <c r="CZ568" s="71"/>
    </row>
    <row r="569" spans="1:104" hidden="1" outlineLevel="1" x14ac:dyDescent="0.25">
      <c r="A569" s="333"/>
      <c r="B569" s="333"/>
      <c r="C569" s="333"/>
      <c r="D569" s="334"/>
      <c r="E569" s="333"/>
      <c r="F569" s="333"/>
      <c r="G569" s="378" t="s">
        <v>52</v>
      </c>
      <c r="H569" s="333"/>
      <c r="I569" s="333"/>
      <c r="J569" s="333"/>
      <c r="K569" s="378">
        <v>4.5</v>
      </c>
      <c r="L569" s="473">
        <v>320</v>
      </c>
      <c r="M569" s="335"/>
      <c r="N569" s="335"/>
      <c r="O569" s="335"/>
      <c r="P569" s="335"/>
      <c r="Q569" s="335"/>
      <c r="R569" s="335"/>
      <c r="S569" s="335"/>
      <c r="T569" s="335"/>
      <c r="U569" s="360"/>
      <c r="V569" s="360"/>
      <c r="W569" s="360"/>
      <c r="X569" s="333"/>
      <c r="Y569" s="333"/>
      <c r="Z569" s="333"/>
      <c r="AA569" s="333"/>
      <c r="AB569" s="333"/>
      <c r="AC569" s="333"/>
      <c r="AD569" s="333"/>
      <c r="AE569" s="333"/>
      <c r="AF569" s="333"/>
      <c r="AG569" s="333"/>
      <c r="AH569" s="361"/>
      <c r="AI569" s="361"/>
      <c r="AJ569" s="333"/>
      <c r="AK569" s="333"/>
      <c r="AL569" s="333"/>
      <c r="AM569" s="333"/>
      <c r="AN569" s="333"/>
      <c r="AO569" s="333"/>
      <c r="AP569" s="333"/>
      <c r="AQ569" s="333"/>
      <c r="AR569" s="333"/>
      <c r="AS569" s="333"/>
      <c r="AT569" s="333"/>
      <c r="AU569" s="333"/>
      <c r="AV569" s="333"/>
      <c r="AW569" s="333"/>
      <c r="AX569" s="335"/>
      <c r="AY569" s="335"/>
      <c r="AZ569" s="335"/>
      <c r="BA569" s="333"/>
      <c r="BB569" s="333"/>
      <c r="BC569" s="333"/>
      <c r="BD569" s="333"/>
      <c r="BE569" s="333"/>
      <c r="BF569" s="333"/>
      <c r="BG569" s="333"/>
      <c r="BH569" s="333"/>
      <c r="BI569" s="333"/>
      <c r="BJ569" s="333"/>
      <c r="BK569" s="333"/>
      <c r="BL569" s="362"/>
      <c r="BM569" s="333"/>
      <c r="BN569" s="333"/>
      <c r="BO569" s="333"/>
      <c r="BP569" s="333"/>
      <c r="BQ569" s="333"/>
      <c r="BR569" s="333"/>
      <c r="BS569" s="333"/>
      <c r="BT569" s="333"/>
      <c r="BU569" s="333"/>
      <c r="BV569" s="333"/>
      <c r="BW569" s="333"/>
      <c r="BX569" s="333"/>
      <c r="BY569" s="333"/>
      <c r="BZ569" s="333"/>
      <c r="CA569" s="333"/>
      <c r="CB569" s="333"/>
      <c r="CC569" s="333"/>
      <c r="CD569" s="333"/>
      <c r="CE569" s="333"/>
      <c r="CF569" s="333"/>
      <c r="CG569" s="333"/>
      <c r="CH569" s="333"/>
      <c r="CI569" s="333"/>
      <c r="CJ569" s="333"/>
      <c r="CK569" s="333"/>
      <c r="CL569" s="333"/>
      <c r="CM569" s="333"/>
      <c r="CN569" s="333"/>
      <c r="CO569" s="333"/>
      <c r="CP569" s="333"/>
      <c r="CQ569" s="378"/>
      <c r="CR569" s="378"/>
      <c r="CS569" s="378"/>
      <c r="CT569" s="378"/>
      <c r="CU569" s="378"/>
      <c r="CV569" s="333"/>
      <c r="CW569" s="333"/>
      <c r="CX569" s="378"/>
      <c r="CY569" s="378"/>
      <c r="CZ569" s="71"/>
    </row>
    <row r="570" spans="1:104" hidden="1" outlineLevel="1" x14ac:dyDescent="0.25">
      <c r="A570" s="333"/>
      <c r="B570" s="333"/>
      <c r="C570" s="333"/>
      <c r="D570" s="334"/>
      <c r="E570" s="333"/>
      <c r="F570" s="333"/>
      <c r="G570" s="390" t="s">
        <v>410</v>
      </c>
      <c r="H570" s="333"/>
      <c r="I570" s="333"/>
      <c r="J570" s="333"/>
      <c r="K570" s="378">
        <v>5</v>
      </c>
      <c r="L570" s="473">
        <v>160</v>
      </c>
      <c r="M570" s="335"/>
      <c r="N570" s="335"/>
      <c r="O570" s="335"/>
      <c r="P570" s="335"/>
      <c r="Q570" s="335"/>
      <c r="R570" s="335"/>
      <c r="S570" s="335"/>
      <c r="T570" s="335"/>
      <c r="U570" s="360"/>
      <c r="V570" s="360"/>
      <c r="W570" s="360"/>
      <c r="X570" s="333"/>
      <c r="Y570" s="333"/>
      <c r="Z570" s="333"/>
      <c r="AA570" s="333"/>
      <c r="AB570" s="333"/>
      <c r="AC570" s="333"/>
      <c r="AD570" s="333"/>
      <c r="AE570" s="333"/>
      <c r="AF570" s="333"/>
      <c r="AG570" s="333"/>
      <c r="AH570" s="361"/>
      <c r="AI570" s="361"/>
      <c r="AJ570" s="333"/>
      <c r="AK570" s="333"/>
      <c r="AL570" s="333"/>
      <c r="AM570" s="333"/>
      <c r="AN570" s="333"/>
      <c r="AO570" s="333"/>
      <c r="AP570" s="333"/>
      <c r="AQ570" s="333"/>
      <c r="AR570" s="333"/>
      <c r="AS570" s="333"/>
      <c r="AT570" s="333"/>
      <c r="AU570" s="333"/>
      <c r="AV570" s="333"/>
      <c r="AW570" s="333"/>
      <c r="AX570" s="335"/>
      <c r="AY570" s="335"/>
      <c r="AZ570" s="335"/>
      <c r="BA570" s="333"/>
      <c r="BB570" s="333"/>
      <c r="BC570" s="333"/>
      <c r="BD570" s="333"/>
      <c r="BE570" s="333"/>
      <c r="BF570" s="333"/>
      <c r="BG570" s="333"/>
      <c r="BH570" s="333"/>
      <c r="BI570" s="333"/>
      <c r="BJ570" s="333"/>
      <c r="BK570" s="333"/>
      <c r="BL570" s="362"/>
      <c r="BM570" s="333"/>
      <c r="BN570" s="333"/>
      <c r="BO570" s="333"/>
      <c r="BP570" s="333"/>
      <c r="BQ570" s="333"/>
      <c r="BR570" s="333"/>
      <c r="BS570" s="333"/>
      <c r="BT570" s="333"/>
      <c r="BU570" s="333"/>
      <c r="BV570" s="333"/>
      <c r="BW570" s="333"/>
      <c r="BX570" s="333"/>
      <c r="BY570" s="333"/>
      <c r="BZ570" s="333"/>
      <c r="CA570" s="333"/>
      <c r="CB570" s="333"/>
      <c r="CC570" s="333"/>
      <c r="CD570" s="333"/>
      <c r="CE570" s="333"/>
      <c r="CF570" s="333"/>
      <c r="CG570" s="333"/>
      <c r="CH570" s="333"/>
      <c r="CI570" s="333"/>
      <c r="CJ570" s="333"/>
      <c r="CK570" s="333"/>
      <c r="CL570" s="333"/>
      <c r="CM570" s="333"/>
      <c r="CN570" s="333"/>
      <c r="CO570" s="333"/>
      <c r="CP570" s="333"/>
      <c r="CQ570" s="378"/>
      <c r="CR570" s="378"/>
      <c r="CS570" s="378"/>
      <c r="CT570" s="378"/>
      <c r="CU570" s="378"/>
      <c r="CV570" s="333"/>
      <c r="CW570" s="333"/>
      <c r="CX570" s="378"/>
      <c r="CY570" s="378"/>
      <c r="CZ570" s="71"/>
    </row>
    <row r="571" spans="1:104" hidden="1" outlineLevel="1" x14ac:dyDescent="0.25">
      <c r="A571" s="333"/>
      <c r="B571" s="333"/>
      <c r="C571" s="333"/>
      <c r="D571" s="334"/>
      <c r="E571" s="333"/>
      <c r="F571" s="333"/>
      <c r="G571" s="390" t="s">
        <v>411</v>
      </c>
      <c r="H571" s="333"/>
      <c r="I571" s="333"/>
      <c r="J571" s="333"/>
      <c r="K571" s="378">
        <v>1.5</v>
      </c>
      <c r="L571" s="473">
        <v>80</v>
      </c>
      <c r="M571" s="335"/>
      <c r="N571" s="335"/>
      <c r="O571" s="335"/>
      <c r="P571" s="335"/>
      <c r="Q571" s="335"/>
      <c r="R571" s="335"/>
      <c r="S571" s="335"/>
      <c r="T571" s="335"/>
      <c r="U571" s="360"/>
      <c r="V571" s="360"/>
      <c r="W571" s="360"/>
      <c r="X571" s="333"/>
      <c r="Y571" s="333"/>
      <c r="Z571" s="333"/>
      <c r="AA571" s="333"/>
      <c r="AB571" s="333"/>
      <c r="AC571" s="333"/>
      <c r="AD571" s="333"/>
      <c r="AE571" s="333"/>
      <c r="AF571" s="333"/>
      <c r="AG571" s="333"/>
      <c r="AH571" s="361"/>
      <c r="AI571" s="361"/>
      <c r="AJ571" s="333"/>
      <c r="AK571" s="333"/>
      <c r="AL571" s="333"/>
      <c r="AM571" s="333"/>
      <c r="AN571" s="333"/>
      <c r="AO571" s="333"/>
      <c r="AP571" s="333"/>
      <c r="AQ571" s="333"/>
      <c r="AR571" s="333"/>
      <c r="AS571" s="333"/>
      <c r="AT571" s="333"/>
      <c r="AU571" s="333"/>
      <c r="AV571" s="333"/>
      <c r="AW571" s="333"/>
      <c r="AX571" s="335"/>
      <c r="AY571" s="335"/>
      <c r="AZ571" s="335"/>
      <c r="BA571" s="333"/>
      <c r="BB571" s="333"/>
      <c r="BC571" s="333"/>
      <c r="BD571" s="333"/>
      <c r="BE571" s="333"/>
      <c r="BF571" s="333"/>
      <c r="BG571" s="333"/>
      <c r="BH571" s="333"/>
      <c r="BI571" s="333"/>
      <c r="BJ571" s="333"/>
      <c r="BK571" s="333"/>
      <c r="BL571" s="362"/>
      <c r="BM571" s="333"/>
      <c r="BN571" s="333"/>
      <c r="BO571" s="333"/>
      <c r="BP571" s="333"/>
      <c r="BQ571" s="333"/>
      <c r="BR571" s="333"/>
      <c r="BS571" s="333"/>
      <c r="BT571" s="333"/>
      <c r="BU571" s="333"/>
      <c r="BV571" s="333"/>
      <c r="BW571" s="333"/>
      <c r="BX571" s="333"/>
      <c r="BY571" s="333"/>
      <c r="BZ571" s="333"/>
      <c r="CA571" s="333"/>
      <c r="CB571" s="333"/>
      <c r="CC571" s="333"/>
      <c r="CD571" s="333"/>
      <c r="CE571" s="333"/>
      <c r="CF571" s="333"/>
      <c r="CG571" s="333"/>
      <c r="CH571" s="333"/>
      <c r="CI571" s="333"/>
      <c r="CJ571" s="333"/>
      <c r="CK571" s="333"/>
      <c r="CL571" s="333"/>
      <c r="CM571" s="333"/>
      <c r="CN571" s="333"/>
      <c r="CO571" s="333"/>
      <c r="CP571" s="333"/>
      <c r="CQ571" s="378"/>
      <c r="CR571" s="378"/>
      <c r="CS571" s="378"/>
      <c r="CT571" s="378"/>
      <c r="CU571" s="378"/>
      <c r="CV571" s="333"/>
      <c r="CW571" s="333"/>
      <c r="CX571" s="378"/>
      <c r="CY571" s="378"/>
      <c r="CZ571" s="71"/>
    </row>
    <row r="572" spans="1:104" hidden="1" outlineLevel="1" x14ac:dyDescent="0.25">
      <c r="A572" s="333"/>
      <c r="B572" s="333"/>
      <c r="C572" s="333"/>
      <c r="D572" s="334"/>
      <c r="E572" s="333"/>
      <c r="F572" s="333"/>
      <c r="G572" s="378" t="s">
        <v>68</v>
      </c>
      <c r="H572" s="333"/>
      <c r="I572" s="333"/>
      <c r="J572" s="333"/>
      <c r="K572" s="378">
        <v>1.5</v>
      </c>
      <c r="L572" s="473">
        <v>80</v>
      </c>
      <c r="M572" s="335"/>
      <c r="N572" s="335"/>
      <c r="O572" s="335"/>
      <c r="P572" s="335"/>
      <c r="Q572" s="335"/>
      <c r="R572" s="335"/>
      <c r="S572" s="335"/>
      <c r="T572" s="335"/>
      <c r="U572" s="360"/>
      <c r="V572" s="360"/>
      <c r="W572" s="360"/>
      <c r="X572" s="333"/>
      <c r="Y572" s="333"/>
      <c r="Z572" s="333"/>
      <c r="AA572" s="333"/>
      <c r="AB572" s="333"/>
      <c r="AC572" s="333"/>
      <c r="AD572" s="333"/>
      <c r="AE572" s="333"/>
      <c r="AF572" s="333"/>
      <c r="AG572" s="333"/>
      <c r="AH572" s="361"/>
      <c r="AI572" s="361"/>
      <c r="AJ572" s="333"/>
      <c r="AK572" s="333"/>
      <c r="AL572" s="333"/>
      <c r="AM572" s="333"/>
      <c r="AN572" s="333"/>
      <c r="AO572" s="333"/>
      <c r="AP572" s="333"/>
      <c r="AQ572" s="333"/>
      <c r="AR572" s="333"/>
      <c r="AS572" s="333"/>
      <c r="AT572" s="333"/>
      <c r="AU572" s="333"/>
      <c r="AV572" s="333"/>
      <c r="AW572" s="333"/>
      <c r="AX572" s="335"/>
      <c r="AY572" s="335"/>
      <c r="AZ572" s="335"/>
      <c r="BA572" s="333"/>
      <c r="BB572" s="333"/>
      <c r="BC572" s="333"/>
      <c r="BD572" s="333"/>
      <c r="BE572" s="333"/>
      <c r="BF572" s="333"/>
      <c r="BG572" s="333"/>
      <c r="BH572" s="333"/>
      <c r="BI572" s="333"/>
      <c r="BJ572" s="333"/>
      <c r="BK572" s="333"/>
      <c r="BL572" s="362"/>
      <c r="BM572" s="333"/>
      <c r="BN572" s="333"/>
      <c r="BO572" s="333"/>
      <c r="BP572" s="333"/>
      <c r="BQ572" s="333"/>
      <c r="BR572" s="333"/>
      <c r="BS572" s="333"/>
      <c r="BT572" s="333"/>
      <c r="BU572" s="333"/>
      <c r="BV572" s="333"/>
      <c r="BW572" s="333"/>
      <c r="BX572" s="333"/>
      <c r="BY572" s="333"/>
      <c r="BZ572" s="333"/>
      <c r="CA572" s="333"/>
      <c r="CB572" s="333"/>
      <c r="CC572" s="333"/>
      <c r="CD572" s="333"/>
      <c r="CE572" s="333"/>
      <c r="CF572" s="333"/>
      <c r="CG572" s="333"/>
      <c r="CH572" s="333"/>
      <c r="CI572" s="333"/>
      <c r="CJ572" s="333"/>
      <c r="CK572" s="333"/>
      <c r="CL572" s="333"/>
      <c r="CM572" s="333"/>
      <c r="CN572" s="333"/>
      <c r="CO572" s="333"/>
      <c r="CP572" s="333"/>
      <c r="CQ572" s="378"/>
      <c r="CR572" s="378"/>
      <c r="CS572" s="378"/>
      <c r="CT572" s="378"/>
      <c r="CU572" s="378"/>
      <c r="CV572" s="333"/>
      <c r="CW572" s="333"/>
      <c r="CX572" s="378"/>
      <c r="CY572" s="378"/>
      <c r="CZ572" s="71"/>
    </row>
    <row r="573" spans="1:104" hidden="1" outlineLevel="1" x14ac:dyDescent="0.25">
      <c r="A573" s="333"/>
      <c r="B573" s="333"/>
      <c r="C573" s="333"/>
      <c r="D573" s="334"/>
      <c r="E573" s="333"/>
      <c r="F573" s="333"/>
      <c r="G573" s="378" t="s">
        <v>69</v>
      </c>
      <c r="H573" s="333"/>
      <c r="I573" s="333"/>
      <c r="J573" s="333"/>
      <c r="K573" s="378">
        <v>3</v>
      </c>
      <c r="L573" s="473">
        <v>80</v>
      </c>
      <c r="M573" s="335"/>
      <c r="N573" s="335"/>
      <c r="O573" s="335"/>
      <c r="P573" s="335"/>
      <c r="Q573" s="335"/>
      <c r="R573" s="335"/>
      <c r="S573" s="335"/>
      <c r="T573" s="335"/>
      <c r="U573" s="360"/>
      <c r="V573" s="360"/>
      <c r="W573" s="360"/>
      <c r="X573" s="333"/>
      <c r="Y573" s="333"/>
      <c r="Z573" s="333"/>
      <c r="AA573" s="333"/>
      <c r="AB573" s="333"/>
      <c r="AC573" s="333"/>
      <c r="AD573" s="333"/>
      <c r="AE573" s="333"/>
      <c r="AF573" s="333"/>
      <c r="AG573" s="333"/>
      <c r="AH573" s="361"/>
      <c r="AI573" s="361"/>
      <c r="AJ573" s="333"/>
      <c r="AK573" s="333"/>
      <c r="AL573" s="333"/>
      <c r="AM573" s="333"/>
      <c r="AN573" s="333"/>
      <c r="AO573" s="333"/>
      <c r="AP573" s="333"/>
      <c r="AQ573" s="333"/>
      <c r="AR573" s="333"/>
      <c r="AS573" s="333"/>
      <c r="AT573" s="333"/>
      <c r="AU573" s="333"/>
      <c r="AV573" s="333"/>
      <c r="AW573" s="333"/>
      <c r="AX573" s="335"/>
      <c r="AY573" s="335"/>
      <c r="AZ573" s="335"/>
      <c r="BA573" s="333"/>
      <c r="BB573" s="333"/>
      <c r="BC573" s="333"/>
      <c r="BD573" s="333"/>
      <c r="BE573" s="333"/>
      <c r="BF573" s="333"/>
      <c r="BG573" s="333"/>
      <c r="BH573" s="333"/>
      <c r="BI573" s="333"/>
      <c r="BJ573" s="333"/>
      <c r="BK573" s="333"/>
      <c r="BL573" s="362"/>
      <c r="BM573" s="333"/>
      <c r="BN573" s="333"/>
      <c r="BO573" s="333"/>
      <c r="BP573" s="333"/>
      <c r="BQ573" s="333"/>
      <c r="BR573" s="333"/>
      <c r="BS573" s="333"/>
      <c r="BT573" s="333"/>
      <c r="BU573" s="333"/>
      <c r="BV573" s="333"/>
      <c r="BW573" s="333"/>
      <c r="BX573" s="333"/>
      <c r="BY573" s="333"/>
      <c r="BZ573" s="333"/>
      <c r="CA573" s="333"/>
      <c r="CB573" s="333"/>
      <c r="CC573" s="333"/>
      <c r="CD573" s="333"/>
      <c r="CE573" s="333"/>
      <c r="CF573" s="333"/>
      <c r="CG573" s="333"/>
      <c r="CH573" s="333"/>
      <c r="CI573" s="333"/>
      <c r="CJ573" s="333"/>
      <c r="CK573" s="333"/>
      <c r="CL573" s="333"/>
      <c r="CM573" s="333"/>
      <c r="CN573" s="333"/>
      <c r="CO573" s="333"/>
      <c r="CP573" s="333"/>
      <c r="CQ573" s="378"/>
      <c r="CR573" s="378"/>
      <c r="CS573" s="378"/>
      <c r="CT573" s="378"/>
      <c r="CU573" s="378"/>
      <c r="CV573" s="333"/>
      <c r="CW573" s="333"/>
      <c r="CX573" s="378"/>
      <c r="CY573" s="378"/>
      <c r="CZ573" s="71"/>
    </row>
    <row r="574" spans="1:104" hidden="1" outlineLevel="1" x14ac:dyDescent="0.25">
      <c r="A574" s="333"/>
      <c r="B574" s="333"/>
      <c r="C574" s="333"/>
      <c r="D574" s="334"/>
      <c r="E574" s="333"/>
      <c r="F574" s="333"/>
      <c r="G574" s="390" t="s">
        <v>412</v>
      </c>
      <c r="H574" s="333"/>
      <c r="I574" s="333"/>
      <c r="J574" s="333"/>
      <c r="K574" s="333">
        <v>4</v>
      </c>
      <c r="L574" s="473">
        <v>160</v>
      </c>
      <c r="M574" s="335"/>
      <c r="N574" s="335"/>
      <c r="O574" s="335"/>
      <c r="P574" s="335"/>
      <c r="Q574" s="335"/>
      <c r="R574" s="335"/>
      <c r="S574" s="335"/>
      <c r="T574" s="335"/>
      <c r="U574" s="360"/>
      <c r="V574" s="360"/>
      <c r="W574" s="360"/>
      <c r="X574" s="333"/>
      <c r="Y574" s="333"/>
      <c r="Z574" s="333"/>
      <c r="AA574" s="333"/>
      <c r="AB574" s="333"/>
      <c r="AC574" s="333"/>
      <c r="AD574" s="333"/>
      <c r="AE574" s="333"/>
      <c r="AF574" s="333"/>
      <c r="AG574" s="333"/>
      <c r="AH574" s="361"/>
      <c r="AI574" s="361"/>
      <c r="AJ574" s="333"/>
      <c r="AK574" s="333"/>
      <c r="AL574" s="333"/>
      <c r="AM574" s="333"/>
      <c r="AN574" s="333"/>
      <c r="AO574" s="333"/>
      <c r="AP574" s="333"/>
      <c r="AQ574" s="333"/>
      <c r="AR574" s="333"/>
      <c r="AS574" s="333"/>
      <c r="AT574" s="333"/>
      <c r="AU574" s="333"/>
      <c r="AV574" s="333"/>
      <c r="AW574" s="333"/>
      <c r="AX574" s="335"/>
      <c r="AY574" s="335"/>
      <c r="AZ574" s="335"/>
      <c r="BA574" s="333"/>
      <c r="BB574" s="333"/>
      <c r="BC574" s="333"/>
      <c r="BD574" s="333"/>
      <c r="BE574" s="333"/>
      <c r="BF574" s="333"/>
      <c r="BG574" s="333"/>
      <c r="BH574" s="333"/>
      <c r="BI574" s="333"/>
      <c r="BJ574" s="333"/>
      <c r="BK574" s="333"/>
      <c r="BL574" s="362"/>
      <c r="BM574" s="333"/>
      <c r="BN574" s="333"/>
      <c r="BO574" s="333"/>
      <c r="BP574" s="333"/>
      <c r="BQ574" s="333"/>
      <c r="BR574" s="333"/>
      <c r="BS574" s="333"/>
      <c r="BT574" s="333"/>
      <c r="BU574" s="333"/>
      <c r="BV574" s="333"/>
      <c r="BW574" s="333"/>
      <c r="BX574" s="333"/>
      <c r="BY574" s="333"/>
      <c r="BZ574" s="333"/>
      <c r="CA574" s="333"/>
      <c r="CB574" s="333"/>
      <c r="CC574" s="333"/>
      <c r="CD574" s="333"/>
      <c r="CE574" s="333"/>
      <c r="CF574" s="333"/>
      <c r="CG574" s="333"/>
      <c r="CH574" s="333"/>
      <c r="CI574" s="333"/>
      <c r="CJ574" s="333"/>
      <c r="CK574" s="333"/>
      <c r="CL574" s="333"/>
      <c r="CM574" s="333"/>
      <c r="CN574" s="333"/>
      <c r="CO574" s="333"/>
      <c r="CP574" s="333"/>
      <c r="CQ574" s="378"/>
      <c r="CR574" s="378"/>
      <c r="CS574" s="378"/>
      <c r="CT574" s="378"/>
      <c r="CU574" s="378"/>
      <c r="CV574" s="333"/>
      <c r="CW574" s="333"/>
      <c r="CX574" s="378"/>
      <c r="CY574" s="378"/>
      <c r="CZ574" s="71"/>
    </row>
    <row r="575" spans="1:104" hidden="1" outlineLevel="1" x14ac:dyDescent="0.25">
      <c r="A575" s="333"/>
      <c r="B575" s="333"/>
      <c r="C575" s="333"/>
      <c r="D575" s="334"/>
      <c r="E575" s="333"/>
      <c r="F575" s="333"/>
      <c r="G575" s="390" t="s">
        <v>413</v>
      </c>
      <c r="H575" s="333"/>
      <c r="I575" s="333"/>
      <c r="J575" s="333"/>
      <c r="K575" s="333">
        <v>2</v>
      </c>
      <c r="L575" s="473">
        <v>80</v>
      </c>
      <c r="M575" s="335"/>
      <c r="N575" s="335"/>
      <c r="O575" s="335"/>
      <c r="P575" s="335"/>
      <c r="Q575" s="335"/>
      <c r="R575" s="335"/>
      <c r="S575" s="335"/>
      <c r="T575" s="335"/>
      <c r="U575" s="360"/>
      <c r="V575" s="360"/>
      <c r="W575" s="360"/>
      <c r="X575" s="333"/>
      <c r="Y575" s="333"/>
      <c r="Z575" s="333"/>
      <c r="AA575" s="333"/>
      <c r="AB575" s="333"/>
      <c r="AC575" s="333"/>
      <c r="AD575" s="333"/>
      <c r="AE575" s="333"/>
      <c r="AF575" s="333"/>
      <c r="AG575" s="333"/>
      <c r="AH575" s="361"/>
      <c r="AI575" s="361"/>
      <c r="AJ575" s="333"/>
      <c r="AK575" s="333"/>
      <c r="AL575" s="333"/>
      <c r="AM575" s="333"/>
      <c r="AN575" s="333"/>
      <c r="AO575" s="333"/>
      <c r="AP575" s="333"/>
      <c r="AQ575" s="333"/>
      <c r="AR575" s="333"/>
      <c r="AS575" s="333"/>
      <c r="AT575" s="333"/>
      <c r="AU575" s="333"/>
      <c r="AV575" s="333"/>
      <c r="AW575" s="333"/>
      <c r="AX575" s="335"/>
      <c r="AY575" s="335"/>
      <c r="AZ575" s="335"/>
      <c r="BA575" s="333"/>
      <c r="BB575" s="333"/>
      <c r="BC575" s="333"/>
      <c r="BD575" s="333"/>
      <c r="BE575" s="333"/>
      <c r="BF575" s="333"/>
      <c r="BG575" s="333"/>
      <c r="BH575" s="333"/>
      <c r="BI575" s="333"/>
      <c r="BJ575" s="333"/>
      <c r="BK575" s="333"/>
      <c r="BL575" s="362"/>
      <c r="BM575" s="333"/>
      <c r="BN575" s="333"/>
      <c r="BO575" s="333"/>
      <c r="BP575" s="333"/>
      <c r="BQ575" s="333"/>
      <c r="BR575" s="333"/>
      <c r="BS575" s="333"/>
      <c r="BT575" s="333"/>
      <c r="BU575" s="333"/>
      <c r="BV575" s="333"/>
      <c r="BW575" s="333"/>
      <c r="BX575" s="333"/>
      <c r="BY575" s="333"/>
      <c r="BZ575" s="333"/>
      <c r="CA575" s="333"/>
      <c r="CB575" s="333"/>
      <c r="CC575" s="333"/>
      <c r="CD575" s="333"/>
      <c r="CE575" s="333"/>
      <c r="CF575" s="333"/>
      <c r="CG575" s="333"/>
      <c r="CH575" s="333"/>
      <c r="CI575" s="333"/>
      <c r="CJ575" s="333"/>
      <c r="CK575" s="333"/>
      <c r="CL575" s="333"/>
      <c r="CM575" s="333"/>
      <c r="CN575" s="333"/>
      <c r="CO575" s="333"/>
      <c r="CP575" s="333"/>
      <c r="CQ575" s="378"/>
      <c r="CR575" s="378"/>
      <c r="CS575" s="378"/>
      <c r="CT575" s="378"/>
      <c r="CU575" s="378"/>
      <c r="CV575" s="333"/>
      <c r="CW575" s="333"/>
      <c r="CX575" s="378"/>
      <c r="CY575" s="378"/>
      <c r="CZ575" s="71"/>
    </row>
    <row r="576" spans="1:104" hidden="1" outlineLevel="1" x14ac:dyDescent="0.25">
      <c r="A576" s="333"/>
      <c r="B576" s="333"/>
      <c r="C576" s="333"/>
      <c r="D576" s="334"/>
      <c r="E576" s="333"/>
      <c r="F576" s="333"/>
      <c r="G576" s="390" t="s">
        <v>414</v>
      </c>
      <c r="H576" s="333"/>
      <c r="I576" s="333"/>
      <c r="J576" s="333"/>
      <c r="K576" s="333">
        <v>3</v>
      </c>
      <c r="L576" s="473">
        <v>160</v>
      </c>
      <c r="M576" s="335"/>
      <c r="N576" s="335"/>
      <c r="O576" s="335"/>
      <c r="P576" s="335"/>
      <c r="Q576" s="335"/>
      <c r="R576" s="335"/>
      <c r="S576" s="335"/>
      <c r="T576" s="335"/>
      <c r="U576" s="360"/>
      <c r="V576" s="360"/>
      <c r="W576" s="360"/>
      <c r="X576" s="333"/>
      <c r="Y576" s="333"/>
      <c r="Z576" s="333"/>
      <c r="AA576" s="333"/>
      <c r="AB576" s="333"/>
      <c r="AC576" s="333"/>
      <c r="AD576" s="333"/>
      <c r="AE576" s="333"/>
      <c r="AF576" s="333"/>
      <c r="AG576" s="333"/>
      <c r="AH576" s="361"/>
      <c r="AI576" s="361"/>
      <c r="AJ576" s="333"/>
      <c r="AK576" s="333"/>
      <c r="AL576" s="333"/>
      <c r="AM576" s="333"/>
      <c r="AN576" s="333"/>
      <c r="AO576" s="333"/>
      <c r="AP576" s="333"/>
      <c r="AQ576" s="333"/>
      <c r="AR576" s="333"/>
      <c r="AS576" s="333"/>
      <c r="AT576" s="333"/>
      <c r="AU576" s="333"/>
      <c r="AV576" s="333"/>
      <c r="AW576" s="333"/>
      <c r="AX576" s="335"/>
      <c r="AY576" s="335"/>
      <c r="AZ576" s="335"/>
      <c r="BA576" s="333"/>
      <c r="BB576" s="333"/>
      <c r="BC576" s="333"/>
      <c r="BD576" s="333"/>
      <c r="BE576" s="333"/>
      <c r="BF576" s="333"/>
      <c r="BG576" s="333"/>
      <c r="BH576" s="333"/>
      <c r="BI576" s="333"/>
      <c r="BJ576" s="333"/>
      <c r="BK576" s="333"/>
      <c r="BL576" s="362"/>
      <c r="BM576" s="333"/>
      <c r="BN576" s="333"/>
      <c r="BO576" s="333"/>
      <c r="BP576" s="333"/>
      <c r="BQ576" s="333"/>
      <c r="BR576" s="333"/>
      <c r="BS576" s="333"/>
      <c r="BT576" s="333"/>
      <c r="BU576" s="333"/>
      <c r="BV576" s="333"/>
      <c r="BW576" s="333"/>
      <c r="BX576" s="333"/>
      <c r="BY576" s="333"/>
      <c r="BZ576" s="333"/>
      <c r="CA576" s="333"/>
      <c r="CB576" s="333"/>
      <c r="CC576" s="333"/>
      <c r="CD576" s="333"/>
      <c r="CE576" s="333"/>
      <c r="CF576" s="333"/>
      <c r="CG576" s="333"/>
      <c r="CH576" s="333"/>
      <c r="CI576" s="333"/>
      <c r="CJ576" s="333"/>
      <c r="CK576" s="333"/>
      <c r="CL576" s="333"/>
      <c r="CM576" s="333"/>
      <c r="CN576" s="333"/>
      <c r="CO576" s="333"/>
      <c r="CP576" s="333"/>
      <c r="CQ576" s="378"/>
      <c r="CR576" s="378"/>
      <c r="CS576" s="378"/>
      <c r="CT576" s="378"/>
      <c r="CU576" s="378"/>
      <c r="CV576" s="333"/>
      <c r="CW576" s="333"/>
      <c r="CX576" s="378"/>
      <c r="CY576" s="378"/>
      <c r="CZ576" s="71"/>
    </row>
    <row r="577" spans="1:104" hidden="1" outlineLevel="1" x14ac:dyDescent="0.25">
      <c r="A577" s="333"/>
      <c r="B577" s="333"/>
      <c r="C577" s="333"/>
      <c r="D577" s="334"/>
      <c r="E577" s="333"/>
      <c r="F577" s="333"/>
      <c r="G577" s="378" t="s">
        <v>53</v>
      </c>
      <c r="H577" s="333"/>
      <c r="I577" s="333"/>
      <c r="J577" s="333"/>
      <c r="K577" s="333">
        <v>2</v>
      </c>
      <c r="L577" s="473">
        <v>40</v>
      </c>
      <c r="M577" s="335"/>
      <c r="N577" s="335"/>
      <c r="O577" s="335"/>
      <c r="P577" s="335"/>
      <c r="Q577" s="335"/>
      <c r="R577" s="335"/>
      <c r="S577" s="335"/>
      <c r="T577" s="335"/>
      <c r="U577" s="360"/>
      <c r="V577" s="360"/>
      <c r="W577" s="360"/>
      <c r="X577" s="333"/>
      <c r="Y577" s="333"/>
      <c r="Z577" s="333"/>
      <c r="AA577" s="333"/>
      <c r="AB577" s="333"/>
      <c r="AC577" s="333"/>
      <c r="AD577" s="333"/>
      <c r="AE577" s="333"/>
      <c r="AF577" s="333"/>
      <c r="AG577" s="333"/>
      <c r="AH577" s="361"/>
      <c r="AI577" s="361"/>
      <c r="AJ577" s="333"/>
      <c r="AK577" s="333"/>
      <c r="AL577" s="333"/>
      <c r="AM577" s="333"/>
      <c r="AN577" s="333"/>
      <c r="AO577" s="333"/>
      <c r="AP577" s="333"/>
      <c r="AQ577" s="333"/>
      <c r="AR577" s="333"/>
      <c r="AS577" s="333"/>
      <c r="AT577" s="333"/>
      <c r="AU577" s="333"/>
      <c r="AV577" s="333"/>
      <c r="AW577" s="333"/>
      <c r="AX577" s="335"/>
      <c r="AY577" s="335"/>
      <c r="AZ577" s="335"/>
      <c r="BA577" s="333"/>
      <c r="BB577" s="333"/>
      <c r="BC577" s="333"/>
      <c r="BD577" s="333"/>
      <c r="BE577" s="333"/>
      <c r="BF577" s="333"/>
      <c r="BG577" s="333"/>
      <c r="BH577" s="333"/>
      <c r="BI577" s="333"/>
      <c r="BJ577" s="333"/>
      <c r="BK577" s="333"/>
      <c r="BL577" s="362"/>
      <c r="BM577" s="333"/>
      <c r="BN577" s="333"/>
      <c r="BO577" s="333"/>
      <c r="BP577" s="333"/>
      <c r="BQ577" s="333"/>
      <c r="BR577" s="333"/>
      <c r="BS577" s="333"/>
      <c r="BT577" s="333"/>
      <c r="BU577" s="333"/>
      <c r="BV577" s="333"/>
      <c r="BW577" s="333"/>
      <c r="BX577" s="333"/>
      <c r="BY577" s="333"/>
      <c r="BZ577" s="333"/>
      <c r="CA577" s="333"/>
      <c r="CB577" s="333"/>
      <c r="CC577" s="333"/>
      <c r="CD577" s="333"/>
      <c r="CE577" s="333"/>
      <c r="CF577" s="333"/>
      <c r="CG577" s="333"/>
      <c r="CH577" s="333"/>
      <c r="CI577" s="333"/>
      <c r="CJ577" s="333"/>
      <c r="CK577" s="333"/>
      <c r="CL577" s="333"/>
      <c r="CM577" s="333"/>
      <c r="CN577" s="333"/>
      <c r="CO577" s="333"/>
      <c r="CP577" s="333"/>
      <c r="CQ577" s="378"/>
      <c r="CR577" s="378"/>
      <c r="CS577" s="378"/>
      <c r="CT577" s="378"/>
      <c r="CU577" s="378"/>
      <c r="CV577" s="333"/>
      <c r="CW577" s="333"/>
      <c r="CX577" s="378"/>
      <c r="CY577" s="378"/>
      <c r="CZ577" s="71"/>
    </row>
    <row r="578" spans="1:104" hidden="1" outlineLevel="1" x14ac:dyDescent="0.25">
      <c r="A578" s="333"/>
      <c r="B578" s="333"/>
      <c r="C578" s="333"/>
      <c r="D578" s="334"/>
      <c r="E578" s="333"/>
      <c r="F578" s="333"/>
      <c r="G578" s="378" t="s">
        <v>54</v>
      </c>
      <c r="H578" s="333"/>
      <c r="I578" s="333"/>
      <c r="J578" s="333"/>
      <c r="K578" s="333">
        <v>2.5</v>
      </c>
      <c r="L578" s="473">
        <v>120</v>
      </c>
      <c r="M578" s="335"/>
      <c r="N578" s="335"/>
      <c r="O578" s="335"/>
      <c r="P578" s="335"/>
      <c r="Q578" s="335"/>
      <c r="R578" s="335"/>
      <c r="S578" s="335"/>
      <c r="T578" s="335"/>
      <c r="U578" s="360"/>
      <c r="V578" s="360"/>
      <c r="W578" s="360"/>
      <c r="X578" s="333"/>
      <c r="Y578" s="333"/>
      <c r="Z578" s="333"/>
      <c r="AA578" s="333"/>
      <c r="AB578" s="333"/>
      <c r="AC578" s="333"/>
      <c r="AD578" s="333"/>
      <c r="AE578" s="333"/>
      <c r="AF578" s="333"/>
      <c r="AG578" s="333"/>
      <c r="AH578" s="361"/>
      <c r="AI578" s="361"/>
      <c r="AJ578" s="333"/>
      <c r="AK578" s="333"/>
      <c r="AL578" s="333"/>
      <c r="AM578" s="333"/>
      <c r="AN578" s="333"/>
      <c r="AO578" s="333"/>
      <c r="AP578" s="333"/>
      <c r="AQ578" s="333"/>
      <c r="AR578" s="333"/>
      <c r="AS578" s="333"/>
      <c r="AT578" s="333"/>
      <c r="AU578" s="333"/>
      <c r="AV578" s="333"/>
      <c r="AW578" s="333"/>
      <c r="AX578" s="335"/>
      <c r="AY578" s="335"/>
      <c r="AZ578" s="335"/>
      <c r="BA578" s="333"/>
      <c r="BB578" s="333"/>
      <c r="BC578" s="333"/>
      <c r="BD578" s="333"/>
      <c r="BE578" s="333"/>
      <c r="BF578" s="333"/>
      <c r="BG578" s="333"/>
      <c r="BH578" s="333"/>
      <c r="BI578" s="333"/>
      <c r="BJ578" s="333"/>
      <c r="BK578" s="333"/>
      <c r="BL578" s="362"/>
      <c r="BM578" s="333"/>
      <c r="BN578" s="333"/>
      <c r="BO578" s="333"/>
      <c r="BP578" s="333"/>
      <c r="BQ578" s="333"/>
      <c r="BR578" s="333"/>
      <c r="BS578" s="333"/>
      <c r="BT578" s="333"/>
      <c r="BU578" s="333"/>
      <c r="BV578" s="333"/>
      <c r="BW578" s="333"/>
      <c r="BX578" s="333"/>
      <c r="BY578" s="333"/>
      <c r="BZ578" s="333"/>
      <c r="CA578" s="333"/>
      <c r="CB578" s="333"/>
      <c r="CC578" s="333"/>
      <c r="CD578" s="333"/>
      <c r="CE578" s="333"/>
      <c r="CF578" s="333"/>
      <c r="CG578" s="333"/>
      <c r="CH578" s="333"/>
      <c r="CI578" s="333"/>
      <c r="CJ578" s="333"/>
      <c r="CK578" s="333"/>
      <c r="CL578" s="333"/>
      <c r="CM578" s="333"/>
      <c r="CN578" s="333"/>
      <c r="CO578" s="333"/>
      <c r="CP578" s="333"/>
      <c r="CQ578" s="378"/>
      <c r="CR578" s="378"/>
      <c r="CS578" s="378"/>
      <c r="CT578" s="378"/>
      <c r="CU578" s="378"/>
      <c r="CV578" s="333"/>
      <c r="CW578" s="333"/>
      <c r="CX578" s="378"/>
      <c r="CY578" s="378"/>
      <c r="CZ578" s="71"/>
    </row>
    <row r="579" spans="1:104" hidden="1" outlineLevel="1" x14ac:dyDescent="0.25">
      <c r="A579" s="333"/>
      <c r="B579" s="333"/>
      <c r="C579" s="333"/>
      <c r="D579" s="334"/>
      <c r="E579" s="333"/>
      <c r="F579" s="333"/>
      <c r="G579" s="378" t="s">
        <v>55</v>
      </c>
      <c r="H579" s="333"/>
      <c r="I579" s="333"/>
      <c r="J579" s="333"/>
      <c r="K579" s="333">
        <v>3</v>
      </c>
      <c r="L579" s="473">
        <v>200</v>
      </c>
      <c r="M579" s="335"/>
      <c r="N579" s="335"/>
      <c r="O579" s="335"/>
      <c r="P579" s="335"/>
      <c r="Q579" s="335"/>
      <c r="R579" s="335"/>
      <c r="S579" s="335"/>
      <c r="T579" s="335"/>
      <c r="U579" s="360"/>
      <c r="V579" s="360"/>
      <c r="W579" s="360"/>
      <c r="X579" s="333"/>
      <c r="Y579" s="333"/>
      <c r="Z579" s="333"/>
      <c r="AA579" s="333"/>
      <c r="AB579" s="333"/>
      <c r="AC579" s="333"/>
      <c r="AD579" s="333"/>
      <c r="AE579" s="333"/>
      <c r="AF579" s="333"/>
      <c r="AG579" s="333"/>
      <c r="AH579" s="361"/>
      <c r="AI579" s="361"/>
      <c r="AJ579" s="333"/>
      <c r="AK579" s="333"/>
      <c r="AL579" s="333"/>
      <c r="AM579" s="333"/>
      <c r="AN579" s="333"/>
      <c r="AO579" s="333"/>
      <c r="AP579" s="333"/>
      <c r="AQ579" s="333"/>
      <c r="AR579" s="333"/>
      <c r="AS579" s="333"/>
      <c r="AT579" s="333"/>
      <c r="AU579" s="333"/>
      <c r="AV579" s="333"/>
      <c r="AW579" s="333"/>
      <c r="AX579" s="335"/>
      <c r="AY579" s="335"/>
      <c r="AZ579" s="335"/>
      <c r="BA579" s="333"/>
      <c r="BB579" s="333"/>
      <c r="BC579" s="333"/>
      <c r="BD579" s="333"/>
      <c r="BE579" s="333"/>
      <c r="BF579" s="333"/>
      <c r="BG579" s="333"/>
      <c r="BH579" s="333"/>
      <c r="BI579" s="333"/>
      <c r="BJ579" s="333"/>
      <c r="BK579" s="333"/>
      <c r="BL579" s="362"/>
      <c r="BM579" s="333"/>
      <c r="BN579" s="333"/>
      <c r="BO579" s="333"/>
      <c r="BP579" s="333"/>
      <c r="BQ579" s="333"/>
      <c r="BR579" s="333"/>
      <c r="BS579" s="333"/>
      <c r="BT579" s="333"/>
      <c r="BU579" s="333"/>
      <c r="BV579" s="333"/>
      <c r="BW579" s="333"/>
      <c r="BX579" s="333"/>
      <c r="BY579" s="333"/>
      <c r="BZ579" s="333"/>
      <c r="CA579" s="333"/>
      <c r="CB579" s="333"/>
      <c r="CC579" s="333"/>
      <c r="CD579" s="333"/>
      <c r="CE579" s="333"/>
      <c r="CF579" s="333"/>
      <c r="CG579" s="333"/>
      <c r="CH579" s="333"/>
      <c r="CI579" s="333"/>
      <c r="CJ579" s="333"/>
      <c r="CK579" s="333"/>
      <c r="CL579" s="333"/>
      <c r="CM579" s="333"/>
      <c r="CN579" s="333"/>
      <c r="CO579" s="333"/>
      <c r="CP579" s="333"/>
      <c r="CQ579" s="378"/>
      <c r="CR579" s="378"/>
      <c r="CS579" s="378"/>
      <c r="CT579" s="378"/>
      <c r="CU579" s="378"/>
      <c r="CV579" s="333"/>
      <c r="CW579" s="333"/>
      <c r="CX579" s="378"/>
      <c r="CY579" s="378"/>
      <c r="CZ579" s="71"/>
    </row>
    <row r="580" spans="1:104" hidden="1" outlineLevel="1" x14ac:dyDescent="0.25">
      <c r="A580" s="333"/>
      <c r="B580" s="333"/>
      <c r="C580" s="333"/>
      <c r="D580" s="334"/>
      <c r="E580" s="333"/>
      <c r="F580" s="333"/>
      <c r="G580" s="378" t="s">
        <v>56</v>
      </c>
      <c r="H580" s="333"/>
      <c r="I580" s="333"/>
      <c r="J580" s="333"/>
      <c r="K580" s="333">
        <v>4.5</v>
      </c>
      <c r="L580" s="473">
        <v>280</v>
      </c>
      <c r="M580" s="335"/>
      <c r="N580" s="335"/>
      <c r="O580" s="335"/>
      <c r="P580" s="335"/>
      <c r="Q580" s="335"/>
      <c r="R580" s="335"/>
      <c r="S580" s="335"/>
      <c r="T580" s="335"/>
      <c r="U580" s="360"/>
      <c r="V580" s="360"/>
      <c r="W580" s="360"/>
      <c r="X580" s="333"/>
      <c r="Y580" s="333"/>
      <c r="Z580" s="333"/>
      <c r="AA580" s="333"/>
      <c r="AB580" s="333"/>
      <c r="AC580" s="333"/>
      <c r="AD580" s="333"/>
      <c r="AE580" s="333"/>
      <c r="AF580" s="333"/>
      <c r="AG580" s="333"/>
      <c r="AH580" s="361"/>
      <c r="AI580" s="361"/>
      <c r="AJ580" s="333"/>
      <c r="AK580" s="333"/>
      <c r="AL580" s="333"/>
      <c r="AM580" s="333"/>
      <c r="AN580" s="333"/>
      <c r="AO580" s="333"/>
      <c r="AP580" s="333"/>
      <c r="AQ580" s="333"/>
      <c r="AR580" s="333"/>
      <c r="AS580" s="333"/>
      <c r="AT580" s="333"/>
      <c r="AU580" s="333"/>
      <c r="AV580" s="333"/>
      <c r="AW580" s="333"/>
      <c r="AX580" s="335"/>
      <c r="AY580" s="335"/>
      <c r="AZ580" s="335"/>
      <c r="BA580" s="333"/>
      <c r="BB580" s="333"/>
      <c r="BC580" s="333"/>
      <c r="BD580" s="333"/>
      <c r="BE580" s="333"/>
      <c r="BF580" s="333"/>
      <c r="BG580" s="333"/>
      <c r="BH580" s="333"/>
      <c r="BI580" s="333"/>
      <c r="BJ580" s="333"/>
      <c r="BK580" s="333"/>
      <c r="BL580" s="362"/>
      <c r="BM580" s="333"/>
      <c r="BN580" s="333"/>
      <c r="BO580" s="333"/>
      <c r="BP580" s="333"/>
      <c r="BQ580" s="333"/>
      <c r="BR580" s="333"/>
      <c r="BS580" s="333"/>
      <c r="BT580" s="333"/>
      <c r="BU580" s="333"/>
      <c r="BV580" s="333"/>
      <c r="BW580" s="333"/>
      <c r="BX580" s="333"/>
      <c r="BY580" s="333"/>
      <c r="BZ580" s="333"/>
      <c r="CA580" s="333"/>
      <c r="CB580" s="333"/>
      <c r="CC580" s="333"/>
      <c r="CD580" s="333"/>
      <c r="CE580" s="333"/>
      <c r="CF580" s="333"/>
      <c r="CG580" s="333"/>
      <c r="CH580" s="333"/>
      <c r="CI580" s="333"/>
      <c r="CJ580" s="333"/>
      <c r="CK580" s="333"/>
      <c r="CL580" s="333"/>
      <c r="CM580" s="333"/>
      <c r="CN580" s="333"/>
      <c r="CO580" s="333"/>
      <c r="CP580" s="333"/>
      <c r="CQ580" s="378"/>
      <c r="CR580" s="378"/>
      <c r="CS580" s="378"/>
      <c r="CT580" s="378"/>
      <c r="CU580" s="378"/>
      <c r="CV580" s="333"/>
      <c r="CW580" s="333"/>
      <c r="CX580" s="378"/>
      <c r="CY580" s="378"/>
      <c r="CZ580" s="71"/>
    </row>
    <row r="581" spans="1:104" hidden="1" outlineLevel="1" x14ac:dyDescent="0.25">
      <c r="A581" s="333"/>
      <c r="B581" s="333"/>
      <c r="C581" s="333"/>
      <c r="D581" s="334"/>
      <c r="E581" s="333"/>
      <c r="F581" s="333"/>
      <c r="G581" s="390" t="s">
        <v>57</v>
      </c>
      <c r="H581" s="333"/>
      <c r="I581" s="333"/>
      <c r="J581" s="333"/>
      <c r="K581" s="333">
        <v>6</v>
      </c>
      <c r="L581" s="473">
        <v>360</v>
      </c>
      <c r="M581" s="335"/>
      <c r="N581" s="335"/>
      <c r="O581" s="335"/>
      <c r="P581" s="335"/>
      <c r="Q581" s="335"/>
      <c r="R581" s="335"/>
      <c r="S581" s="335"/>
      <c r="T581" s="335"/>
      <c r="U581" s="360"/>
      <c r="V581" s="360"/>
      <c r="W581" s="360"/>
      <c r="X581" s="333"/>
      <c r="Y581" s="333"/>
      <c r="Z581" s="333"/>
      <c r="AA581" s="333"/>
      <c r="AB581" s="333"/>
      <c r="AC581" s="333"/>
      <c r="AD581" s="333"/>
      <c r="AE581" s="333"/>
      <c r="AF581" s="333"/>
      <c r="AG581" s="333"/>
      <c r="AH581" s="361"/>
      <c r="AI581" s="361"/>
      <c r="AJ581" s="333"/>
      <c r="AK581" s="333"/>
      <c r="AL581" s="333"/>
      <c r="AM581" s="333"/>
      <c r="AN581" s="333"/>
      <c r="AO581" s="333"/>
      <c r="AP581" s="333"/>
      <c r="AQ581" s="333"/>
      <c r="AR581" s="333"/>
      <c r="AS581" s="333"/>
      <c r="AT581" s="333"/>
      <c r="AU581" s="333"/>
      <c r="AV581" s="333"/>
      <c r="AW581" s="333"/>
      <c r="AX581" s="335"/>
      <c r="AY581" s="335"/>
      <c r="AZ581" s="335"/>
      <c r="BA581" s="333"/>
      <c r="BB581" s="333"/>
      <c r="BC581" s="333"/>
      <c r="BD581" s="333"/>
      <c r="BE581" s="333"/>
      <c r="BF581" s="333"/>
      <c r="BG581" s="333"/>
      <c r="BH581" s="333"/>
      <c r="BI581" s="333"/>
      <c r="BJ581" s="333"/>
      <c r="BK581" s="333"/>
      <c r="BL581" s="362"/>
      <c r="BM581" s="333"/>
      <c r="BN581" s="333"/>
      <c r="BO581" s="333"/>
      <c r="BP581" s="333"/>
      <c r="BQ581" s="333"/>
      <c r="BR581" s="333"/>
      <c r="BS581" s="333"/>
      <c r="BT581" s="333"/>
      <c r="BU581" s="333"/>
      <c r="BV581" s="333"/>
      <c r="BW581" s="333"/>
      <c r="BX581" s="333"/>
      <c r="BY581" s="333"/>
      <c r="BZ581" s="333"/>
      <c r="CA581" s="333"/>
      <c r="CB581" s="333"/>
      <c r="CC581" s="333"/>
      <c r="CD581" s="333"/>
      <c r="CE581" s="333"/>
      <c r="CF581" s="333"/>
      <c r="CG581" s="333"/>
      <c r="CH581" s="333"/>
      <c r="CI581" s="333"/>
      <c r="CJ581" s="333"/>
      <c r="CK581" s="333"/>
      <c r="CL581" s="333"/>
      <c r="CM581" s="333"/>
      <c r="CN581" s="333"/>
      <c r="CO581" s="333"/>
      <c r="CP581" s="333"/>
      <c r="CQ581" s="378"/>
      <c r="CR581" s="378"/>
      <c r="CS581" s="378"/>
      <c r="CT581" s="378"/>
      <c r="CU581" s="378"/>
      <c r="CV581" s="333"/>
      <c r="CW581" s="333"/>
      <c r="CX581" s="378"/>
      <c r="CY581" s="378"/>
      <c r="CZ581" s="71"/>
    </row>
    <row r="582" spans="1:104" hidden="1" outlineLevel="1" x14ac:dyDescent="0.25">
      <c r="A582" s="333"/>
      <c r="B582" s="333"/>
      <c r="C582" s="333"/>
      <c r="D582" s="334"/>
      <c r="E582" s="333"/>
      <c r="F582" s="333"/>
      <c r="G582" s="390" t="s">
        <v>415</v>
      </c>
      <c r="H582" s="333"/>
      <c r="I582" s="333"/>
      <c r="J582" s="333"/>
      <c r="K582" s="333">
        <v>10</v>
      </c>
      <c r="L582" s="473">
        <v>500</v>
      </c>
      <c r="M582" s="335"/>
      <c r="N582" s="335"/>
      <c r="O582" s="335"/>
      <c r="P582" s="335"/>
      <c r="Q582" s="335"/>
      <c r="R582" s="335"/>
      <c r="S582" s="335"/>
      <c r="T582" s="335"/>
      <c r="U582" s="360"/>
      <c r="V582" s="360"/>
      <c r="W582" s="360"/>
      <c r="X582" s="333"/>
      <c r="Y582" s="333"/>
      <c r="Z582" s="333"/>
      <c r="AA582" s="333"/>
      <c r="AB582" s="333"/>
      <c r="AC582" s="333"/>
      <c r="AD582" s="333"/>
      <c r="AE582" s="333"/>
      <c r="AF582" s="333"/>
      <c r="AG582" s="333"/>
      <c r="AH582" s="361"/>
      <c r="AI582" s="361"/>
      <c r="AJ582" s="333"/>
      <c r="AK582" s="333"/>
      <c r="AL582" s="333"/>
      <c r="AM582" s="333"/>
      <c r="AN582" s="333"/>
      <c r="AO582" s="333"/>
      <c r="AP582" s="333"/>
      <c r="AQ582" s="333"/>
      <c r="AR582" s="333"/>
      <c r="AS582" s="333"/>
      <c r="AT582" s="333"/>
      <c r="AU582" s="333"/>
      <c r="AV582" s="333"/>
      <c r="AW582" s="333"/>
      <c r="AX582" s="335"/>
      <c r="AY582" s="335"/>
      <c r="AZ582" s="335"/>
      <c r="BA582" s="333"/>
      <c r="BB582" s="333"/>
      <c r="BC582" s="333"/>
      <c r="BD582" s="333"/>
      <c r="BE582" s="333"/>
      <c r="BF582" s="333"/>
      <c r="BG582" s="333"/>
      <c r="BH582" s="333"/>
      <c r="BI582" s="333"/>
      <c r="BJ582" s="333"/>
      <c r="BK582" s="333"/>
      <c r="BL582" s="362"/>
      <c r="BM582" s="333"/>
      <c r="BN582" s="333"/>
      <c r="BO582" s="333"/>
      <c r="BP582" s="333"/>
      <c r="BQ582" s="333"/>
      <c r="BR582" s="333"/>
      <c r="BS582" s="333"/>
      <c r="BT582" s="333"/>
      <c r="BU582" s="333"/>
      <c r="BV582" s="333"/>
      <c r="BW582" s="333"/>
      <c r="BX582" s="333"/>
      <c r="BY582" s="333"/>
      <c r="BZ582" s="333"/>
      <c r="CA582" s="333"/>
      <c r="CB582" s="333"/>
      <c r="CC582" s="333"/>
      <c r="CD582" s="333"/>
      <c r="CE582" s="333"/>
      <c r="CF582" s="333"/>
      <c r="CG582" s="333"/>
      <c r="CH582" s="333"/>
      <c r="CI582" s="333"/>
      <c r="CJ582" s="333"/>
      <c r="CK582" s="333"/>
      <c r="CL582" s="333"/>
      <c r="CM582" s="333"/>
      <c r="CN582" s="333"/>
      <c r="CO582" s="333"/>
      <c r="CP582" s="333"/>
      <c r="CQ582" s="378"/>
      <c r="CR582" s="378"/>
      <c r="CS582" s="378"/>
      <c r="CT582" s="378"/>
      <c r="CU582" s="378"/>
      <c r="CV582" s="333"/>
      <c r="CW582" s="333"/>
      <c r="CX582" s="378"/>
      <c r="CY582" s="378"/>
      <c r="CZ582" s="71"/>
    </row>
    <row r="583" spans="1:104" hidden="1" outlineLevel="1" x14ac:dyDescent="0.25">
      <c r="A583" s="333"/>
      <c r="B583" s="333"/>
      <c r="C583" s="333"/>
      <c r="D583" s="334"/>
      <c r="E583" s="333"/>
      <c r="F583" s="333"/>
      <c r="G583" s="390" t="s">
        <v>416</v>
      </c>
      <c r="H583" s="333"/>
      <c r="I583" s="333"/>
      <c r="J583" s="333"/>
      <c r="K583" s="333">
        <v>11.5</v>
      </c>
      <c r="L583" s="473">
        <v>700</v>
      </c>
      <c r="M583" s="335"/>
      <c r="N583" s="335"/>
      <c r="O583" s="335"/>
      <c r="P583" s="335"/>
      <c r="Q583" s="335"/>
      <c r="R583" s="335"/>
      <c r="S583" s="335"/>
      <c r="T583" s="335"/>
      <c r="U583" s="360"/>
      <c r="V583" s="360"/>
      <c r="W583" s="360"/>
      <c r="X583" s="333"/>
      <c r="Y583" s="333"/>
      <c r="Z583" s="333"/>
      <c r="AA583" s="333"/>
      <c r="AB583" s="333"/>
      <c r="AC583" s="333"/>
      <c r="AD583" s="333"/>
      <c r="AE583" s="333"/>
      <c r="AF583" s="333"/>
      <c r="AG583" s="333"/>
      <c r="AH583" s="361"/>
      <c r="AI583" s="361"/>
      <c r="AJ583" s="333"/>
      <c r="AK583" s="333"/>
      <c r="AL583" s="333"/>
      <c r="AM583" s="333"/>
      <c r="AN583" s="333"/>
      <c r="AO583" s="333"/>
      <c r="AP583" s="333"/>
      <c r="AQ583" s="333"/>
      <c r="AR583" s="333"/>
      <c r="AS583" s="333"/>
      <c r="AT583" s="333"/>
      <c r="AU583" s="333"/>
      <c r="AV583" s="333"/>
      <c r="AW583" s="333"/>
      <c r="AX583" s="335"/>
      <c r="AY583" s="335"/>
      <c r="AZ583" s="335"/>
      <c r="BA583" s="333"/>
      <c r="BB583" s="333"/>
      <c r="BC583" s="333"/>
      <c r="BD583" s="333"/>
      <c r="BE583" s="333"/>
      <c r="BF583" s="333"/>
      <c r="BG583" s="333"/>
      <c r="BH583" s="333"/>
      <c r="BI583" s="333"/>
      <c r="BJ583" s="333"/>
      <c r="BK583" s="333"/>
      <c r="BL583" s="362"/>
      <c r="BM583" s="333"/>
      <c r="BN583" s="333"/>
      <c r="BO583" s="333"/>
      <c r="BP583" s="333"/>
      <c r="BQ583" s="333"/>
      <c r="BR583" s="333"/>
      <c r="BS583" s="333"/>
      <c r="BT583" s="333"/>
      <c r="BU583" s="333"/>
      <c r="BV583" s="333"/>
      <c r="BW583" s="333"/>
      <c r="BX583" s="333"/>
      <c r="BY583" s="333"/>
      <c r="BZ583" s="333"/>
      <c r="CA583" s="333"/>
      <c r="CB583" s="333"/>
      <c r="CC583" s="333"/>
      <c r="CD583" s="333"/>
      <c r="CE583" s="333"/>
      <c r="CF583" s="333"/>
      <c r="CG583" s="333"/>
      <c r="CH583" s="333"/>
      <c r="CI583" s="333"/>
      <c r="CJ583" s="333"/>
      <c r="CK583" s="333"/>
      <c r="CL583" s="333"/>
      <c r="CM583" s="333"/>
      <c r="CN583" s="333"/>
      <c r="CO583" s="333"/>
      <c r="CP583" s="333"/>
      <c r="CQ583" s="378"/>
      <c r="CR583" s="378"/>
      <c r="CS583" s="378"/>
      <c r="CT583" s="378"/>
      <c r="CU583" s="378"/>
      <c r="CV583" s="333"/>
      <c r="CW583" s="333"/>
      <c r="CX583" s="378"/>
      <c r="CY583" s="378"/>
      <c r="CZ583" s="71"/>
    </row>
    <row r="584" spans="1:104" hidden="1" outlineLevel="1" x14ac:dyDescent="0.25">
      <c r="A584" s="333"/>
      <c r="B584" s="333"/>
      <c r="C584" s="333"/>
      <c r="D584" s="334"/>
      <c r="E584" s="333"/>
      <c r="F584" s="333"/>
      <c r="G584" s="378"/>
      <c r="H584" s="333"/>
      <c r="I584" s="333"/>
      <c r="J584" s="333"/>
      <c r="K584" s="333"/>
      <c r="L584" s="335"/>
      <c r="M584" s="335"/>
      <c r="N584" s="335"/>
      <c r="O584" s="335"/>
      <c r="P584" s="335"/>
      <c r="Q584" s="335"/>
      <c r="R584" s="335"/>
      <c r="S584" s="335"/>
      <c r="T584" s="335"/>
      <c r="U584" s="360"/>
      <c r="V584" s="360"/>
      <c r="W584" s="360"/>
      <c r="X584" s="333"/>
      <c r="Y584" s="333"/>
      <c r="Z584" s="333"/>
      <c r="AA584" s="333"/>
      <c r="AB584" s="333"/>
      <c r="AC584" s="333"/>
      <c r="AD584" s="333"/>
      <c r="AE584" s="333"/>
      <c r="AF584" s="333"/>
      <c r="AG584" s="333"/>
      <c r="AH584" s="361"/>
      <c r="AI584" s="361"/>
      <c r="AJ584" s="333"/>
      <c r="AK584" s="333"/>
      <c r="AL584" s="333"/>
      <c r="AM584" s="333"/>
      <c r="AN584" s="333"/>
      <c r="AO584" s="333"/>
      <c r="AP584" s="333"/>
      <c r="AQ584" s="333"/>
      <c r="AR584" s="333"/>
      <c r="AS584" s="333"/>
      <c r="AT584" s="333"/>
      <c r="AU584" s="333"/>
      <c r="AV584" s="333"/>
      <c r="AW584" s="333"/>
      <c r="AX584" s="335"/>
      <c r="AY584" s="335"/>
      <c r="AZ584" s="335"/>
      <c r="BA584" s="333"/>
      <c r="BB584" s="333"/>
      <c r="BC584" s="333"/>
      <c r="BD584" s="333"/>
      <c r="BE584" s="333"/>
      <c r="BF584" s="333"/>
      <c r="BG584" s="333"/>
      <c r="BH584" s="333"/>
      <c r="BI584" s="333"/>
      <c r="BJ584" s="333"/>
      <c r="BK584" s="333"/>
      <c r="BL584" s="362"/>
      <c r="BM584" s="333"/>
      <c r="BN584" s="333"/>
      <c r="BO584" s="333"/>
      <c r="BP584" s="333"/>
      <c r="BQ584" s="333"/>
      <c r="BR584" s="333"/>
      <c r="BS584" s="333"/>
      <c r="BT584" s="333"/>
      <c r="BU584" s="333"/>
      <c r="BV584" s="333"/>
      <c r="BW584" s="333"/>
      <c r="BX584" s="333"/>
      <c r="BY584" s="333"/>
      <c r="BZ584" s="333"/>
      <c r="CA584" s="333"/>
      <c r="CB584" s="333"/>
      <c r="CC584" s="333"/>
      <c r="CD584" s="333"/>
      <c r="CE584" s="333"/>
      <c r="CF584" s="333"/>
      <c r="CG584" s="333"/>
      <c r="CH584" s="333"/>
      <c r="CI584" s="333"/>
      <c r="CJ584" s="333"/>
      <c r="CK584" s="333"/>
      <c r="CL584" s="333"/>
      <c r="CM584" s="333"/>
      <c r="CN584" s="333"/>
      <c r="CO584" s="333"/>
      <c r="CP584" s="333"/>
      <c r="CQ584" s="333"/>
      <c r="CR584" s="333"/>
      <c r="CS584" s="333"/>
      <c r="CT584" s="333"/>
      <c r="CU584" s="333"/>
      <c r="CV584" s="333"/>
      <c r="CW584" s="333"/>
      <c r="CX584" s="378"/>
      <c r="CY584" s="378"/>
      <c r="CZ584" s="71"/>
    </row>
    <row r="585" spans="1:104" hidden="1" outlineLevel="1" x14ac:dyDescent="0.25">
      <c r="A585" s="333"/>
      <c r="B585" s="333"/>
      <c r="C585" s="333"/>
      <c r="D585" s="334"/>
      <c r="E585" s="333"/>
      <c r="F585" s="333"/>
      <c r="G585" s="378"/>
      <c r="H585" s="333"/>
      <c r="I585" s="333"/>
      <c r="J585" s="333"/>
      <c r="K585" s="333"/>
      <c r="L585" s="335"/>
      <c r="M585" s="335"/>
      <c r="N585" s="335"/>
      <c r="O585" s="335"/>
      <c r="P585" s="335"/>
      <c r="Q585" s="335"/>
      <c r="R585" s="335"/>
      <c r="S585" s="335"/>
      <c r="T585" s="335"/>
      <c r="U585" s="360"/>
      <c r="V585" s="360"/>
      <c r="W585" s="360"/>
      <c r="X585" s="333"/>
      <c r="Y585" s="333"/>
      <c r="Z585" s="333"/>
      <c r="AA585" s="333"/>
      <c r="AB585" s="333"/>
      <c r="AC585" s="333"/>
      <c r="AD585" s="333"/>
      <c r="AE585" s="333"/>
      <c r="AF585" s="333"/>
      <c r="AG585" s="333"/>
      <c r="AH585" s="361"/>
      <c r="AI585" s="361"/>
      <c r="AJ585" s="333"/>
      <c r="AK585" s="333"/>
      <c r="AL585" s="333"/>
      <c r="AM585" s="333"/>
      <c r="AN585" s="333"/>
      <c r="AO585" s="333"/>
      <c r="AP585" s="333"/>
      <c r="AQ585" s="333"/>
      <c r="AR585" s="333"/>
      <c r="AS585" s="333"/>
      <c r="AT585" s="333"/>
      <c r="AU585" s="333"/>
      <c r="AV585" s="333"/>
      <c r="AW585" s="333"/>
      <c r="AX585" s="335"/>
      <c r="AY585" s="335"/>
      <c r="AZ585" s="335"/>
      <c r="BA585" s="333"/>
      <c r="BB585" s="333"/>
      <c r="BC585" s="333"/>
      <c r="BD585" s="333"/>
      <c r="BE585" s="333"/>
      <c r="BF585" s="333"/>
      <c r="BG585" s="333"/>
      <c r="BH585" s="333"/>
      <c r="BI585" s="333"/>
      <c r="BJ585" s="333"/>
      <c r="BK585" s="333"/>
      <c r="BL585" s="362"/>
      <c r="BM585" s="333"/>
      <c r="BN585" s="333"/>
      <c r="BO585" s="333"/>
      <c r="BP585" s="333"/>
      <c r="BQ585" s="333"/>
      <c r="BR585" s="333"/>
      <c r="BS585" s="333"/>
      <c r="BT585" s="333"/>
      <c r="BU585" s="333"/>
      <c r="BV585" s="333"/>
      <c r="BW585" s="333"/>
      <c r="BX585" s="333"/>
      <c r="BY585" s="333"/>
      <c r="BZ585" s="333"/>
      <c r="CA585" s="333"/>
      <c r="CB585" s="333"/>
      <c r="CC585" s="333"/>
      <c r="CD585" s="333"/>
      <c r="CE585" s="333"/>
      <c r="CF585" s="333"/>
      <c r="CG585" s="333"/>
      <c r="CH585" s="333"/>
      <c r="CI585" s="333"/>
      <c r="CJ585" s="333"/>
      <c r="CK585" s="333"/>
      <c r="CL585" s="333"/>
      <c r="CM585" s="333"/>
      <c r="CN585" s="333"/>
      <c r="CO585" s="333"/>
      <c r="CP585" s="333"/>
      <c r="CQ585" s="333"/>
      <c r="CR585" s="333"/>
      <c r="CS585" s="333"/>
      <c r="CT585" s="333"/>
      <c r="CU585" s="333"/>
      <c r="CV585" s="333"/>
      <c r="CW585" s="333"/>
      <c r="CX585" s="378"/>
      <c r="CY585" s="378"/>
      <c r="CZ585" s="71"/>
    </row>
    <row r="586" spans="1:104" hidden="1" outlineLevel="1" x14ac:dyDescent="0.25">
      <c r="A586" s="333"/>
      <c r="B586" s="333"/>
      <c r="C586" s="333"/>
      <c r="D586" s="334"/>
      <c r="E586" s="333"/>
      <c r="F586" s="333"/>
      <c r="G586" s="378"/>
      <c r="H586" s="333"/>
      <c r="I586" s="333"/>
      <c r="J586" s="333"/>
      <c r="K586" s="333"/>
      <c r="L586" s="335"/>
      <c r="M586" s="335"/>
      <c r="N586" s="335"/>
      <c r="O586" s="335"/>
      <c r="P586" s="335"/>
      <c r="Q586" s="335"/>
      <c r="R586" s="335"/>
      <c r="S586" s="335"/>
      <c r="T586" s="335"/>
      <c r="U586" s="360"/>
      <c r="V586" s="360"/>
      <c r="W586" s="360"/>
      <c r="X586" s="333"/>
      <c r="Y586" s="333"/>
      <c r="Z586" s="333"/>
      <c r="AA586" s="333"/>
      <c r="AB586" s="333"/>
      <c r="AC586" s="333"/>
      <c r="AD586" s="333"/>
      <c r="AE586" s="333"/>
      <c r="AF586" s="333"/>
      <c r="AG586" s="333"/>
      <c r="AH586" s="361"/>
      <c r="AI586" s="361"/>
      <c r="AJ586" s="333"/>
      <c r="AK586" s="333"/>
      <c r="AL586" s="333"/>
      <c r="AM586" s="333"/>
      <c r="AN586" s="333"/>
      <c r="AO586" s="333"/>
      <c r="AP586" s="333"/>
      <c r="AQ586" s="333"/>
      <c r="AR586" s="333"/>
      <c r="AS586" s="333"/>
      <c r="AT586" s="333"/>
      <c r="AU586" s="333"/>
      <c r="AV586" s="333"/>
      <c r="AW586" s="333"/>
      <c r="AX586" s="335"/>
      <c r="AY586" s="335"/>
      <c r="AZ586" s="335"/>
      <c r="BA586" s="333"/>
      <c r="BB586" s="333"/>
      <c r="BC586" s="333"/>
      <c r="BD586" s="333"/>
      <c r="BE586" s="333"/>
      <c r="BF586" s="333"/>
      <c r="BG586" s="333"/>
      <c r="BH586" s="333"/>
      <c r="BI586" s="333"/>
      <c r="BJ586" s="333"/>
      <c r="BK586" s="333"/>
      <c r="BL586" s="362"/>
      <c r="BM586" s="333"/>
      <c r="BN586" s="333"/>
      <c r="BO586" s="333"/>
      <c r="BP586" s="333"/>
      <c r="BQ586" s="333"/>
      <c r="BR586" s="333"/>
      <c r="BS586" s="333"/>
      <c r="BT586" s="333"/>
      <c r="BU586" s="333"/>
      <c r="BV586" s="333"/>
      <c r="BW586" s="333"/>
      <c r="BX586" s="333"/>
      <c r="BY586" s="333"/>
      <c r="BZ586" s="333"/>
      <c r="CA586" s="333"/>
      <c r="CB586" s="333"/>
      <c r="CC586" s="333"/>
      <c r="CD586" s="333"/>
      <c r="CE586" s="333"/>
      <c r="CF586" s="333"/>
      <c r="CG586" s="333"/>
      <c r="CH586" s="333"/>
      <c r="CI586" s="333"/>
      <c r="CJ586" s="333"/>
      <c r="CK586" s="333"/>
      <c r="CL586" s="333"/>
      <c r="CM586" s="333"/>
      <c r="CN586" s="333"/>
      <c r="CO586" s="333"/>
      <c r="CP586" s="333"/>
      <c r="CQ586" s="333"/>
      <c r="CR586" s="333"/>
      <c r="CS586" s="333"/>
      <c r="CT586" s="333"/>
      <c r="CU586" s="333"/>
      <c r="CV586" s="333"/>
      <c r="CW586" s="333"/>
      <c r="CX586" s="378"/>
      <c r="CY586" s="378"/>
      <c r="CZ586" s="71"/>
    </row>
    <row r="587" spans="1:104" hidden="1" outlineLevel="1" x14ac:dyDescent="0.25">
      <c r="A587" s="333"/>
      <c r="B587" s="333"/>
      <c r="C587" s="333"/>
      <c r="D587" s="334"/>
      <c r="E587" s="333"/>
      <c r="F587" s="333"/>
      <c r="G587" s="333"/>
      <c r="H587" s="333"/>
      <c r="I587" s="333"/>
      <c r="J587" s="378"/>
      <c r="K587" s="333"/>
      <c r="L587" s="335"/>
      <c r="M587" s="335"/>
      <c r="N587" s="335"/>
      <c r="O587" s="335"/>
      <c r="P587" s="335"/>
      <c r="Q587" s="335"/>
      <c r="R587" s="335"/>
      <c r="S587" s="335"/>
      <c r="T587" s="335"/>
      <c r="U587" s="360"/>
      <c r="V587" s="360"/>
      <c r="W587" s="360"/>
      <c r="X587" s="333"/>
      <c r="Y587" s="333"/>
      <c r="Z587" s="333"/>
      <c r="AA587" s="333"/>
      <c r="AB587" s="333"/>
      <c r="AC587" s="333"/>
      <c r="AD587" s="333"/>
      <c r="AE587" s="333"/>
      <c r="AF587" s="333"/>
      <c r="AG587" s="333"/>
      <c r="AH587" s="361"/>
      <c r="AI587" s="361"/>
      <c r="AJ587" s="333"/>
      <c r="AK587" s="333"/>
      <c r="AL587" s="333"/>
      <c r="AM587" s="333"/>
      <c r="AN587" s="333"/>
      <c r="AO587" s="333"/>
      <c r="AP587" s="333"/>
      <c r="AQ587" s="333"/>
      <c r="AR587" s="333"/>
      <c r="AS587" s="333"/>
      <c r="AT587" s="333"/>
      <c r="AU587" s="333"/>
      <c r="AV587" s="333"/>
      <c r="AW587" s="333"/>
      <c r="AX587" s="335"/>
      <c r="AY587" s="335"/>
      <c r="AZ587" s="335"/>
      <c r="BA587" s="333"/>
      <c r="BB587" s="333"/>
      <c r="BC587" s="333"/>
      <c r="BD587" s="333"/>
      <c r="BE587" s="333"/>
      <c r="BF587" s="333"/>
      <c r="BG587" s="333"/>
      <c r="BH587" s="333"/>
      <c r="BI587" s="333"/>
      <c r="BJ587" s="333"/>
      <c r="BK587" s="333"/>
      <c r="BL587" s="362"/>
      <c r="BM587" s="333"/>
      <c r="BN587" s="333"/>
      <c r="BO587" s="333"/>
      <c r="BP587" s="333"/>
      <c r="BQ587" s="333"/>
      <c r="BR587" s="333"/>
      <c r="BS587" s="333"/>
      <c r="BT587" s="333"/>
      <c r="BU587" s="333"/>
      <c r="BV587" s="333"/>
      <c r="BW587" s="333"/>
      <c r="BX587" s="333"/>
      <c r="BY587" s="333"/>
      <c r="BZ587" s="333"/>
      <c r="CA587" s="333"/>
      <c r="CB587" s="333"/>
      <c r="CC587" s="333"/>
      <c r="CD587" s="333"/>
      <c r="CE587" s="333"/>
      <c r="CF587" s="333"/>
      <c r="CG587" s="333"/>
      <c r="CH587" s="333"/>
      <c r="CI587" s="333"/>
      <c r="CJ587" s="333"/>
      <c r="CK587" s="333"/>
      <c r="CL587" s="333"/>
      <c r="CM587" s="333"/>
      <c r="CN587" s="333"/>
      <c r="CO587" s="333"/>
      <c r="CP587" s="333"/>
      <c r="CQ587" s="333"/>
      <c r="CR587" s="333"/>
      <c r="CS587" s="333"/>
      <c r="CT587" s="333"/>
      <c r="CU587" s="333"/>
      <c r="CV587" s="333"/>
      <c r="CW587" s="333"/>
      <c r="CX587" s="378"/>
      <c r="CY587" s="378"/>
      <c r="CZ587" s="71"/>
    </row>
    <row r="588" spans="1:104" hidden="1" outlineLevel="1" x14ac:dyDescent="0.25">
      <c r="A588" s="333"/>
      <c r="B588" s="333"/>
      <c r="C588" s="333"/>
      <c r="D588" s="334"/>
      <c r="E588" s="333"/>
      <c r="F588" s="333"/>
      <c r="G588" s="333"/>
      <c r="H588" s="333"/>
      <c r="I588" s="333"/>
      <c r="J588" s="333"/>
      <c r="K588" s="333"/>
      <c r="L588" s="335"/>
      <c r="M588" s="335"/>
      <c r="N588" s="335"/>
      <c r="O588" s="335"/>
      <c r="P588" s="335"/>
      <c r="Q588" s="335"/>
      <c r="R588" s="335"/>
      <c r="S588" s="335"/>
      <c r="T588" s="335"/>
      <c r="U588" s="360"/>
      <c r="V588" s="360"/>
      <c r="W588" s="360"/>
      <c r="X588" s="333"/>
      <c r="Y588" s="333"/>
      <c r="Z588" s="333"/>
      <c r="AA588" s="333"/>
      <c r="AB588" s="333"/>
      <c r="AC588" s="333"/>
      <c r="AD588" s="333"/>
      <c r="AE588" s="333"/>
      <c r="AF588" s="333"/>
      <c r="AG588" s="333"/>
      <c r="AH588" s="361"/>
      <c r="AI588" s="361"/>
      <c r="AJ588" s="333"/>
      <c r="AK588" s="333"/>
      <c r="AL588" s="333"/>
      <c r="AM588" s="333"/>
      <c r="AN588" s="333"/>
      <c r="AO588" s="333"/>
      <c r="AP588" s="333"/>
      <c r="AQ588" s="333"/>
      <c r="AR588" s="333"/>
      <c r="AS588" s="333"/>
      <c r="AT588" s="333"/>
      <c r="AU588" s="333"/>
      <c r="AV588" s="333"/>
      <c r="AW588" s="333"/>
      <c r="AX588" s="335"/>
      <c r="AY588" s="335"/>
      <c r="AZ588" s="335"/>
      <c r="BA588" s="333"/>
      <c r="BB588" s="333"/>
      <c r="BC588" s="333"/>
      <c r="BD588" s="333"/>
      <c r="BE588" s="333"/>
      <c r="BF588" s="333"/>
      <c r="BG588" s="333"/>
      <c r="BH588" s="333"/>
      <c r="BI588" s="333"/>
      <c r="BJ588" s="333"/>
      <c r="BK588" s="333"/>
      <c r="BL588" s="362"/>
      <c r="BM588" s="333"/>
      <c r="BN588" s="333"/>
      <c r="BO588" s="333"/>
      <c r="BP588" s="333"/>
      <c r="BQ588" s="333"/>
      <c r="BR588" s="333"/>
      <c r="BS588" s="333"/>
      <c r="BT588" s="333"/>
      <c r="BU588" s="333"/>
      <c r="BV588" s="333"/>
      <c r="BW588" s="333"/>
      <c r="BX588" s="333"/>
      <c r="BY588" s="333"/>
      <c r="BZ588" s="333"/>
      <c r="CA588" s="333"/>
      <c r="CB588" s="333"/>
      <c r="CC588" s="333"/>
      <c r="CD588" s="333"/>
      <c r="CE588" s="333"/>
      <c r="CF588" s="333"/>
      <c r="CG588" s="333"/>
      <c r="CH588" s="333"/>
      <c r="CI588" s="333"/>
      <c r="CJ588" s="333"/>
      <c r="CK588" s="333"/>
      <c r="CL588" s="333"/>
      <c r="CM588" s="333"/>
      <c r="CN588" s="333"/>
      <c r="CO588" s="333"/>
      <c r="CP588" s="333"/>
      <c r="CQ588" s="333"/>
      <c r="CR588" s="333"/>
      <c r="CS588" s="333"/>
      <c r="CT588" s="333"/>
      <c r="CU588" s="333"/>
      <c r="CV588" s="333"/>
      <c r="CW588" s="333"/>
      <c r="CX588" s="378"/>
      <c r="CY588" s="378"/>
      <c r="CZ588" s="71"/>
    </row>
    <row r="589" spans="1:104" hidden="1" outlineLevel="1" x14ac:dyDescent="0.25">
      <c r="A589" s="333"/>
      <c r="B589" s="333"/>
      <c r="C589" s="333"/>
      <c r="D589" s="334"/>
      <c r="E589" s="333"/>
      <c r="F589" s="333"/>
      <c r="G589" s="333"/>
      <c r="H589" s="333"/>
      <c r="I589" s="333"/>
      <c r="J589" s="333"/>
      <c r="K589" s="333"/>
      <c r="L589" s="335"/>
      <c r="M589" s="335"/>
      <c r="N589" s="335"/>
      <c r="O589" s="335"/>
      <c r="P589" s="335"/>
      <c r="Q589" s="335"/>
      <c r="R589" s="335"/>
      <c r="S589" s="335"/>
      <c r="T589" s="335"/>
      <c r="U589" s="360"/>
      <c r="V589" s="360"/>
      <c r="W589" s="360"/>
      <c r="X589" s="333"/>
      <c r="Y589" s="333"/>
      <c r="Z589" s="333"/>
      <c r="AA589" s="333"/>
      <c r="AB589" s="333"/>
      <c r="AC589" s="333"/>
      <c r="AD589" s="333"/>
      <c r="AE589" s="333"/>
      <c r="AF589" s="333"/>
      <c r="AG589" s="333"/>
      <c r="AH589" s="361"/>
      <c r="AI589" s="361"/>
      <c r="AJ589" s="333"/>
      <c r="AK589" s="333"/>
      <c r="AL589" s="333"/>
      <c r="AM589" s="333"/>
      <c r="AN589" s="333"/>
      <c r="AO589" s="333"/>
      <c r="AP589" s="333"/>
      <c r="AQ589" s="333"/>
      <c r="AR589" s="333"/>
      <c r="AS589" s="333"/>
      <c r="AT589" s="333"/>
      <c r="AU589" s="333"/>
      <c r="AV589" s="333"/>
      <c r="AW589" s="333"/>
      <c r="AX589" s="335"/>
      <c r="AY589" s="335"/>
      <c r="AZ589" s="335"/>
      <c r="BA589" s="333"/>
      <c r="BB589" s="333"/>
      <c r="BC589" s="333"/>
      <c r="BD589" s="333"/>
      <c r="BE589" s="333"/>
      <c r="BF589" s="333"/>
      <c r="BG589" s="333"/>
      <c r="BH589" s="333"/>
      <c r="BI589" s="333"/>
      <c r="BJ589" s="333"/>
      <c r="BK589" s="333"/>
      <c r="BL589" s="362"/>
      <c r="BM589" s="333"/>
      <c r="BN589" s="333"/>
      <c r="BO589" s="333"/>
      <c r="BP589" s="333"/>
      <c r="BQ589" s="333"/>
      <c r="BR589" s="333"/>
      <c r="BS589" s="333"/>
      <c r="BT589" s="333"/>
      <c r="BU589" s="333"/>
      <c r="BV589" s="333"/>
      <c r="BW589" s="333"/>
      <c r="BX589" s="333"/>
      <c r="BY589" s="333"/>
      <c r="BZ589" s="333"/>
      <c r="CA589" s="333"/>
      <c r="CB589" s="333"/>
      <c r="CC589" s="333"/>
      <c r="CD589" s="333"/>
      <c r="CE589" s="333"/>
      <c r="CF589" s="333"/>
      <c r="CG589" s="333"/>
      <c r="CH589" s="333"/>
      <c r="CI589" s="333"/>
      <c r="CJ589" s="333"/>
      <c r="CK589" s="333"/>
      <c r="CL589" s="333"/>
      <c r="CM589" s="333"/>
      <c r="CN589" s="333"/>
      <c r="CO589" s="333"/>
      <c r="CP589" s="333"/>
      <c r="CQ589" s="333"/>
      <c r="CR589" s="333"/>
      <c r="CS589" s="333"/>
      <c r="CT589" s="333"/>
      <c r="CU589" s="333"/>
      <c r="CV589" s="333"/>
      <c r="CW589" s="333"/>
      <c r="CX589" s="378"/>
      <c r="CY589" s="378"/>
      <c r="CZ589" s="71"/>
    </row>
    <row r="590" spans="1:104" ht="13" hidden="1" outlineLevel="1" x14ac:dyDescent="0.3">
      <c r="A590" s="333"/>
      <c r="B590" s="333"/>
      <c r="C590" s="333"/>
      <c r="D590" s="334"/>
      <c r="E590" s="333"/>
      <c r="F590" s="333"/>
      <c r="G590" s="333"/>
      <c r="H590" s="333"/>
      <c r="I590" s="333"/>
      <c r="J590" s="406" t="s">
        <v>34</v>
      </c>
      <c r="K590" s="333"/>
      <c r="L590" s="335"/>
      <c r="M590" s="407" t="s">
        <v>258</v>
      </c>
      <c r="N590" s="335"/>
      <c r="O590" s="335"/>
      <c r="P590" s="408" t="s">
        <v>26</v>
      </c>
      <c r="Q590" s="374"/>
      <c r="R590" s="374"/>
      <c r="S590" s="335"/>
      <c r="T590" s="335"/>
      <c r="U590" s="409" t="s">
        <v>247</v>
      </c>
      <c r="V590" s="409"/>
      <c r="W590" s="409"/>
      <c r="X590" s="333"/>
      <c r="Y590" s="333"/>
      <c r="Z590" s="333"/>
      <c r="AA590" s="333"/>
      <c r="AB590" s="333"/>
      <c r="AC590" s="333"/>
      <c r="AD590" s="333"/>
      <c r="AE590" s="333"/>
      <c r="AF590" s="333"/>
      <c r="AG590" s="333"/>
      <c r="AH590" s="361"/>
      <c r="AI590" s="361"/>
      <c r="AJ590" s="333"/>
      <c r="AK590" s="333"/>
      <c r="AL590" s="333"/>
      <c r="AM590" s="333"/>
      <c r="AN590" s="333"/>
      <c r="AO590" s="333"/>
      <c r="AP590" s="333"/>
      <c r="AQ590" s="333"/>
      <c r="AR590" s="333"/>
      <c r="AS590" s="333"/>
      <c r="AT590" s="333"/>
      <c r="AU590" s="333"/>
      <c r="AV590" s="333"/>
      <c r="AW590" s="333"/>
      <c r="AX590" s="335"/>
      <c r="AY590" s="335"/>
      <c r="AZ590" s="335"/>
      <c r="BA590" s="333"/>
      <c r="BB590" s="333"/>
      <c r="BC590" s="333"/>
      <c r="BD590" s="333"/>
      <c r="BE590" s="333"/>
      <c r="BF590" s="333"/>
      <c r="BG590" s="333"/>
      <c r="BH590" s="333"/>
      <c r="BI590" s="333"/>
      <c r="BJ590" s="333"/>
      <c r="BK590" s="333"/>
      <c r="BL590" s="362"/>
      <c r="BM590" s="333"/>
      <c r="BN590" s="333"/>
      <c r="BO590" s="333"/>
      <c r="BP590" s="333"/>
      <c r="BQ590" s="333"/>
      <c r="BR590" s="333"/>
      <c r="BS590" s="333"/>
      <c r="BT590" s="333"/>
      <c r="BU590" s="333"/>
      <c r="BV590" s="333"/>
      <c r="BW590" s="333"/>
      <c r="BX590" s="333"/>
      <c r="BY590" s="333"/>
      <c r="BZ590" s="333"/>
      <c r="CA590" s="333"/>
      <c r="CB590" s="333"/>
      <c r="CC590" s="333"/>
      <c r="CD590" s="333"/>
      <c r="CE590" s="333"/>
      <c r="CF590" s="333"/>
      <c r="CG590" s="333"/>
      <c r="CH590" s="333"/>
      <c r="CI590" s="333"/>
      <c r="CJ590" s="333"/>
      <c r="CK590" s="333"/>
      <c r="CL590" s="333"/>
      <c r="CM590" s="333"/>
      <c r="CN590" s="333"/>
      <c r="CO590" s="333"/>
      <c r="CP590" s="333"/>
      <c r="CQ590" s="333"/>
      <c r="CR590" s="333"/>
      <c r="CS590" s="333"/>
      <c r="CT590" s="333"/>
      <c r="CU590" s="333"/>
      <c r="CV590" s="333"/>
      <c r="CW590" s="333"/>
      <c r="CX590" s="378"/>
      <c r="CY590" s="378"/>
      <c r="CZ590" s="71"/>
    </row>
    <row r="591" spans="1:104" ht="13" hidden="1" outlineLevel="1" x14ac:dyDescent="0.3">
      <c r="A591" s="333"/>
      <c r="B591" s="333"/>
      <c r="C591" s="333"/>
      <c r="D591" s="334"/>
      <c r="E591" s="333"/>
      <c r="F591" s="333"/>
      <c r="G591" s="333"/>
      <c r="H591" s="333"/>
      <c r="I591" s="333"/>
      <c r="J591" s="333" t="s">
        <v>23</v>
      </c>
      <c r="K591" s="333"/>
      <c r="L591" s="368">
        <f>ROUND(SUM(I24:I523),0)</f>
        <v>0</v>
      </c>
      <c r="M591" s="384" t="s">
        <v>249</v>
      </c>
      <c r="N591" s="335"/>
      <c r="O591" s="335"/>
      <c r="P591" s="410" t="s">
        <v>251</v>
      </c>
      <c r="Q591" s="335"/>
      <c r="R591" s="335"/>
      <c r="S591" s="411" t="e">
        <f>IF(AND(ADIPLone/MIPDLONE&gt;1,ADIPLone/MIPDLONE&lt;1.01),ROUNDUP(ADIPLone/MIPDLONE,T591),IF(AND(ADIPLone/MIPDLONE&gt;0.99,ADIPLone/MIPDLONE&lt;1),ROUNDDOWN(ADIPLone/MIPDLONE,T591),ROUND(ADIPLone/MIPDLONE,2)))</f>
        <v>#DIV/0!</v>
      </c>
      <c r="T591" s="412">
        <v>2</v>
      </c>
      <c r="U591" s="360" t="b">
        <f>MIPDLONE&gt;=ADIPLone</f>
        <v>1</v>
      </c>
      <c r="V591" s="360"/>
      <c r="W591" s="360"/>
      <c r="X591" s="333"/>
      <c r="Y591" s="333"/>
      <c r="Z591" s="333"/>
      <c r="AA591" s="333"/>
      <c r="AB591" s="333"/>
      <c r="AC591" s="333"/>
      <c r="AD591" s="333"/>
      <c r="AE591" s="333"/>
      <c r="AF591" s="333"/>
      <c r="AG591" s="333"/>
      <c r="AH591" s="361"/>
      <c r="AI591" s="361"/>
      <c r="AJ591" s="333"/>
      <c r="AK591" s="333"/>
      <c r="AL591" s="333"/>
      <c r="AM591" s="333"/>
      <c r="AN591" s="333"/>
      <c r="AO591" s="333"/>
      <c r="AP591" s="333"/>
      <c r="AQ591" s="333"/>
      <c r="AR591" s="333"/>
      <c r="AS591" s="333"/>
      <c r="AT591" s="333"/>
      <c r="AU591" s="333"/>
      <c r="AV591" s="333"/>
      <c r="AW591" s="333"/>
      <c r="AX591" s="335"/>
      <c r="AY591" s="335"/>
      <c r="AZ591" s="335"/>
      <c r="BA591" s="333"/>
      <c r="BB591" s="333"/>
      <c r="BC591" s="333"/>
      <c r="BD591" s="333"/>
      <c r="BE591" s="333"/>
      <c r="BF591" s="333"/>
      <c r="BG591" s="333"/>
      <c r="BH591" s="333"/>
      <c r="BI591" s="333"/>
      <c r="BJ591" s="333"/>
      <c r="BK591" s="333"/>
      <c r="BL591" s="362"/>
      <c r="BM591" s="333"/>
      <c r="BN591" s="333"/>
      <c r="BO591" s="333"/>
      <c r="BP591" s="333"/>
      <c r="BQ591" s="333"/>
      <c r="BR591" s="333"/>
      <c r="BS591" s="333"/>
      <c r="BT591" s="333"/>
      <c r="BU591" s="333"/>
      <c r="BV591" s="333"/>
      <c r="BW591" s="333"/>
      <c r="BX591" s="333"/>
      <c r="BY591" s="333"/>
      <c r="BZ591" s="333"/>
      <c r="CA591" s="333"/>
      <c r="CB591" s="333"/>
      <c r="CC591" s="333"/>
      <c r="CD591" s="333"/>
      <c r="CE591" s="333"/>
      <c r="CF591" s="333"/>
      <c r="CG591" s="333"/>
      <c r="CH591" s="333"/>
      <c r="CI591" s="333"/>
      <c r="CJ591" s="333"/>
      <c r="CK591" s="333"/>
      <c r="CL591" s="333"/>
      <c r="CM591" s="333"/>
      <c r="CN591" s="333"/>
      <c r="CO591" s="333"/>
      <c r="CP591" s="333"/>
      <c r="CQ591" s="333"/>
      <c r="CR591" s="333"/>
      <c r="CS591" s="333"/>
      <c r="CT591" s="333"/>
      <c r="CU591" s="333"/>
      <c r="CV591" s="333"/>
      <c r="CW591" s="333"/>
      <c r="CX591" s="378"/>
      <c r="CY591" s="378"/>
      <c r="CZ591" s="71"/>
    </row>
    <row r="592" spans="1:104" ht="13" hidden="1" outlineLevel="1" x14ac:dyDescent="0.3">
      <c r="A592" s="333"/>
      <c r="B592" s="333"/>
      <c r="C592" s="333"/>
      <c r="D592" s="334"/>
      <c r="E592" s="333"/>
      <c r="F592" s="333"/>
      <c r="G592" s="333"/>
      <c r="H592" s="333"/>
      <c r="I592" s="333"/>
      <c r="J592" s="333"/>
      <c r="K592" s="333"/>
      <c r="L592" s="335"/>
      <c r="M592" s="335"/>
      <c r="N592" s="335"/>
      <c r="O592" s="335"/>
      <c r="P592" s="335"/>
      <c r="Q592" s="335"/>
      <c r="R592" s="335"/>
      <c r="S592" s="384" t="s">
        <v>255</v>
      </c>
      <c r="T592" s="335"/>
      <c r="U592" s="360"/>
      <c r="V592" s="360"/>
      <c r="W592" s="360"/>
      <c r="X592" s="333"/>
      <c r="Y592" s="333"/>
      <c r="Z592" s="333"/>
      <c r="AA592" s="333"/>
      <c r="AB592" s="333"/>
      <c r="AC592" s="333"/>
      <c r="AD592" s="333"/>
      <c r="AE592" s="333"/>
      <c r="AF592" s="333"/>
      <c r="AG592" s="333"/>
      <c r="AH592" s="361"/>
      <c r="AI592" s="361"/>
      <c r="AJ592" s="333"/>
      <c r="AK592" s="333"/>
      <c r="AL592" s="333"/>
      <c r="AM592" s="333"/>
      <c r="AN592" s="333"/>
      <c r="AO592" s="333"/>
      <c r="AP592" s="333"/>
      <c r="AQ592" s="333"/>
      <c r="AR592" s="333"/>
      <c r="AS592" s="333"/>
      <c r="AT592" s="333"/>
      <c r="AU592" s="333"/>
      <c r="AV592" s="333"/>
      <c r="AW592" s="333"/>
      <c r="AX592" s="335"/>
      <c r="AY592" s="335"/>
      <c r="AZ592" s="335"/>
      <c r="BA592" s="333"/>
      <c r="BB592" s="333"/>
      <c r="BC592" s="333"/>
      <c r="BD592" s="333"/>
      <c r="BE592" s="333"/>
      <c r="BF592" s="333"/>
      <c r="BG592" s="333"/>
      <c r="BH592" s="333"/>
      <c r="BI592" s="333"/>
      <c r="BJ592" s="333"/>
      <c r="BK592" s="333"/>
      <c r="BL592" s="362"/>
      <c r="BM592" s="333"/>
      <c r="BN592" s="333"/>
      <c r="BO592" s="333"/>
      <c r="BP592" s="333"/>
      <c r="BQ592" s="333"/>
      <c r="BR592" s="333"/>
      <c r="BS592" s="333"/>
      <c r="BT592" s="333"/>
      <c r="BU592" s="333"/>
      <c r="BV592" s="333"/>
      <c r="BW592" s="333"/>
      <c r="BX592" s="333"/>
      <c r="BY592" s="333"/>
      <c r="BZ592" s="333"/>
      <c r="CA592" s="333"/>
      <c r="CB592" s="333"/>
      <c r="CC592" s="333"/>
      <c r="CD592" s="333"/>
      <c r="CE592" s="333"/>
      <c r="CF592" s="333"/>
      <c r="CG592" s="333"/>
      <c r="CH592" s="333"/>
      <c r="CI592" s="333"/>
      <c r="CJ592" s="333"/>
      <c r="CK592" s="333"/>
      <c r="CL592" s="333"/>
      <c r="CM592" s="333"/>
      <c r="CN592" s="333"/>
      <c r="CO592" s="333"/>
      <c r="CP592" s="333"/>
      <c r="CQ592" s="333"/>
      <c r="CR592" s="333"/>
      <c r="CS592" s="333"/>
      <c r="CT592" s="333"/>
      <c r="CU592" s="333"/>
      <c r="CV592" s="333"/>
      <c r="CW592" s="333"/>
      <c r="CX592" s="378"/>
      <c r="CY592" s="378"/>
      <c r="CZ592" s="71"/>
    </row>
    <row r="593" spans="1:104" ht="13" hidden="1" outlineLevel="1" x14ac:dyDescent="0.25">
      <c r="A593" s="333"/>
      <c r="B593" s="333"/>
      <c r="C593" s="333"/>
      <c r="D593" s="334"/>
      <c r="E593" s="333"/>
      <c r="F593" s="333"/>
      <c r="G593" s="333"/>
      <c r="H593" s="333"/>
      <c r="I593" s="333"/>
      <c r="J593" s="333"/>
      <c r="K593" s="333"/>
      <c r="L593" s="335"/>
      <c r="M593" s="335"/>
      <c r="N593" s="335"/>
      <c r="O593" s="335"/>
      <c r="P593" s="410"/>
      <c r="Q593" s="335"/>
      <c r="R593" s="335"/>
      <c r="S593" s="335"/>
      <c r="T593" s="335"/>
      <c r="U593" s="409" t="s">
        <v>248</v>
      </c>
      <c r="V593" s="409"/>
      <c r="W593" s="409"/>
      <c r="X593" s="333"/>
      <c r="Y593" s="333"/>
      <c r="Z593" s="333"/>
      <c r="AA593" s="333"/>
      <c r="AB593" s="333"/>
      <c r="AC593" s="333"/>
      <c r="AD593" s="333"/>
      <c r="AE593" s="333"/>
      <c r="AF593" s="333"/>
      <c r="AG593" s="333"/>
      <c r="AH593" s="361"/>
      <c r="AI593" s="361"/>
      <c r="AJ593" s="333"/>
      <c r="AK593" s="333"/>
      <c r="AL593" s="333"/>
      <c r="AM593" s="333"/>
      <c r="AN593" s="333"/>
      <c r="AO593" s="333"/>
      <c r="AP593" s="333"/>
      <c r="AQ593" s="333"/>
      <c r="AR593" s="333"/>
      <c r="AS593" s="333"/>
      <c r="AT593" s="333"/>
      <c r="AU593" s="333"/>
      <c r="AV593" s="333"/>
      <c r="AW593" s="333"/>
      <c r="AX593" s="335"/>
      <c r="AY593" s="335"/>
      <c r="AZ593" s="335"/>
      <c r="BA593" s="333"/>
      <c r="BB593" s="333"/>
      <c r="BC593" s="333"/>
      <c r="BD593" s="333"/>
      <c r="BE593" s="333"/>
      <c r="BF593" s="333"/>
      <c r="BG593" s="333"/>
      <c r="BH593" s="333"/>
      <c r="BI593" s="333"/>
      <c r="BJ593" s="333"/>
      <c r="BK593" s="333"/>
      <c r="BL593" s="362"/>
      <c r="BM593" s="333"/>
      <c r="BN593" s="333"/>
      <c r="BO593" s="333"/>
      <c r="BP593" s="333"/>
      <c r="BQ593" s="333"/>
      <c r="BR593" s="333"/>
      <c r="BS593" s="333"/>
      <c r="BT593" s="333"/>
      <c r="BU593" s="333"/>
      <c r="BV593" s="333"/>
      <c r="BW593" s="333"/>
      <c r="BX593" s="333"/>
      <c r="BY593" s="333"/>
      <c r="BZ593" s="333"/>
      <c r="CA593" s="333"/>
      <c r="CB593" s="333"/>
      <c r="CC593" s="333"/>
      <c r="CD593" s="333"/>
      <c r="CE593" s="333"/>
      <c r="CF593" s="333"/>
      <c r="CG593" s="333"/>
      <c r="CH593" s="333"/>
      <c r="CI593" s="333"/>
      <c r="CJ593" s="333"/>
      <c r="CK593" s="333"/>
      <c r="CL593" s="333"/>
      <c r="CM593" s="333"/>
      <c r="CN593" s="333"/>
      <c r="CO593" s="333"/>
      <c r="CP593" s="333"/>
      <c r="CQ593" s="333"/>
      <c r="CR593" s="333"/>
      <c r="CS593" s="333"/>
      <c r="CT593" s="333"/>
      <c r="CU593" s="333"/>
      <c r="CV593" s="333"/>
      <c r="CW593" s="333"/>
      <c r="CX593" s="378"/>
      <c r="CY593" s="378"/>
      <c r="CZ593" s="71"/>
    </row>
    <row r="594" spans="1:104" ht="13" hidden="1" outlineLevel="1" x14ac:dyDescent="0.3">
      <c r="A594" s="333"/>
      <c r="B594" s="333"/>
      <c r="C594" s="333"/>
      <c r="D594" s="334"/>
      <c r="E594" s="333"/>
      <c r="F594" s="333"/>
      <c r="G594" s="333"/>
      <c r="H594" s="333"/>
      <c r="I594" s="333"/>
      <c r="J594" s="406" t="s">
        <v>246</v>
      </c>
      <c r="K594" s="333"/>
      <c r="L594" s="335"/>
      <c r="M594" s="407" t="s">
        <v>257</v>
      </c>
      <c r="N594" s="335"/>
      <c r="O594" s="335"/>
      <c r="P594" s="335"/>
      <c r="Q594" s="335"/>
      <c r="R594" s="335"/>
      <c r="S594" s="335"/>
      <c r="T594" s="335"/>
      <c r="U594" s="360" t="b">
        <f>ADIPLone&gt;MIPDLONE</f>
        <v>0</v>
      </c>
      <c r="V594" s="360"/>
      <c r="W594" s="360"/>
      <c r="X594" s="333"/>
      <c r="Y594" s="333"/>
      <c r="Z594" s="333"/>
      <c r="AA594" s="333"/>
      <c r="AB594" s="333"/>
      <c r="AC594" s="333"/>
      <c r="AD594" s="333"/>
      <c r="AE594" s="333"/>
      <c r="AF594" s="333"/>
      <c r="AG594" s="333"/>
      <c r="AH594" s="361"/>
      <c r="AI594" s="361"/>
      <c r="AJ594" s="333"/>
      <c r="AK594" s="333"/>
      <c r="AL594" s="333"/>
      <c r="AM594" s="333"/>
      <c r="AN594" s="333"/>
      <c r="AO594" s="333"/>
      <c r="AP594" s="333"/>
      <c r="AQ594" s="333"/>
      <c r="AR594" s="333"/>
      <c r="AS594" s="333"/>
      <c r="AT594" s="333"/>
      <c r="AU594" s="333"/>
      <c r="AV594" s="333"/>
      <c r="AW594" s="333"/>
      <c r="AX594" s="335"/>
      <c r="AY594" s="335"/>
      <c r="AZ594" s="335"/>
      <c r="BA594" s="333"/>
      <c r="BB594" s="333"/>
      <c r="BC594" s="333"/>
      <c r="BD594" s="333"/>
      <c r="BE594" s="333"/>
      <c r="BF594" s="333"/>
      <c r="BG594" s="333"/>
      <c r="BH594" s="333"/>
      <c r="BI594" s="333"/>
      <c r="BJ594" s="333"/>
      <c r="BK594" s="333"/>
      <c r="BL594" s="362"/>
      <c r="BM594" s="333"/>
      <c r="BN594" s="333"/>
      <c r="BO594" s="333"/>
      <c r="BP594" s="333"/>
      <c r="BQ594" s="333"/>
      <c r="BR594" s="333"/>
      <c r="BS594" s="333"/>
      <c r="BT594" s="333"/>
      <c r="BU594" s="333"/>
      <c r="BV594" s="333"/>
      <c r="BW594" s="333"/>
      <c r="BX594" s="333"/>
      <c r="BY594" s="333"/>
      <c r="BZ594" s="333"/>
      <c r="CA594" s="333"/>
      <c r="CB594" s="333"/>
      <c r="CC594" s="333"/>
      <c r="CD594" s="333"/>
      <c r="CE594" s="333"/>
      <c r="CF594" s="333"/>
      <c r="CG594" s="333"/>
      <c r="CH594" s="333"/>
      <c r="CI594" s="333"/>
      <c r="CJ594" s="333"/>
      <c r="CK594" s="333"/>
      <c r="CL594" s="333"/>
      <c r="CM594" s="333"/>
      <c r="CN594" s="333"/>
      <c r="CO594" s="333"/>
      <c r="CP594" s="333"/>
      <c r="CQ594" s="333"/>
      <c r="CR594" s="333"/>
      <c r="CS594" s="333"/>
      <c r="CT594" s="333"/>
      <c r="CU594" s="333"/>
      <c r="CV594" s="333"/>
      <c r="CW594" s="333"/>
      <c r="CX594" s="378"/>
      <c r="CY594" s="378"/>
      <c r="CZ594" s="71"/>
    </row>
    <row r="595" spans="1:104" ht="13" hidden="1" outlineLevel="1" x14ac:dyDescent="0.3">
      <c r="A595" s="333"/>
      <c r="B595" s="333"/>
      <c r="C595" s="333"/>
      <c r="D595" s="334"/>
      <c r="E595" s="333"/>
      <c r="F595" s="333"/>
      <c r="G595" s="333"/>
      <c r="H595" s="333"/>
      <c r="I595" s="333"/>
      <c r="J595" s="333" t="s">
        <v>23</v>
      </c>
      <c r="K595" s="413"/>
      <c r="L595" s="368">
        <f>ROUND(SUM(V24:V523),0)</f>
        <v>0</v>
      </c>
      <c r="M595" s="384" t="s">
        <v>250</v>
      </c>
      <c r="N595" s="335"/>
      <c r="O595" s="335"/>
      <c r="P595" s="335"/>
      <c r="Q595" s="335"/>
      <c r="R595" s="335"/>
      <c r="S595" s="335"/>
      <c r="T595" s="335"/>
      <c r="U595" s="360"/>
      <c r="V595" s="360"/>
      <c r="W595" s="360"/>
      <c r="X595" s="333"/>
      <c r="Y595" s="333"/>
      <c r="Z595" s="333"/>
      <c r="AA595" s="333"/>
      <c r="AB595" s="333"/>
      <c r="AC595" s="333"/>
      <c r="AD595" s="333"/>
      <c r="AE595" s="333"/>
      <c r="AF595" s="333"/>
      <c r="AG595" s="333"/>
      <c r="AH595" s="361"/>
      <c r="AI595" s="361"/>
      <c r="AJ595" s="333"/>
      <c r="AK595" s="333"/>
      <c r="AL595" s="333"/>
      <c r="AM595" s="333"/>
      <c r="AN595" s="333"/>
      <c r="AO595" s="333"/>
      <c r="AP595" s="333"/>
      <c r="AQ595" s="333"/>
      <c r="AR595" s="333"/>
      <c r="AS595" s="333"/>
      <c r="AT595" s="333"/>
      <c r="AU595" s="333"/>
      <c r="AV595" s="333"/>
      <c r="AW595" s="333"/>
      <c r="AX595" s="335"/>
      <c r="AY595" s="335"/>
      <c r="AZ595" s="335"/>
      <c r="BA595" s="333"/>
      <c r="BB595" s="333"/>
      <c r="BC595" s="333"/>
      <c r="BD595" s="333"/>
      <c r="BE595" s="333"/>
      <c r="BF595" s="333"/>
      <c r="BG595" s="333"/>
      <c r="BH595" s="333"/>
      <c r="BI595" s="333"/>
      <c r="BJ595" s="333"/>
      <c r="BK595" s="333"/>
      <c r="BL595" s="362"/>
      <c r="BM595" s="333"/>
      <c r="BN595" s="333"/>
      <c r="BO595" s="333"/>
      <c r="BP595" s="333"/>
      <c r="BQ595" s="333"/>
      <c r="BR595" s="333"/>
      <c r="BS595" s="333"/>
      <c r="BT595" s="333"/>
      <c r="BU595" s="333"/>
      <c r="BV595" s="333"/>
      <c r="BW595" s="333"/>
      <c r="BX595" s="333"/>
      <c r="BY595" s="333"/>
      <c r="BZ595" s="333"/>
      <c r="CA595" s="333"/>
      <c r="CB595" s="333"/>
      <c r="CC595" s="333"/>
      <c r="CD595" s="333"/>
      <c r="CE595" s="333"/>
      <c r="CF595" s="333"/>
      <c r="CG595" s="333"/>
      <c r="CH595" s="333"/>
      <c r="CI595" s="333"/>
      <c r="CJ595" s="333"/>
      <c r="CK595" s="333"/>
      <c r="CL595" s="333"/>
      <c r="CM595" s="333"/>
      <c r="CN595" s="333"/>
      <c r="CO595" s="333"/>
      <c r="CP595" s="333"/>
      <c r="CQ595" s="333"/>
      <c r="CR595" s="333"/>
      <c r="CS595" s="333"/>
      <c r="CT595" s="333"/>
      <c r="CU595" s="333"/>
      <c r="CV595" s="333"/>
      <c r="CW595" s="333"/>
      <c r="CX595" s="378"/>
      <c r="CY595" s="378"/>
      <c r="CZ595" s="71"/>
    </row>
    <row r="596" spans="1:104" hidden="1" outlineLevel="1" x14ac:dyDescent="0.25">
      <c r="A596" s="333"/>
      <c r="B596" s="333"/>
      <c r="C596" s="333"/>
      <c r="D596" s="334"/>
      <c r="E596" s="333"/>
      <c r="F596" s="333"/>
      <c r="G596" s="333"/>
      <c r="H596" s="333"/>
      <c r="I596" s="333"/>
      <c r="J596" s="333"/>
      <c r="K596" s="413"/>
      <c r="L596" s="335"/>
      <c r="M596" s="335"/>
      <c r="N596" s="335"/>
      <c r="O596" s="335"/>
      <c r="P596" s="335"/>
      <c r="Q596" s="335"/>
      <c r="R596" s="335"/>
      <c r="S596" s="335"/>
      <c r="T596" s="335"/>
      <c r="U596" s="360"/>
      <c r="V596" s="360"/>
      <c r="W596" s="360"/>
      <c r="X596" s="333"/>
      <c r="Y596" s="333"/>
      <c r="Z596" s="333"/>
      <c r="AA596" s="333"/>
      <c r="AB596" s="333"/>
      <c r="AC596" s="333"/>
      <c r="AD596" s="333"/>
      <c r="AE596" s="333"/>
      <c r="AF596" s="333"/>
      <c r="AG596" s="333"/>
      <c r="AH596" s="361"/>
      <c r="AI596" s="361"/>
      <c r="AJ596" s="333"/>
      <c r="AK596" s="333"/>
      <c r="AL596" s="333"/>
      <c r="AM596" s="333"/>
      <c r="AN596" s="333"/>
      <c r="AO596" s="333"/>
      <c r="AP596" s="333"/>
      <c r="AQ596" s="333"/>
      <c r="AR596" s="333"/>
      <c r="AS596" s="333"/>
      <c r="AT596" s="333"/>
      <c r="AU596" s="333"/>
      <c r="AV596" s="333"/>
      <c r="AW596" s="333"/>
      <c r="AX596" s="335"/>
      <c r="AY596" s="335"/>
      <c r="AZ596" s="335"/>
      <c r="BA596" s="333"/>
      <c r="BB596" s="333"/>
      <c r="BC596" s="333"/>
      <c r="BD596" s="333"/>
      <c r="BE596" s="333"/>
      <c r="BF596" s="333"/>
      <c r="BG596" s="333"/>
      <c r="BH596" s="333"/>
      <c r="BI596" s="333"/>
      <c r="BJ596" s="333"/>
      <c r="BK596" s="333"/>
      <c r="BL596" s="362"/>
      <c r="BM596" s="333"/>
      <c r="BN596" s="333"/>
      <c r="BO596" s="333"/>
      <c r="BP596" s="333"/>
      <c r="BQ596" s="333"/>
      <c r="BR596" s="333"/>
      <c r="BS596" s="333"/>
      <c r="BT596" s="333"/>
      <c r="BU596" s="333"/>
      <c r="BV596" s="333"/>
      <c r="BW596" s="333"/>
      <c r="BX596" s="333"/>
      <c r="BY596" s="333"/>
      <c r="BZ596" s="333"/>
      <c r="CA596" s="333"/>
      <c r="CB596" s="333"/>
      <c r="CC596" s="333"/>
      <c r="CD596" s="333"/>
      <c r="CE596" s="333"/>
      <c r="CF596" s="333"/>
      <c r="CG596" s="333"/>
      <c r="CH596" s="333"/>
      <c r="CI596" s="333"/>
      <c r="CJ596" s="333"/>
      <c r="CK596" s="333"/>
      <c r="CL596" s="333"/>
      <c r="CM596" s="333"/>
      <c r="CN596" s="333"/>
      <c r="CO596" s="333"/>
      <c r="CP596" s="333"/>
      <c r="CQ596" s="333"/>
      <c r="CR596" s="333"/>
      <c r="CS596" s="333"/>
      <c r="CT596" s="333"/>
      <c r="CU596" s="333"/>
      <c r="CV596" s="333"/>
      <c r="CW596" s="333"/>
      <c r="CX596" s="378"/>
      <c r="CY596" s="378"/>
      <c r="CZ596" s="71"/>
    </row>
    <row r="597" spans="1:104" ht="13" hidden="1" outlineLevel="1" x14ac:dyDescent="0.3">
      <c r="A597" s="333"/>
      <c r="B597" s="333"/>
      <c r="C597" s="333"/>
      <c r="D597" s="334"/>
      <c r="E597" s="333"/>
      <c r="F597" s="333"/>
      <c r="G597" s="333"/>
      <c r="H597" s="333"/>
      <c r="I597" s="333"/>
      <c r="J597" s="406" t="s">
        <v>35</v>
      </c>
      <c r="K597" s="413"/>
      <c r="L597" s="335"/>
      <c r="M597" s="335"/>
      <c r="N597" s="335"/>
      <c r="O597" s="335"/>
      <c r="P597" s="335"/>
      <c r="Q597" s="335"/>
      <c r="R597" s="335"/>
      <c r="S597" s="335"/>
      <c r="T597" s="335"/>
      <c r="U597" s="360"/>
      <c r="V597" s="360"/>
      <c r="W597" s="360"/>
      <c r="X597" s="333"/>
      <c r="Y597" s="333"/>
      <c r="Z597" s="333"/>
      <c r="AA597" s="333"/>
      <c r="AB597" s="333"/>
      <c r="AC597" s="333"/>
      <c r="AD597" s="333"/>
      <c r="AE597" s="333"/>
      <c r="AF597" s="333"/>
      <c r="AG597" s="333"/>
      <c r="AH597" s="361"/>
      <c r="AI597" s="361"/>
      <c r="AJ597" s="333"/>
      <c r="AK597" s="333"/>
      <c r="AL597" s="333"/>
      <c r="AM597" s="333"/>
      <c r="AN597" s="333"/>
      <c r="AO597" s="333"/>
      <c r="AP597" s="333"/>
      <c r="AQ597" s="333"/>
      <c r="AR597" s="333"/>
      <c r="AS597" s="333"/>
      <c r="AT597" s="333"/>
      <c r="AU597" s="333"/>
      <c r="AV597" s="333"/>
      <c r="AW597" s="333"/>
      <c r="AX597" s="335"/>
      <c r="AY597" s="335"/>
      <c r="AZ597" s="335"/>
      <c r="BA597" s="333"/>
      <c r="BB597" s="333"/>
      <c r="BC597" s="333"/>
      <c r="BD597" s="333"/>
      <c r="BE597" s="333"/>
      <c r="BF597" s="333"/>
      <c r="BG597" s="333"/>
      <c r="BH597" s="333"/>
      <c r="BI597" s="333"/>
      <c r="BJ597" s="333"/>
      <c r="BK597" s="333"/>
      <c r="BL597" s="362"/>
      <c r="BM597" s="333"/>
      <c r="BN597" s="333"/>
      <c r="BO597" s="333"/>
      <c r="BP597" s="333"/>
      <c r="BQ597" s="333"/>
      <c r="BR597" s="333"/>
      <c r="BS597" s="333"/>
      <c r="BT597" s="333"/>
      <c r="BU597" s="333"/>
      <c r="BV597" s="333"/>
      <c r="BW597" s="333"/>
      <c r="BX597" s="333"/>
      <c r="BY597" s="333"/>
      <c r="BZ597" s="333"/>
      <c r="CA597" s="333"/>
      <c r="CB597" s="333"/>
      <c r="CC597" s="333"/>
      <c r="CD597" s="333"/>
      <c r="CE597" s="333"/>
      <c r="CF597" s="333"/>
      <c r="CG597" s="333"/>
      <c r="CH597" s="333"/>
      <c r="CI597" s="333"/>
      <c r="CJ597" s="333"/>
      <c r="CK597" s="333"/>
      <c r="CL597" s="333"/>
      <c r="CM597" s="333"/>
      <c r="CN597" s="333"/>
      <c r="CO597" s="333"/>
      <c r="CP597" s="333"/>
      <c r="CQ597" s="333"/>
      <c r="CR597" s="333"/>
      <c r="CS597" s="333"/>
      <c r="CT597" s="333"/>
      <c r="CU597" s="333"/>
      <c r="CV597" s="333"/>
      <c r="CW597" s="333"/>
      <c r="CX597" s="378"/>
      <c r="CY597" s="378"/>
      <c r="CZ597" s="71"/>
    </row>
    <row r="598" spans="1:104" hidden="1" outlineLevel="1" x14ac:dyDescent="0.25">
      <c r="A598" s="333"/>
      <c r="B598" s="333"/>
      <c r="C598" s="333"/>
      <c r="D598" s="334"/>
      <c r="E598" s="333"/>
      <c r="F598" s="333"/>
      <c r="G598" s="333"/>
      <c r="H598" s="333"/>
      <c r="I598" s="333"/>
      <c r="J598" s="333" t="s">
        <v>23</v>
      </c>
      <c r="K598" s="414"/>
      <c r="L598" s="335"/>
      <c r="M598" s="335"/>
      <c r="N598" s="335"/>
      <c r="O598" s="335"/>
      <c r="P598" s="335"/>
      <c r="Q598" s="335"/>
      <c r="R598" s="335"/>
      <c r="S598" s="335"/>
      <c r="T598" s="335"/>
      <c r="U598" s="360"/>
      <c r="V598" s="360"/>
      <c r="W598" s="360"/>
      <c r="X598" s="333"/>
      <c r="Y598" s="333"/>
      <c r="Z598" s="333"/>
      <c r="AA598" s="333"/>
      <c r="AB598" s="333"/>
      <c r="AC598" s="333"/>
      <c r="AD598" s="333"/>
      <c r="AE598" s="333"/>
      <c r="AF598" s="333"/>
      <c r="AG598" s="333"/>
      <c r="AH598" s="361"/>
      <c r="AI598" s="361"/>
      <c r="AJ598" s="333"/>
      <c r="AK598" s="333"/>
      <c r="AL598" s="333"/>
      <c r="AM598" s="333"/>
      <c r="AN598" s="333"/>
      <c r="AO598" s="333"/>
      <c r="AP598" s="333"/>
      <c r="AQ598" s="333"/>
      <c r="AR598" s="333"/>
      <c r="AS598" s="333"/>
      <c r="AT598" s="333"/>
      <c r="AU598" s="333"/>
      <c r="AV598" s="333"/>
      <c r="AW598" s="333"/>
      <c r="AX598" s="335"/>
      <c r="AY598" s="335"/>
      <c r="AZ598" s="335"/>
      <c r="BA598" s="333"/>
      <c r="BB598" s="333"/>
      <c r="BC598" s="333"/>
      <c r="BD598" s="333"/>
      <c r="BE598" s="333"/>
      <c r="BF598" s="333"/>
      <c r="BG598" s="333"/>
      <c r="BH598" s="333"/>
      <c r="BI598" s="333"/>
      <c r="BJ598" s="333"/>
      <c r="BK598" s="333"/>
      <c r="BL598" s="362"/>
      <c r="BM598" s="333"/>
      <c r="BN598" s="333"/>
      <c r="BO598" s="333"/>
      <c r="BP598" s="333"/>
      <c r="BQ598" s="333"/>
      <c r="BR598" s="333"/>
      <c r="BS598" s="333"/>
      <c r="BT598" s="333"/>
      <c r="BU598" s="333"/>
      <c r="BV598" s="333"/>
      <c r="BW598" s="333"/>
      <c r="BX598" s="333"/>
      <c r="BY598" s="333"/>
      <c r="BZ598" s="333"/>
      <c r="CA598" s="333"/>
      <c r="CB598" s="333"/>
      <c r="CC598" s="333"/>
      <c r="CD598" s="333"/>
      <c r="CE598" s="333"/>
      <c r="CF598" s="333"/>
      <c r="CG598" s="333"/>
      <c r="CH598" s="333"/>
      <c r="CI598" s="333"/>
      <c r="CJ598" s="333"/>
      <c r="CK598" s="333"/>
      <c r="CL598" s="333"/>
      <c r="CM598" s="333"/>
      <c r="CN598" s="333"/>
      <c r="CO598" s="333"/>
      <c r="CP598" s="333"/>
      <c r="CQ598" s="333"/>
      <c r="CR598" s="333"/>
      <c r="CS598" s="333"/>
      <c r="CT598" s="333"/>
      <c r="CU598" s="333"/>
      <c r="CV598" s="333"/>
      <c r="CW598" s="333"/>
      <c r="CX598" s="378"/>
      <c r="CY598" s="378"/>
      <c r="CZ598" s="71"/>
    </row>
    <row r="599" spans="1:104" outlineLevel="1" x14ac:dyDescent="0.25">
      <c r="A599" s="333"/>
      <c r="B599" s="333"/>
      <c r="C599" s="333"/>
      <c r="D599" s="334"/>
      <c r="E599" s="333"/>
      <c r="F599" s="333"/>
      <c r="G599" s="333"/>
      <c r="H599" s="333"/>
      <c r="I599" s="333"/>
      <c r="J599" s="333"/>
      <c r="K599" s="414"/>
      <c r="L599" s="335"/>
      <c r="M599" s="335"/>
      <c r="N599" s="335"/>
      <c r="O599" s="335"/>
      <c r="P599" s="335"/>
      <c r="Q599" s="335"/>
      <c r="R599" s="335"/>
      <c r="S599" s="335"/>
      <c r="T599" s="335"/>
      <c r="U599" s="360"/>
      <c r="V599" s="360"/>
      <c r="W599" s="360"/>
      <c r="X599" s="333"/>
      <c r="Y599" s="333"/>
      <c r="Z599" s="333"/>
      <c r="AA599" s="333"/>
      <c r="AB599" s="333"/>
      <c r="AC599" s="333"/>
      <c r="AD599" s="333"/>
      <c r="AE599" s="333"/>
      <c r="AF599" s="333"/>
      <c r="AG599" s="333"/>
      <c r="AH599" s="361"/>
      <c r="AI599" s="361"/>
      <c r="AJ599" s="333"/>
      <c r="AK599" s="333"/>
      <c r="AL599" s="333"/>
      <c r="AM599" s="333"/>
      <c r="AN599" s="333"/>
      <c r="AO599" s="333"/>
      <c r="AP599" s="333"/>
      <c r="AQ599" s="333"/>
      <c r="AR599" s="333"/>
      <c r="AS599" s="333"/>
      <c r="AT599" s="333"/>
      <c r="AU599" s="333"/>
      <c r="AV599" s="333"/>
      <c r="AW599" s="333"/>
      <c r="AX599" s="335"/>
      <c r="AY599" s="335"/>
      <c r="AZ599" s="335"/>
      <c r="BA599" s="333"/>
      <c r="BB599" s="333"/>
      <c r="BC599" s="333"/>
      <c r="BD599" s="333"/>
      <c r="BE599" s="333"/>
      <c r="BF599" s="333"/>
      <c r="BG599" s="333"/>
      <c r="BH599" s="333"/>
      <c r="BI599" s="333"/>
      <c r="BJ599" s="333"/>
      <c r="BK599" s="333"/>
      <c r="BL599" s="362"/>
      <c r="BM599" s="333"/>
      <c r="BN599" s="333"/>
      <c r="BO599" s="333"/>
      <c r="BP599" s="333"/>
      <c r="BQ599" s="333"/>
      <c r="BR599" s="333"/>
      <c r="BS599" s="333"/>
      <c r="BT599" s="333"/>
      <c r="BU599" s="333"/>
      <c r="BV599" s="333"/>
      <c r="BW599" s="333"/>
      <c r="BX599" s="333"/>
      <c r="BY599" s="333"/>
      <c r="BZ599" s="333"/>
      <c r="CA599" s="333"/>
      <c r="CB599" s="333"/>
      <c r="CC599" s="333"/>
      <c r="CD599" s="333"/>
      <c r="CE599" s="333"/>
      <c r="CF599" s="333"/>
      <c r="CG599" s="333"/>
      <c r="CH599" s="333"/>
      <c r="CI599" s="333"/>
      <c r="CJ599" s="333"/>
      <c r="CK599" s="333"/>
      <c r="CL599" s="333"/>
      <c r="CM599" s="333"/>
      <c r="CN599" s="333"/>
      <c r="CO599" s="333"/>
      <c r="CP599" s="333"/>
      <c r="CQ599" s="333"/>
      <c r="CR599" s="333"/>
      <c r="CS599" s="333"/>
      <c r="CT599" s="333"/>
      <c r="CU599" s="333"/>
      <c r="CV599" s="333"/>
      <c r="CW599" s="333"/>
      <c r="CX599" s="378"/>
      <c r="CY599" s="378"/>
      <c r="CZ599" s="71"/>
    </row>
    <row r="600" spans="1:104" outlineLevel="1" x14ac:dyDescent="0.25">
      <c r="A600" s="333"/>
      <c r="B600" s="333"/>
      <c r="C600" s="333"/>
      <c r="D600" s="334"/>
      <c r="E600" s="333"/>
      <c r="F600" s="333"/>
      <c r="G600" s="333"/>
      <c r="H600" s="333"/>
      <c r="I600" s="333"/>
      <c r="J600" s="333"/>
      <c r="K600" s="333"/>
      <c r="L600" s="335"/>
      <c r="M600" s="335"/>
      <c r="N600" s="335"/>
      <c r="O600" s="335"/>
      <c r="P600" s="335"/>
      <c r="Q600" s="335"/>
      <c r="R600" s="335"/>
      <c r="S600" s="335"/>
      <c r="T600" s="335"/>
      <c r="U600" s="360"/>
      <c r="V600" s="360"/>
      <c r="W600" s="360"/>
      <c r="X600" s="333"/>
      <c r="Y600" s="333"/>
      <c r="Z600" s="333"/>
      <c r="AA600" s="333"/>
      <c r="AB600" s="333"/>
      <c r="AC600" s="333"/>
      <c r="AD600" s="333"/>
      <c r="AE600" s="333"/>
      <c r="AF600" s="333"/>
      <c r="AG600" s="333"/>
      <c r="AH600" s="361"/>
      <c r="AI600" s="361"/>
      <c r="AJ600" s="333"/>
      <c r="AK600" s="333"/>
      <c r="AL600" s="333"/>
      <c r="AM600" s="333"/>
      <c r="AN600" s="333"/>
      <c r="AO600" s="333"/>
      <c r="AP600" s="333"/>
      <c r="AQ600" s="333"/>
      <c r="AR600" s="333"/>
      <c r="AS600" s="333"/>
      <c r="AT600" s="333"/>
      <c r="AU600" s="333"/>
      <c r="AV600" s="333"/>
      <c r="AW600" s="333"/>
      <c r="AX600" s="335"/>
      <c r="AY600" s="335"/>
      <c r="AZ600" s="335"/>
      <c r="BA600" s="333"/>
      <c r="BB600" s="333"/>
      <c r="BC600" s="333"/>
      <c r="BD600" s="333"/>
      <c r="BE600" s="333"/>
      <c r="BF600" s="333"/>
      <c r="BG600" s="333"/>
      <c r="BH600" s="333"/>
      <c r="BI600" s="333"/>
      <c r="BJ600" s="333"/>
      <c r="BK600" s="333"/>
      <c r="BL600" s="362"/>
      <c r="BM600" s="333"/>
      <c r="BN600" s="333"/>
      <c r="BO600" s="333"/>
      <c r="BP600" s="333"/>
      <c r="BQ600" s="333"/>
      <c r="BR600" s="333"/>
      <c r="BS600" s="333"/>
      <c r="BT600" s="333"/>
      <c r="BU600" s="333"/>
      <c r="BV600" s="333"/>
      <c r="BW600" s="333"/>
      <c r="BX600" s="333"/>
      <c r="BY600" s="333"/>
      <c r="BZ600" s="333"/>
      <c r="CA600" s="333"/>
      <c r="CB600" s="333"/>
      <c r="CC600" s="333"/>
      <c r="CD600" s="333"/>
      <c r="CE600" s="333"/>
      <c r="CF600" s="333"/>
      <c r="CG600" s="333"/>
      <c r="CH600" s="333"/>
      <c r="CI600" s="333"/>
      <c r="CJ600" s="333"/>
      <c r="CK600" s="333"/>
      <c r="CL600" s="333"/>
      <c r="CM600" s="333"/>
      <c r="CN600" s="333"/>
      <c r="CO600" s="333"/>
      <c r="CP600" s="333"/>
      <c r="CQ600" s="333"/>
      <c r="CR600" s="333"/>
      <c r="CS600" s="333"/>
      <c r="CT600" s="333"/>
      <c r="CU600" s="333"/>
      <c r="CV600" s="333"/>
      <c r="CW600" s="333"/>
      <c r="CX600" s="333"/>
      <c r="CY600" s="333"/>
      <c r="CZ600" s="75"/>
    </row>
    <row r="601" spans="1:104" collapsed="1" x14ac:dyDescent="0.25">
      <c r="A601" s="333"/>
      <c r="B601" s="333"/>
      <c r="C601" s="333"/>
      <c r="D601" s="334"/>
      <c r="E601" s="333"/>
      <c r="F601" s="333"/>
      <c r="G601" s="333"/>
      <c r="H601" s="333"/>
      <c r="I601" s="333"/>
      <c r="J601" s="333"/>
      <c r="K601" s="333"/>
      <c r="L601" s="335"/>
      <c r="M601" s="335"/>
      <c r="N601" s="335"/>
      <c r="O601" s="335"/>
      <c r="P601" s="335"/>
      <c r="Q601" s="335"/>
      <c r="R601" s="335"/>
      <c r="S601" s="335"/>
      <c r="T601" s="335"/>
      <c r="U601" s="360"/>
      <c r="V601" s="360"/>
      <c r="W601" s="360"/>
      <c r="X601" s="333"/>
      <c r="Y601" s="333"/>
      <c r="Z601" s="333"/>
      <c r="AA601" s="333"/>
      <c r="AB601" s="333"/>
      <c r="AC601" s="333"/>
      <c r="AD601" s="333"/>
      <c r="AE601" s="333"/>
      <c r="AF601" s="333"/>
      <c r="AG601" s="333"/>
      <c r="AH601" s="361"/>
      <c r="AI601" s="361"/>
      <c r="AJ601" s="333"/>
      <c r="AK601" s="333"/>
      <c r="AL601" s="333"/>
      <c r="AM601" s="333"/>
      <c r="AN601" s="333"/>
      <c r="AO601" s="333"/>
      <c r="AP601" s="333"/>
      <c r="AQ601" s="333"/>
      <c r="AR601" s="333"/>
      <c r="AS601" s="333"/>
      <c r="AT601" s="333"/>
      <c r="AU601" s="333"/>
      <c r="AV601" s="333"/>
      <c r="AW601" s="333"/>
      <c r="AX601" s="335"/>
      <c r="AY601" s="335"/>
      <c r="AZ601" s="335"/>
      <c r="BA601" s="333"/>
      <c r="BB601" s="333"/>
      <c r="BC601" s="333"/>
      <c r="BD601" s="333"/>
      <c r="BE601" s="333"/>
      <c r="BF601" s="333"/>
      <c r="BG601" s="333"/>
      <c r="BH601" s="333"/>
      <c r="BI601" s="333"/>
      <c r="BJ601" s="333"/>
      <c r="BK601" s="333"/>
      <c r="BL601" s="362"/>
      <c r="BM601" s="333"/>
      <c r="BN601" s="333"/>
      <c r="BO601" s="333"/>
      <c r="BP601" s="333"/>
      <c r="BQ601" s="333"/>
      <c r="BR601" s="333"/>
      <c r="BS601" s="333"/>
      <c r="BT601" s="333"/>
      <c r="BU601" s="333"/>
      <c r="BV601" s="333"/>
      <c r="BW601" s="333"/>
      <c r="BX601" s="333"/>
      <c r="BY601" s="333"/>
      <c r="BZ601" s="333"/>
      <c r="CA601" s="333"/>
      <c r="CB601" s="333"/>
      <c r="CC601" s="333"/>
      <c r="CD601" s="333"/>
      <c r="CE601" s="333"/>
      <c r="CF601" s="333"/>
      <c r="CG601" s="333"/>
      <c r="CH601" s="333"/>
      <c r="CI601" s="333"/>
      <c r="CJ601" s="333"/>
      <c r="CK601" s="333"/>
      <c r="CL601" s="333"/>
      <c r="CM601" s="333"/>
      <c r="CN601" s="333"/>
      <c r="CO601" s="333"/>
      <c r="CP601" s="333"/>
      <c r="CQ601" s="333"/>
      <c r="CR601" s="333"/>
      <c r="CS601" s="333"/>
      <c r="CT601" s="333"/>
      <c r="CU601" s="333"/>
      <c r="CV601" s="333"/>
      <c r="CW601" s="333"/>
      <c r="CX601" s="333"/>
      <c r="CY601" s="333"/>
      <c r="CZ601" s="75"/>
    </row>
    <row r="602" spans="1:104" x14ac:dyDescent="0.25">
      <c r="A602" s="333"/>
      <c r="B602" s="333"/>
      <c r="C602" s="333"/>
      <c r="D602" s="334"/>
      <c r="E602" s="333"/>
      <c r="F602" s="333"/>
      <c r="G602" s="333"/>
      <c r="H602" s="333"/>
      <c r="I602" s="333"/>
      <c r="J602" s="333"/>
      <c r="K602" s="333"/>
      <c r="L602" s="335"/>
      <c r="M602" s="335"/>
      <c r="N602" s="335"/>
      <c r="O602" s="335"/>
      <c r="P602" s="335"/>
      <c r="Q602" s="335"/>
      <c r="R602" s="335"/>
      <c r="S602" s="335"/>
      <c r="T602" s="335"/>
      <c r="U602" s="360"/>
      <c r="V602" s="360"/>
      <c r="W602" s="360"/>
      <c r="X602" s="333"/>
      <c r="Y602" s="333"/>
      <c r="Z602" s="333"/>
      <c r="AA602" s="333"/>
      <c r="AB602" s="333"/>
      <c r="AC602" s="333"/>
      <c r="AD602" s="333"/>
      <c r="AE602" s="333"/>
      <c r="AF602" s="333"/>
      <c r="AG602" s="333"/>
      <c r="AH602" s="361"/>
      <c r="AI602" s="361"/>
      <c r="AJ602" s="333"/>
      <c r="AK602" s="333"/>
      <c r="AL602" s="333"/>
      <c r="AM602" s="333"/>
      <c r="AN602" s="333"/>
      <c r="AO602" s="333"/>
      <c r="AP602" s="333"/>
      <c r="AQ602" s="333"/>
      <c r="AR602" s="333"/>
      <c r="AS602" s="333"/>
      <c r="AT602" s="333"/>
      <c r="AU602" s="333"/>
      <c r="AV602" s="333"/>
      <c r="AW602" s="333"/>
      <c r="AX602" s="335"/>
      <c r="AY602" s="335"/>
      <c r="AZ602" s="335"/>
      <c r="BA602" s="333"/>
      <c r="BB602" s="333"/>
      <c r="BC602" s="333"/>
      <c r="BD602" s="333"/>
      <c r="BE602" s="333"/>
      <c r="BF602" s="333"/>
      <c r="BG602" s="333"/>
      <c r="BH602" s="333"/>
      <c r="BI602" s="333"/>
      <c r="BJ602" s="333"/>
      <c r="BK602" s="333"/>
      <c r="BL602" s="362"/>
      <c r="BM602" s="333"/>
      <c r="BN602" s="333"/>
      <c r="BO602" s="333"/>
      <c r="BP602" s="333"/>
      <c r="BQ602" s="333"/>
      <c r="BR602" s="333"/>
      <c r="BS602" s="333"/>
      <c r="BT602" s="333"/>
      <c r="BU602" s="333"/>
      <c r="BV602" s="333"/>
      <c r="BW602" s="333"/>
      <c r="BX602" s="333"/>
      <c r="BY602" s="333"/>
      <c r="BZ602" s="333"/>
      <c r="CA602" s="333"/>
      <c r="CB602" s="333"/>
      <c r="CC602" s="333"/>
      <c r="CD602" s="333"/>
      <c r="CE602" s="333"/>
      <c r="CF602" s="333"/>
      <c r="CG602" s="333"/>
      <c r="CH602" s="333"/>
      <c r="CI602" s="333"/>
      <c r="CJ602" s="333"/>
      <c r="CK602" s="333"/>
      <c r="CL602" s="333"/>
      <c r="CM602" s="333"/>
      <c r="CN602" s="333"/>
      <c r="CO602" s="333"/>
      <c r="CP602" s="333"/>
      <c r="CQ602" s="333"/>
      <c r="CR602" s="333"/>
      <c r="CS602" s="333"/>
      <c r="CT602" s="333"/>
      <c r="CU602" s="333"/>
      <c r="CV602" s="333"/>
      <c r="CW602" s="333"/>
      <c r="CX602" s="333"/>
      <c r="CY602" s="333"/>
    </row>
    <row r="603" spans="1:104" x14ac:dyDescent="0.25">
      <c r="A603" s="333"/>
      <c r="B603" s="333"/>
      <c r="C603" s="333"/>
      <c r="D603" s="334"/>
      <c r="E603" s="333"/>
      <c r="F603" s="333"/>
      <c r="G603" s="333"/>
      <c r="H603" s="333"/>
      <c r="I603" s="333"/>
      <c r="J603" s="333"/>
      <c r="K603" s="333"/>
      <c r="L603" s="335"/>
      <c r="M603" s="335"/>
      <c r="N603" s="335"/>
      <c r="O603" s="335"/>
      <c r="P603" s="335"/>
      <c r="Q603" s="335"/>
      <c r="R603" s="335"/>
      <c r="S603" s="335"/>
      <c r="T603" s="335"/>
      <c r="U603" s="337"/>
      <c r="V603" s="337"/>
      <c r="W603" s="337"/>
      <c r="X603" s="333"/>
      <c r="Y603" s="333"/>
      <c r="Z603" s="333"/>
      <c r="AA603" s="333"/>
      <c r="AB603" s="333"/>
      <c r="AC603" s="333"/>
      <c r="AD603" s="333"/>
      <c r="AE603" s="333"/>
      <c r="AF603" s="333"/>
      <c r="AG603" s="333"/>
      <c r="AH603" s="361"/>
      <c r="AI603" s="361"/>
      <c r="AJ603" s="333"/>
      <c r="AK603" s="333"/>
      <c r="AL603" s="333"/>
      <c r="AM603" s="333"/>
      <c r="AN603" s="333"/>
      <c r="AO603" s="333"/>
      <c r="AP603" s="333"/>
      <c r="AQ603" s="333"/>
      <c r="AR603" s="333"/>
      <c r="AS603" s="333"/>
      <c r="AT603" s="333"/>
      <c r="AU603" s="333"/>
      <c r="AV603" s="333"/>
      <c r="AW603" s="333"/>
      <c r="AX603" s="335"/>
      <c r="AY603" s="335"/>
      <c r="AZ603" s="335"/>
      <c r="BA603" s="333"/>
      <c r="BB603" s="333"/>
      <c r="BC603" s="333"/>
      <c r="BD603" s="333"/>
      <c r="BE603" s="333"/>
      <c r="BF603" s="333"/>
      <c r="BG603" s="333"/>
      <c r="BH603" s="333"/>
      <c r="BI603" s="333"/>
      <c r="BJ603" s="333"/>
      <c r="BK603" s="333"/>
      <c r="BL603" s="362"/>
      <c r="BM603" s="333"/>
      <c r="BN603" s="333"/>
      <c r="BO603" s="333"/>
      <c r="BP603" s="333"/>
      <c r="BQ603" s="333"/>
      <c r="BR603" s="333"/>
      <c r="BS603" s="333"/>
      <c r="BT603" s="333"/>
      <c r="BU603" s="333"/>
      <c r="BV603" s="333"/>
      <c r="BW603" s="333"/>
      <c r="BX603" s="333"/>
      <c r="BY603" s="333"/>
      <c r="BZ603" s="333"/>
      <c r="CA603" s="333"/>
      <c r="CB603" s="333"/>
      <c r="CC603" s="333"/>
      <c r="CD603" s="333"/>
      <c r="CE603" s="333"/>
      <c r="CF603" s="333"/>
      <c r="CG603" s="333"/>
      <c r="CH603" s="333"/>
      <c r="CI603" s="333"/>
      <c r="CJ603" s="333"/>
      <c r="CK603" s="333"/>
      <c r="CL603" s="333"/>
      <c r="CM603" s="333"/>
      <c r="CN603" s="333"/>
      <c r="CO603" s="333"/>
      <c r="CP603" s="333"/>
      <c r="CQ603" s="333"/>
      <c r="CR603" s="333"/>
      <c r="CS603" s="333"/>
      <c r="CT603" s="333"/>
      <c r="CU603" s="333"/>
      <c r="CV603" s="333"/>
      <c r="CW603" s="333"/>
      <c r="CX603" s="333"/>
      <c r="CY603" s="333"/>
    </row>
    <row r="604" spans="1:104" x14ac:dyDescent="0.25">
      <c r="A604" s="333"/>
      <c r="B604" s="333"/>
      <c r="C604" s="333"/>
      <c r="D604" s="334"/>
      <c r="E604" s="333"/>
      <c r="F604" s="333"/>
      <c r="G604" s="333"/>
      <c r="H604" s="333"/>
      <c r="I604" s="333"/>
      <c r="J604" s="333"/>
      <c r="K604" s="333"/>
      <c r="L604" s="335"/>
      <c r="M604" s="335"/>
      <c r="N604" s="335"/>
      <c r="O604" s="335"/>
      <c r="P604" s="335"/>
      <c r="Q604" s="335"/>
      <c r="R604" s="335"/>
      <c r="S604" s="338"/>
      <c r="T604" s="335"/>
      <c r="U604" s="360"/>
      <c r="V604" s="360"/>
      <c r="W604" s="360"/>
      <c r="X604" s="333"/>
      <c r="Y604" s="333"/>
      <c r="Z604" s="333"/>
      <c r="AA604" s="333"/>
      <c r="AB604" s="333"/>
      <c r="AC604" s="333"/>
      <c r="AD604" s="333"/>
      <c r="AE604" s="333"/>
      <c r="AF604" s="333"/>
      <c r="AG604" s="333"/>
      <c r="AH604" s="361"/>
      <c r="AI604" s="361"/>
      <c r="AJ604" s="333"/>
      <c r="AK604" s="333"/>
      <c r="AL604" s="333"/>
      <c r="AM604" s="333"/>
      <c r="AN604" s="333"/>
      <c r="AO604" s="333"/>
      <c r="AP604" s="333"/>
      <c r="AQ604" s="333"/>
      <c r="AR604" s="333"/>
      <c r="AS604" s="333"/>
      <c r="AT604" s="333"/>
      <c r="AU604" s="333"/>
      <c r="AV604" s="333"/>
      <c r="AW604" s="333"/>
      <c r="AX604" s="335"/>
      <c r="AY604" s="335"/>
      <c r="AZ604" s="335"/>
      <c r="BA604" s="333"/>
      <c r="BB604" s="333"/>
      <c r="BC604" s="333"/>
      <c r="BD604" s="333"/>
      <c r="BE604" s="333"/>
      <c r="BF604" s="333"/>
      <c r="BG604" s="333"/>
      <c r="BH604" s="333"/>
      <c r="BI604" s="333"/>
      <c r="BJ604" s="333"/>
      <c r="BK604" s="333"/>
      <c r="BL604" s="362"/>
      <c r="BM604" s="333"/>
      <c r="BN604" s="333"/>
      <c r="BO604" s="333"/>
      <c r="BP604" s="333"/>
      <c r="BQ604" s="333"/>
      <c r="BR604" s="333"/>
      <c r="BS604" s="333"/>
      <c r="BT604" s="333"/>
      <c r="BU604" s="333"/>
      <c r="BV604" s="333"/>
      <c r="BW604" s="333"/>
      <c r="BX604" s="333"/>
      <c r="BY604" s="333"/>
      <c r="BZ604" s="333"/>
      <c r="CA604" s="333"/>
      <c r="CB604" s="333"/>
      <c r="CC604" s="333"/>
      <c r="CD604" s="333"/>
      <c r="CE604" s="333"/>
      <c r="CF604" s="333"/>
      <c r="CG604" s="333"/>
      <c r="CH604" s="333"/>
      <c r="CI604" s="333"/>
      <c r="CJ604" s="333"/>
      <c r="CK604" s="333"/>
      <c r="CL604" s="333"/>
      <c r="CM604" s="333"/>
      <c r="CN604" s="333"/>
      <c r="CO604" s="333"/>
      <c r="CP604" s="333"/>
      <c r="CQ604" s="333"/>
      <c r="CR604" s="333"/>
      <c r="CS604" s="333"/>
      <c r="CT604" s="333"/>
      <c r="CU604" s="333"/>
      <c r="CV604" s="333"/>
      <c r="CW604" s="333"/>
      <c r="CX604" s="333"/>
      <c r="CY604" s="333"/>
    </row>
    <row r="605" spans="1:104" x14ac:dyDescent="0.25">
      <c r="A605" s="333"/>
      <c r="B605" s="333"/>
      <c r="C605" s="333"/>
      <c r="D605" s="334"/>
      <c r="E605" s="333"/>
      <c r="F605" s="333"/>
      <c r="G605" s="333"/>
      <c r="H605" s="333"/>
      <c r="I605" s="333"/>
      <c r="J605" s="333"/>
      <c r="K605" s="333"/>
      <c r="L605" s="335"/>
      <c r="M605" s="335"/>
      <c r="N605" s="335"/>
      <c r="O605" s="335"/>
      <c r="P605" s="335"/>
      <c r="Q605" s="335"/>
      <c r="R605" s="335"/>
      <c r="S605" s="335"/>
      <c r="T605" s="335"/>
      <c r="U605" s="360"/>
      <c r="V605" s="360"/>
      <c r="W605" s="360"/>
      <c r="X605" s="333"/>
      <c r="Y605" s="333"/>
      <c r="Z605" s="333"/>
      <c r="AA605" s="333"/>
      <c r="AB605" s="333"/>
      <c r="AC605" s="333"/>
      <c r="AD605" s="333"/>
      <c r="AE605" s="333"/>
      <c r="AF605" s="333"/>
      <c r="AG605" s="333"/>
      <c r="AH605" s="361"/>
      <c r="AI605" s="361"/>
      <c r="AJ605" s="333"/>
      <c r="AK605" s="333"/>
      <c r="AL605" s="333"/>
      <c r="AM605" s="333"/>
      <c r="AN605" s="333"/>
      <c r="AO605" s="333"/>
      <c r="AP605" s="333"/>
      <c r="AQ605" s="333"/>
      <c r="AR605" s="333"/>
      <c r="AS605" s="333"/>
      <c r="AT605" s="333"/>
      <c r="AU605" s="333"/>
      <c r="AV605" s="333"/>
      <c r="AW605" s="333"/>
      <c r="AX605" s="335"/>
      <c r="AY605" s="335"/>
      <c r="AZ605" s="335"/>
      <c r="BA605" s="333"/>
      <c r="BB605" s="333"/>
      <c r="BC605" s="333"/>
      <c r="BD605" s="333"/>
      <c r="BE605" s="333"/>
      <c r="BF605" s="333"/>
      <c r="BG605" s="333"/>
      <c r="BH605" s="333"/>
      <c r="BI605" s="333"/>
      <c r="BJ605" s="333"/>
      <c r="BK605" s="333"/>
      <c r="BL605" s="362"/>
      <c r="BM605" s="333"/>
      <c r="BN605" s="333"/>
      <c r="BO605" s="333"/>
      <c r="BP605" s="333"/>
      <c r="BQ605" s="333"/>
      <c r="BR605" s="333"/>
      <c r="BS605" s="333"/>
      <c r="BT605" s="333"/>
      <c r="BU605" s="333"/>
      <c r="BV605" s="333"/>
      <c r="BW605" s="333"/>
      <c r="BX605" s="333"/>
      <c r="BY605" s="333"/>
      <c r="BZ605" s="333"/>
      <c r="CA605" s="333"/>
      <c r="CB605" s="333"/>
      <c r="CC605" s="333"/>
      <c r="CD605" s="333"/>
      <c r="CE605" s="333"/>
      <c r="CF605" s="333"/>
      <c r="CG605" s="333"/>
      <c r="CH605" s="333"/>
      <c r="CI605" s="333"/>
      <c r="CJ605" s="333"/>
      <c r="CK605" s="333"/>
      <c r="CL605" s="333"/>
      <c r="CM605" s="333"/>
      <c r="CN605" s="333"/>
      <c r="CO605" s="333"/>
      <c r="CP605" s="333"/>
      <c r="CQ605" s="333"/>
      <c r="CR605" s="333"/>
      <c r="CS605" s="333"/>
      <c r="CT605" s="333"/>
      <c r="CU605" s="333"/>
      <c r="CV605" s="333"/>
      <c r="CW605" s="333"/>
      <c r="CX605" s="333"/>
      <c r="CY605" s="333"/>
    </row>
    <row r="606" spans="1:104" x14ac:dyDescent="0.25">
      <c r="A606" s="333"/>
      <c r="B606" s="333"/>
      <c r="C606" s="333"/>
      <c r="D606" s="334"/>
      <c r="E606" s="333"/>
      <c r="F606" s="333"/>
      <c r="G606" s="333"/>
      <c r="H606" s="333"/>
      <c r="I606" s="333"/>
      <c r="J606" s="333"/>
      <c r="K606" s="333"/>
      <c r="L606" s="335"/>
      <c r="M606" s="335"/>
      <c r="N606" s="335"/>
      <c r="O606" s="335"/>
      <c r="P606" s="338"/>
      <c r="Q606" s="335"/>
      <c r="R606" s="335"/>
      <c r="S606" s="335"/>
      <c r="T606" s="335"/>
      <c r="U606" s="360"/>
      <c r="V606" s="360"/>
      <c r="W606" s="360"/>
      <c r="X606" s="333"/>
      <c r="Y606" s="333"/>
      <c r="Z606" s="333"/>
      <c r="AA606" s="333"/>
      <c r="AB606" s="333"/>
      <c r="AC606" s="333"/>
      <c r="AD606" s="333"/>
      <c r="AE606" s="333"/>
      <c r="AF606" s="333"/>
      <c r="AG606" s="333"/>
      <c r="AH606" s="361"/>
      <c r="AI606" s="361"/>
      <c r="AJ606" s="333"/>
      <c r="AK606" s="333"/>
      <c r="AL606" s="333"/>
      <c r="AM606" s="333"/>
      <c r="AN606" s="333"/>
      <c r="AO606" s="333"/>
      <c r="AP606" s="333"/>
      <c r="AQ606" s="333"/>
      <c r="AR606" s="333"/>
      <c r="AS606" s="333"/>
      <c r="AT606" s="333"/>
      <c r="AU606" s="333"/>
      <c r="AV606" s="333"/>
      <c r="AW606" s="333"/>
      <c r="AX606" s="335"/>
      <c r="AY606" s="335"/>
      <c r="AZ606" s="335"/>
      <c r="BA606" s="333"/>
      <c r="BB606" s="333"/>
      <c r="BC606" s="333"/>
      <c r="BD606" s="333"/>
      <c r="BE606" s="333"/>
      <c r="BF606" s="333"/>
      <c r="BG606" s="333"/>
      <c r="BH606" s="333"/>
      <c r="BI606" s="333"/>
      <c r="BJ606" s="333"/>
      <c r="BK606" s="333"/>
      <c r="BL606" s="362"/>
      <c r="BM606" s="333"/>
      <c r="BN606" s="333"/>
      <c r="BO606" s="333"/>
      <c r="BP606" s="333"/>
      <c r="BQ606" s="333"/>
      <c r="BR606" s="333"/>
      <c r="BS606" s="333"/>
      <c r="BT606" s="333"/>
      <c r="BU606" s="333"/>
      <c r="BV606" s="333"/>
      <c r="BW606" s="333"/>
      <c r="BX606" s="333"/>
      <c r="BY606" s="333"/>
      <c r="BZ606" s="333"/>
      <c r="CA606" s="333"/>
      <c r="CB606" s="333"/>
      <c r="CC606" s="333"/>
      <c r="CD606" s="333"/>
      <c r="CE606" s="333"/>
      <c r="CF606" s="333"/>
      <c r="CG606" s="333"/>
      <c r="CH606" s="333"/>
      <c r="CI606" s="333"/>
      <c r="CJ606" s="333"/>
      <c r="CK606" s="333"/>
      <c r="CL606" s="333"/>
      <c r="CM606" s="333"/>
      <c r="CN606" s="333"/>
      <c r="CO606" s="333"/>
      <c r="CP606" s="333"/>
      <c r="CQ606" s="333"/>
      <c r="CR606" s="333"/>
      <c r="CS606" s="333"/>
      <c r="CT606" s="333"/>
      <c r="CU606" s="333"/>
      <c r="CV606" s="333"/>
      <c r="CW606" s="333"/>
      <c r="CX606" s="333"/>
      <c r="CY606" s="333"/>
    </row>
    <row r="607" spans="1:104" x14ac:dyDescent="0.25">
      <c r="A607" s="333"/>
      <c r="B607" s="333"/>
      <c r="C607" s="333"/>
      <c r="D607" s="334"/>
      <c r="E607" s="333"/>
      <c r="F607" s="333"/>
      <c r="G607" s="333"/>
      <c r="H607" s="333"/>
      <c r="I607" s="333"/>
      <c r="J607" s="333"/>
      <c r="K607" s="333"/>
      <c r="L607" s="335"/>
      <c r="M607" s="335"/>
      <c r="N607" s="335"/>
      <c r="O607" s="335"/>
      <c r="P607" s="335"/>
      <c r="Q607" s="335"/>
      <c r="R607" s="335"/>
      <c r="S607" s="335"/>
      <c r="T607" s="335"/>
      <c r="U607" s="360"/>
      <c r="V607" s="360"/>
      <c r="W607" s="360"/>
      <c r="X607" s="333"/>
      <c r="Y607" s="333"/>
      <c r="Z607" s="333"/>
      <c r="AA607" s="333"/>
      <c r="AB607" s="333"/>
      <c r="AC607" s="333"/>
      <c r="AD607" s="333"/>
      <c r="AE607" s="333"/>
      <c r="AF607" s="333"/>
      <c r="AG607" s="333"/>
      <c r="AH607" s="361"/>
      <c r="AI607" s="361"/>
      <c r="AJ607" s="333"/>
      <c r="AK607" s="333"/>
      <c r="AL607" s="333"/>
      <c r="AM607" s="333"/>
      <c r="AN607" s="333"/>
      <c r="AO607" s="333"/>
      <c r="AP607" s="333"/>
      <c r="AQ607" s="333"/>
      <c r="AR607" s="333"/>
      <c r="AS607" s="333"/>
      <c r="AT607" s="333"/>
      <c r="AU607" s="333"/>
      <c r="AV607" s="333"/>
      <c r="AW607" s="333"/>
      <c r="AX607" s="335"/>
      <c r="AY607" s="335"/>
      <c r="AZ607" s="335"/>
      <c r="BA607" s="333"/>
      <c r="BB607" s="333"/>
      <c r="BC607" s="333"/>
      <c r="BD607" s="333"/>
      <c r="BE607" s="333"/>
      <c r="BF607" s="333"/>
      <c r="BG607" s="333"/>
      <c r="BH607" s="333"/>
      <c r="BI607" s="333"/>
      <c r="BJ607" s="333"/>
      <c r="BK607" s="333"/>
      <c r="BL607" s="362"/>
      <c r="BM607" s="333"/>
      <c r="BN607" s="333"/>
      <c r="BO607" s="333"/>
      <c r="BP607" s="333"/>
      <c r="BQ607" s="333"/>
      <c r="BR607" s="333"/>
      <c r="BS607" s="333"/>
      <c r="BT607" s="333"/>
      <c r="BU607" s="333"/>
      <c r="BV607" s="333"/>
      <c r="BW607" s="333"/>
      <c r="BX607" s="333"/>
      <c r="BY607" s="333"/>
      <c r="BZ607" s="333"/>
      <c r="CA607" s="333"/>
      <c r="CB607" s="333"/>
      <c r="CC607" s="333"/>
      <c r="CD607" s="333"/>
      <c r="CE607" s="333"/>
      <c r="CF607" s="333"/>
      <c r="CG607" s="333"/>
      <c r="CH607" s="333"/>
      <c r="CI607" s="333"/>
      <c r="CJ607" s="333"/>
      <c r="CK607" s="333"/>
      <c r="CL607" s="333"/>
      <c r="CM607" s="333"/>
      <c r="CN607" s="333"/>
      <c r="CO607" s="333"/>
      <c r="CP607" s="333"/>
      <c r="CQ607" s="333"/>
      <c r="CR607" s="333"/>
      <c r="CS607" s="333"/>
      <c r="CT607" s="333"/>
      <c r="CU607" s="333"/>
      <c r="CV607" s="333"/>
      <c r="CW607" s="333"/>
      <c r="CX607" s="333"/>
      <c r="CY607" s="333"/>
    </row>
    <row r="608" spans="1:104" x14ac:dyDescent="0.25">
      <c r="A608" s="333"/>
      <c r="B608" s="333"/>
      <c r="C608" s="333"/>
      <c r="D608" s="334"/>
      <c r="E608" s="333"/>
      <c r="F608" s="333"/>
      <c r="G608" s="333"/>
      <c r="H608" s="333"/>
      <c r="I608" s="333"/>
      <c r="J608" s="333"/>
      <c r="K608" s="333"/>
      <c r="L608" s="335"/>
      <c r="M608" s="335"/>
      <c r="N608" s="335"/>
      <c r="O608" s="335"/>
      <c r="P608" s="335"/>
      <c r="Q608" s="335"/>
      <c r="R608" s="335"/>
      <c r="S608" s="335"/>
      <c r="T608" s="335"/>
      <c r="U608" s="360"/>
      <c r="V608" s="360"/>
      <c r="W608" s="360"/>
      <c r="X608" s="333"/>
      <c r="Y608" s="333"/>
      <c r="Z608" s="333"/>
      <c r="AA608" s="333"/>
      <c r="AB608" s="333"/>
      <c r="AC608" s="333"/>
      <c r="AD608" s="333"/>
      <c r="AE608" s="333"/>
      <c r="AF608" s="333"/>
      <c r="AG608" s="333"/>
      <c r="AH608" s="361"/>
      <c r="AI608" s="361"/>
      <c r="AJ608" s="333"/>
      <c r="AK608" s="333"/>
      <c r="AL608" s="333"/>
      <c r="AM608" s="333"/>
      <c r="AN608" s="333"/>
      <c r="AO608" s="333"/>
      <c r="AP608" s="333"/>
      <c r="AQ608" s="333"/>
      <c r="AR608" s="333"/>
      <c r="AS608" s="333"/>
      <c r="AT608" s="333"/>
      <c r="AU608" s="333"/>
      <c r="AV608" s="333"/>
      <c r="AW608" s="333"/>
      <c r="AX608" s="335"/>
      <c r="AY608" s="335"/>
      <c r="AZ608" s="335"/>
      <c r="BA608" s="333"/>
      <c r="BB608" s="333"/>
      <c r="BC608" s="333"/>
      <c r="BD608" s="333"/>
      <c r="BE608" s="333"/>
      <c r="BF608" s="333"/>
      <c r="BG608" s="333"/>
      <c r="BH608" s="333"/>
      <c r="BI608" s="333"/>
      <c r="BJ608" s="333"/>
      <c r="BK608" s="333"/>
      <c r="BL608" s="362"/>
      <c r="BM608" s="333"/>
      <c r="BN608" s="333"/>
      <c r="BO608" s="333"/>
      <c r="BP608" s="333"/>
      <c r="BQ608" s="333"/>
      <c r="BR608" s="333"/>
      <c r="BS608" s="333"/>
      <c r="BT608" s="333"/>
      <c r="BU608" s="333"/>
      <c r="BV608" s="333"/>
      <c r="BW608" s="333"/>
      <c r="BX608" s="333"/>
      <c r="BY608" s="333"/>
      <c r="BZ608" s="333"/>
      <c r="CA608" s="333"/>
      <c r="CB608" s="333"/>
      <c r="CC608" s="333"/>
      <c r="CD608" s="333"/>
      <c r="CE608" s="333"/>
      <c r="CF608" s="333"/>
      <c r="CG608" s="333"/>
      <c r="CH608" s="333"/>
      <c r="CI608" s="333"/>
      <c r="CJ608" s="333"/>
      <c r="CK608" s="333"/>
      <c r="CL608" s="333"/>
      <c r="CM608" s="333"/>
      <c r="CN608" s="333"/>
      <c r="CO608" s="333"/>
      <c r="CP608" s="333"/>
      <c r="CQ608" s="333"/>
      <c r="CR608" s="333"/>
      <c r="CS608" s="333"/>
      <c r="CT608" s="333"/>
      <c r="CU608" s="333"/>
      <c r="CV608" s="333"/>
      <c r="CW608" s="333"/>
      <c r="CX608" s="333"/>
      <c r="CY608" s="333"/>
    </row>
    <row r="609" spans="1:103" x14ac:dyDescent="0.25">
      <c r="A609" s="333"/>
      <c r="B609" s="333"/>
      <c r="C609" s="333"/>
      <c r="D609" s="334"/>
      <c r="E609" s="333"/>
      <c r="F609" s="333"/>
      <c r="G609" s="333"/>
      <c r="H609" s="333"/>
      <c r="I609" s="333"/>
      <c r="J609" s="333"/>
      <c r="K609" s="333"/>
      <c r="L609" s="335"/>
      <c r="M609" s="335"/>
      <c r="N609" s="335"/>
      <c r="O609" s="335"/>
      <c r="P609" s="335"/>
      <c r="Q609" s="335"/>
      <c r="R609" s="335"/>
      <c r="S609" s="335"/>
      <c r="T609" s="335"/>
      <c r="U609" s="360"/>
      <c r="V609" s="360"/>
      <c r="W609" s="360"/>
      <c r="X609" s="333"/>
      <c r="Y609" s="333"/>
      <c r="Z609" s="333"/>
      <c r="AA609" s="333"/>
      <c r="AB609" s="333"/>
      <c r="AC609" s="333"/>
      <c r="AD609" s="333"/>
      <c r="AE609" s="333"/>
      <c r="AF609" s="333"/>
      <c r="AG609" s="333"/>
      <c r="AH609" s="361"/>
      <c r="AI609" s="361"/>
      <c r="AJ609" s="333"/>
      <c r="AK609" s="333"/>
      <c r="AL609" s="333"/>
      <c r="AM609" s="333"/>
      <c r="AN609" s="333"/>
      <c r="AO609" s="333"/>
      <c r="AP609" s="333"/>
      <c r="AQ609" s="333"/>
      <c r="AR609" s="333"/>
      <c r="AS609" s="333"/>
      <c r="AT609" s="333"/>
      <c r="AU609" s="333"/>
      <c r="AV609" s="333"/>
      <c r="AW609" s="333"/>
      <c r="AX609" s="335"/>
      <c r="AY609" s="335"/>
      <c r="AZ609" s="335"/>
      <c r="BA609" s="333"/>
      <c r="BB609" s="333"/>
      <c r="BC609" s="333"/>
      <c r="BD609" s="333"/>
      <c r="BE609" s="333"/>
      <c r="BF609" s="333"/>
      <c r="BG609" s="333"/>
      <c r="BH609" s="333"/>
      <c r="BI609" s="333"/>
      <c r="BJ609" s="333"/>
      <c r="BK609" s="333"/>
      <c r="BL609" s="362"/>
      <c r="BM609" s="333"/>
      <c r="BN609" s="333"/>
      <c r="BO609" s="333"/>
      <c r="BP609" s="333"/>
      <c r="BQ609" s="333"/>
      <c r="BR609" s="333"/>
      <c r="BS609" s="333"/>
      <c r="BT609" s="333"/>
      <c r="BU609" s="333"/>
      <c r="BV609" s="333"/>
      <c r="BW609" s="333"/>
      <c r="BX609" s="333"/>
      <c r="BY609" s="333"/>
      <c r="BZ609" s="333"/>
      <c r="CA609" s="333"/>
      <c r="CB609" s="333"/>
      <c r="CC609" s="333"/>
      <c r="CD609" s="333"/>
      <c r="CE609" s="333"/>
      <c r="CF609" s="333"/>
      <c r="CG609" s="333"/>
      <c r="CH609" s="333"/>
      <c r="CI609" s="333"/>
      <c r="CJ609" s="333"/>
      <c r="CK609" s="333"/>
      <c r="CL609" s="333"/>
      <c r="CM609" s="333"/>
      <c r="CN609" s="333"/>
      <c r="CO609" s="333"/>
      <c r="CP609" s="333"/>
      <c r="CQ609" s="333"/>
      <c r="CR609" s="333"/>
      <c r="CS609" s="333"/>
      <c r="CT609" s="333"/>
      <c r="CU609" s="333"/>
      <c r="CV609" s="333"/>
      <c r="CW609" s="333"/>
      <c r="CX609" s="333"/>
      <c r="CY609" s="333"/>
    </row>
    <row r="610" spans="1:103" x14ac:dyDescent="0.25">
      <c r="A610" s="333"/>
      <c r="B610" s="333"/>
      <c r="C610" s="333"/>
      <c r="D610" s="334"/>
      <c r="E610" s="333"/>
      <c r="F610" s="333"/>
      <c r="G610" s="333"/>
      <c r="H610" s="333"/>
      <c r="I610" s="333"/>
      <c r="J610" s="333"/>
      <c r="K610" s="333"/>
      <c r="L610" s="335"/>
      <c r="M610" s="335"/>
      <c r="N610" s="335"/>
      <c r="O610" s="335"/>
      <c r="P610" s="335"/>
      <c r="Q610" s="335"/>
      <c r="R610" s="335"/>
      <c r="S610" s="335"/>
      <c r="T610" s="335"/>
      <c r="U610" s="360"/>
      <c r="V610" s="360"/>
      <c r="W610" s="360"/>
      <c r="X610" s="333"/>
      <c r="Y610" s="333"/>
      <c r="Z610" s="333"/>
      <c r="AA610" s="333"/>
      <c r="AB610" s="333"/>
      <c r="AC610" s="333"/>
      <c r="AD610" s="333"/>
      <c r="AE610" s="333"/>
      <c r="AF610" s="333"/>
      <c r="AG610" s="333"/>
      <c r="AH610" s="361"/>
      <c r="AI610" s="361"/>
      <c r="AJ610" s="333"/>
      <c r="AK610" s="333"/>
      <c r="AL610" s="333"/>
      <c r="AM610" s="333"/>
      <c r="AN610" s="333"/>
      <c r="AO610" s="333"/>
      <c r="AP610" s="333"/>
      <c r="AQ610" s="333"/>
      <c r="AR610" s="333"/>
      <c r="AS610" s="333"/>
      <c r="AT610" s="333"/>
      <c r="AU610" s="333"/>
      <c r="AV610" s="333"/>
      <c r="AW610" s="333"/>
      <c r="AX610" s="335"/>
      <c r="AY610" s="335"/>
      <c r="AZ610" s="335"/>
      <c r="BA610" s="333"/>
      <c r="BB610" s="333"/>
      <c r="BC610" s="333"/>
      <c r="BD610" s="333"/>
      <c r="BE610" s="333"/>
      <c r="BF610" s="333"/>
      <c r="BG610" s="333"/>
      <c r="BH610" s="333"/>
      <c r="BI610" s="333"/>
      <c r="BJ610" s="333"/>
      <c r="BK610" s="333"/>
      <c r="BL610" s="362"/>
      <c r="BM610" s="333"/>
      <c r="BN610" s="333"/>
      <c r="BO610" s="333"/>
      <c r="BP610" s="333"/>
      <c r="BQ610" s="333"/>
      <c r="BR610" s="333"/>
      <c r="BS610" s="333"/>
      <c r="BT610" s="333"/>
      <c r="BU610" s="333"/>
      <c r="BV610" s="333"/>
      <c r="BW610" s="333"/>
      <c r="BX610" s="333"/>
      <c r="BY610" s="333"/>
      <c r="BZ610" s="333"/>
      <c r="CA610" s="333"/>
      <c r="CB610" s="333"/>
      <c r="CC610" s="333"/>
      <c r="CD610" s="333"/>
      <c r="CE610" s="333"/>
      <c r="CF610" s="333"/>
      <c r="CG610" s="333"/>
      <c r="CH610" s="333"/>
      <c r="CI610" s="333"/>
      <c r="CJ610" s="333"/>
      <c r="CK610" s="333"/>
      <c r="CL610" s="333"/>
      <c r="CM610" s="333"/>
      <c r="CN610" s="333"/>
      <c r="CO610" s="333"/>
      <c r="CP610" s="333"/>
      <c r="CQ610" s="333"/>
      <c r="CR610" s="333"/>
      <c r="CS610" s="333"/>
      <c r="CT610" s="333"/>
      <c r="CU610" s="333"/>
      <c r="CV610" s="333"/>
      <c r="CW610" s="333"/>
      <c r="CX610" s="333"/>
      <c r="CY610" s="333"/>
    </row>
    <row r="611" spans="1:103" x14ac:dyDescent="0.25">
      <c r="A611" s="333"/>
      <c r="B611" s="333"/>
      <c r="C611" s="333"/>
      <c r="D611" s="334"/>
      <c r="E611" s="333"/>
      <c r="F611" s="333"/>
      <c r="G611" s="333"/>
      <c r="H611" s="333"/>
      <c r="I611" s="333"/>
      <c r="J611" s="333"/>
      <c r="K611" s="333"/>
      <c r="L611" s="335"/>
      <c r="M611" s="335"/>
      <c r="N611" s="335"/>
      <c r="O611" s="335"/>
      <c r="P611" s="335"/>
      <c r="Q611" s="335"/>
      <c r="R611" s="335"/>
      <c r="S611" s="335"/>
      <c r="T611" s="335"/>
      <c r="U611" s="360"/>
      <c r="V611" s="360"/>
      <c r="W611" s="360"/>
      <c r="X611" s="333"/>
      <c r="Y611" s="333"/>
      <c r="Z611" s="333"/>
      <c r="AA611" s="333"/>
      <c r="AB611" s="333"/>
      <c r="AC611" s="333"/>
      <c r="AD611" s="333"/>
      <c r="AE611" s="333"/>
      <c r="AF611" s="333"/>
      <c r="AG611" s="333"/>
      <c r="AH611" s="361"/>
      <c r="AI611" s="361"/>
      <c r="AJ611" s="333"/>
      <c r="AK611" s="333"/>
      <c r="AL611" s="333"/>
      <c r="AM611" s="333"/>
      <c r="AN611" s="333"/>
      <c r="AO611" s="333"/>
      <c r="AP611" s="333"/>
      <c r="AQ611" s="333"/>
      <c r="AR611" s="333"/>
      <c r="AS611" s="333"/>
      <c r="AT611" s="333"/>
      <c r="AU611" s="333"/>
      <c r="AV611" s="333"/>
      <c r="AW611" s="333"/>
      <c r="AX611" s="335"/>
      <c r="AY611" s="335"/>
      <c r="AZ611" s="335"/>
      <c r="BA611" s="333"/>
      <c r="BB611" s="333"/>
      <c r="BC611" s="333"/>
      <c r="BD611" s="333"/>
      <c r="BE611" s="333"/>
      <c r="BF611" s="333"/>
      <c r="BG611" s="333"/>
      <c r="BH611" s="333"/>
      <c r="BI611" s="333"/>
      <c r="BJ611" s="333"/>
      <c r="BK611" s="333"/>
      <c r="BL611" s="362"/>
      <c r="BM611" s="333"/>
      <c r="BN611" s="333"/>
      <c r="BO611" s="333"/>
      <c r="BP611" s="333"/>
      <c r="BQ611" s="333"/>
      <c r="BR611" s="333"/>
      <c r="BS611" s="333"/>
      <c r="BT611" s="333"/>
      <c r="BU611" s="333"/>
      <c r="BV611" s="333"/>
      <c r="BW611" s="333"/>
      <c r="BX611" s="333"/>
      <c r="BY611" s="333"/>
      <c r="BZ611" s="333"/>
      <c r="CA611" s="333"/>
      <c r="CB611" s="333"/>
      <c r="CC611" s="333"/>
      <c r="CD611" s="333"/>
      <c r="CE611" s="333"/>
      <c r="CF611" s="333"/>
      <c r="CG611" s="333"/>
      <c r="CH611" s="333"/>
      <c r="CI611" s="333"/>
      <c r="CJ611" s="333"/>
      <c r="CK611" s="333"/>
      <c r="CL611" s="333"/>
      <c r="CM611" s="333"/>
      <c r="CN611" s="333"/>
      <c r="CO611" s="333"/>
      <c r="CP611" s="333"/>
      <c r="CQ611" s="333"/>
      <c r="CR611" s="333"/>
      <c r="CS611" s="333"/>
      <c r="CT611" s="333"/>
      <c r="CU611" s="333"/>
      <c r="CV611" s="333"/>
      <c r="CW611" s="333"/>
      <c r="CX611" s="333"/>
      <c r="CY611" s="333"/>
    </row>
    <row r="612" spans="1:103" x14ac:dyDescent="0.25">
      <c r="A612" s="333"/>
      <c r="B612" s="333"/>
      <c r="C612" s="333"/>
      <c r="D612" s="334"/>
      <c r="E612" s="333"/>
      <c r="F612" s="333"/>
      <c r="G612" s="333"/>
      <c r="H612" s="333"/>
      <c r="I612" s="333"/>
      <c r="J612" s="333"/>
      <c r="K612" s="333"/>
      <c r="L612" s="335"/>
      <c r="M612" s="335"/>
      <c r="N612" s="335"/>
      <c r="O612" s="335"/>
      <c r="P612" s="335"/>
      <c r="Q612" s="335"/>
      <c r="R612" s="335"/>
      <c r="S612" s="335"/>
      <c r="T612" s="335"/>
      <c r="U612" s="360"/>
      <c r="V612" s="360"/>
      <c r="W612" s="360"/>
      <c r="X612" s="333"/>
      <c r="Y612" s="333"/>
      <c r="Z612" s="333"/>
      <c r="AA612" s="333"/>
      <c r="AB612" s="333"/>
      <c r="AC612" s="333"/>
      <c r="AD612" s="333"/>
      <c r="AE612" s="333"/>
      <c r="AF612" s="333"/>
      <c r="AG612" s="333"/>
      <c r="AH612" s="361"/>
      <c r="AI612" s="361"/>
      <c r="AJ612" s="333"/>
      <c r="AK612" s="333"/>
      <c r="AL612" s="333"/>
      <c r="AM612" s="333"/>
      <c r="AN612" s="333"/>
      <c r="AO612" s="333"/>
      <c r="AP612" s="333"/>
      <c r="AQ612" s="333"/>
      <c r="AR612" s="333"/>
      <c r="AS612" s="333"/>
      <c r="AT612" s="333"/>
      <c r="AU612" s="333"/>
      <c r="AV612" s="333"/>
      <c r="AW612" s="333"/>
      <c r="AX612" s="335"/>
      <c r="AY612" s="335"/>
      <c r="AZ612" s="335"/>
      <c r="BA612" s="333"/>
      <c r="BB612" s="333"/>
      <c r="BC612" s="333"/>
      <c r="BD612" s="333"/>
      <c r="BE612" s="333"/>
      <c r="BF612" s="333"/>
      <c r="BG612" s="333"/>
      <c r="BH612" s="333"/>
      <c r="BI612" s="333"/>
      <c r="BJ612" s="333"/>
      <c r="BK612" s="333"/>
      <c r="BL612" s="362"/>
      <c r="BM612" s="333"/>
      <c r="BN612" s="333"/>
      <c r="BO612" s="333"/>
      <c r="BP612" s="333"/>
      <c r="BQ612" s="333"/>
      <c r="BR612" s="333"/>
      <c r="BS612" s="333"/>
      <c r="BT612" s="333"/>
      <c r="BU612" s="333"/>
      <c r="BV612" s="333"/>
      <c r="BW612" s="333"/>
      <c r="BX612" s="333"/>
      <c r="BY612" s="333"/>
      <c r="BZ612" s="333"/>
      <c r="CA612" s="333"/>
      <c r="CB612" s="333"/>
      <c r="CC612" s="333"/>
      <c r="CD612" s="333"/>
      <c r="CE612" s="333"/>
      <c r="CF612" s="333"/>
      <c r="CG612" s="333"/>
      <c r="CH612" s="333"/>
      <c r="CI612" s="333"/>
      <c r="CJ612" s="333"/>
      <c r="CK612" s="333"/>
      <c r="CL612" s="333"/>
      <c r="CM612" s="333"/>
      <c r="CN612" s="333"/>
      <c r="CO612" s="333"/>
      <c r="CP612" s="333"/>
      <c r="CQ612" s="333"/>
      <c r="CR612" s="333"/>
      <c r="CS612" s="333"/>
      <c r="CT612" s="333"/>
      <c r="CU612" s="333"/>
      <c r="CV612" s="333"/>
      <c r="CW612" s="333"/>
      <c r="CX612" s="333"/>
      <c r="CY612" s="333"/>
    </row>
    <row r="613" spans="1:103" x14ac:dyDescent="0.25">
      <c r="A613" s="333"/>
      <c r="B613" s="333"/>
      <c r="C613" s="333"/>
      <c r="D613" s="334"/>
      <c r="E613" s="333"/>
      <c r="F613" s="333"/>
      <c r="G613" s="333"/>
      <c r="H613" s="333"/>
      <c r="I613" s="333"/>
      <c r="J613" s="333"/>
      <c r="K613" s="333"/>
      <c r="L613" s="335"/>
      <c r="M613" s="335"/>
      <c r="N613" s="335"/>
      <c r="O613" s="335"/>
      <c r="P613" s="335"/>
      <c r="Q613" s="335"/>
      <c r="R613" s="335"/>
      <c r="S613" s="335"/>
      <c r="T613" s="335"/>
      <c r="U613" s="360"/>
      <c r="V613" s="360"/>
      <c r="W613" s="360"/>
      <c r="X613" s="333"/>
      <c r="Y613" s="333"/>
      <c r="Z613" s="333"/>
      <c r="AA613" s="333"/>
      <c r="AB613" s="333"/>
      <c r="AC613" s="333"/>
      <c r="AD613" s="333"/>
      <c r="AE613" s="333"/>
      <c r="AF613" s="333"/>
      <c r="AG613" s="333"/>
      <c r="AH613" s="361"/>
      <c r="AI613" s="361"/>
      <c r="AJ613" s="333"/>
      <c r="AK613" s="333"/>
      <c r="AL613" s="333"/>
      <c r="AM613" s="333"/>
      <c r="AN613" s="333"/>
      <c r="AO613" s="333"/>
      <c r="AP613" s="333"/>
      <c r="AQ613" s="333"/>
      <c r="AR613" s="333"/>
      <c r="AS613" s="333"/>
      <c r="AT613" s="333"/>
      <c r="AU613" s="333"/>
      <c r="AV613" s="333"/>
      <c r="AW613" s="333"/>
      <c r="AX613" s="335"/>
      <c r="AY613" s="335"/>
      <c r="AZ613" s="335"/>
      <c r="BA613" s="333"/>
      <c r="BB613" s="333"/>
      <c r="BC613" s="333"/>
      <c r="BD613" s="333"/>
      <c r="BE613" s="333"/>
      <c r="BF613" s="333"/>
      <c r="BG613" s="333"/>
      <c r="BH613" s="333"/>
      <c r="BI613" s="333"/>
      <c r="BJ613" s="333"/>
      <c r="BK613" s="333"/>
      <c r="BL613" s="362"/>
      <c r="BM613" s="333"/>
      <c r="BN613" s="333"/>
      <c r="BO613" s="333"/>
      <c r="BP613" s="333"/>
      <c r="BQ613" s="333"/>
      <c r="BR613" s="333"/>
      <c r="BS613" s="333"/>
      <c r="BT613" s="333"/>
      <c r="BU613" s="333"/>
      <c r="BV613" s="333"/>
      <c r="BW613" s="333"/>
      <c r="BX613" s="333"/>
      <c r="BY613" s="333"/>
      <c r="BZ613" s="333"/>
      <c r="CA613" s="333"/>
      <c r="CB613" s="333"/>
      <c r="CC613" s="333"/>
      <c r="CD613" s="333"/>
      <c r="CE613" s="333"/>
      <c r="CF613" s="333"/>
      <c r="CG613" s="333"/>
      <c r="CH613" s="333"/>
      <c r="CI613" s="333"/>
      <c r="CJ613" s="333"/>
      <c r="CK613" s="333"/>
      <c r="CL613" s="333"/>
      <c r="CM613" s="333"/>
      <c r="CN613" s="333"/>
      <c r="CO613" s="333"/>
      <c r="CP613" s="333"/>
      <c r="CQ613" s="333"/>
      <c r="CR613" s="333"/>
      <c r="CS613" s="333"/>
      <c r="CT613" s="333"/>
      <c r="CU613" s="333"/>
      <c r="CV613" s="333"/>
      <c r="CW613" s="333"/>
      <c r="CX613" s="333"/>
      <c r="CY613" s="333"/>
    </row>
    <row r="614" spans="1:103" x14ac:dyDescent="0.25">
      <c r="A614" s="333"/>
      <c r="B614" s="333"/>
      <c r="C614" s="333"/>
      <c r="D614" s="334"/>
      <c r="E614" s="333"/>
      <c r="F614" s="333"/>
      <c r="G614" s="333"/>
      <c r="H614" s="333"/>
      <c r="I614" s="333"/>
      <c r="J614" s="333"/>
      <c r="K614" s="333"/>
      <c r="L614" s="335"/>
      <c r="M614" s="335"/>
      <c r="N614" s="335"/>
      <c r="O614" s="335"/>
      <c r="P614" s="335"/>
      <c r="Q614" s="335"/>
      <c r="R614" s="335"/>
      <c r="S614" s="335"/>
      <c r="T614" s="335"/>
      <c r="U614" s="360"/>
      <c r="V614" s="360"/>
      <c r="W614" s="360"/>
      <c r="X614" s="333"/>
      <c r="Y614" s="333"/>
      <c r="Z614" s="333"/>
      <c r="AA614" s="333"/>
      <c r="AB614" s="333"/>
      <c r="AC614" s="333"/>
      <c r="AD614" s="333"/>
      <c r="AE614" s="333"/>
      <c r="AF614" s="333"/>
      <c r="AG614" s="333"/>
      <c r="AH614" s="361"/>
      <c r="AI614" s="361"/>
      <c r="AJ614" s="333"/>
      <c r="AK614" s="333"/>
      <c r="AL614" s="333"/>
      <c r="AM614" s="333"/>
      <c r="AN614" s="333"/>
      <c r="AO614" s="333"/>
      <c r="AP614" s="333"/>
      <c r="AQ614" s="333"/>
      <c r="AR614" s="333"/>
      <c r="AS614" s="333"/>
      <c r="AT614" s="333"/>
      <c r="AU614" s="333"/>
      <c r="AV614" s="333"/>
      <c r="AW614" s="333"/>
      <c r="AX614" s="335"/>
      <c r="AY614" s="335"/>
      <c r="AZ614" s="335"/>
      <c r="BA614" s="333"/>
      <c r="BB614" s="333"/>
      <c r="BC614" s="333"/>
      <c r="BD614" s="333"/>
      <c r="BE614" s="333"/>
      <c r="BF614" s="333"/>
      <c r="BG614" s="333"/>
      <c r="BH614" s="333"/>
      <c r="BI614" s="333"/>
      <c r="BJ614" s="333"/>
      <c r="BK614" s="333"/>
      <c r="BL614" s="362"/>
      <c r="BM614" s="333"/>
      <c r="BN614" s="333"/>
      <c r="BO614" s="333"/>
      <c r="BP614" s="333"/>
      <c r="BQ614" s="333"/>
      <c r="BR614" s="333"/>
      <c r="BS614" s="333"/>
      <c r="BT614" s="333"/>
      <c r="BU614" s="333"/>
      <c r="BV614" s="333"/>
      <c r="BW614" s="333"/>
      <c r="BX614" s="333"/>
      <c r="BY614" s="333"/>
      <c r="BZ614" s="333"/>
      <c r="CA614" s="333"/>
      <c r="CB614" s="333"/>
      <c r="CC614" s="333"/>
      <c r="CD614" s="333"/>
      <c r="CE614" s="333"/>
      <c r="CF614" s="333"/>
      <c r="CG614" s="333"/>
      <c r="CH614" s="333"/>
      <c r="CI614" s="333"/>
      <c r="CJ614" s="333"/>
      <c r="CK614" s="333"/>
      <c r="CL614" s="333"/>
      <c r="CM614" s="333"/>
      <c r="CN614" s="333"/>
      <c r="CO614" s="333"/>
      <c r="CP614" s="333"/>
      <c r="CQ614" s="333"/>
      <c r="CR614" s="333"/>
      <c r="CS614" s="333"/>
      <c r="CT614" s="333"/>
      <c r="CU614" s="333"/>
      <c r="CV614" s="333"/>
      <c r="CW614" s="333"/>
      <c r="CX614" s="333"/>
      <c r="CY614" s="333"/>
    </row>
    <row r="615" spans="1:103" x14ac:dyDescent="0.25">
      <c r="A615" s="333"/>
      <c r="B615" s="333"/>
      <c r="C615" s="333"/>
      <c r="D615" s="334"/>
      <c r="E615" s="333"/>
      <c r="F615" s="333"/>
      <c r="G615" s="333"/>
      <c r="H615" s="333"/>
      <c r="I615" s="333"/>
      <c r="J615" s="333"/>
      <c r="K615" s="333"/>
      <c r="L615" s="335"/>
      <c r="M615" s="335"/>
      <c r="N615" s="335"/>
      <c r="O615" s="335"/>
      <c r="P615" s="335"/>
      <c r="Q615" s="335"/>
      <c r="R615" s="335"/>
      <c r="S615" s="335"/>
      <c r="T615" s="335"/>
      <c r="U615" s="360"/>
      <c r="V615" s="360"/>
      <c r="W615" s="360"/>
      <c r="X615" s="333"/>
      <c r="Y615" s="333"/>
      <c r="Z615" s="333"/>
      <c r="AA615" s="333"/>
      <c r="AB615" s="333"/>
      <c r="AC615" s="333"/>
      <c r="AD615" s="333"/>
      <c r="AE615" s="333"/>
      <c r="AF615" s="333"/>
      <c r="AG615" s="333"/>
      <c r="AH615" s="361"/>
      <c r="AI615" s="361"/>
      <c r="AJ615" s="333"/>
      <c r="AK615" s="333"/>
      <c r="AL615" s="333"/>
      <c r="AM615" s="333"/>
      <c r="AN615" s="333"/>
      <c r="AO615" s="333"/>
      <c r="AP615" s="333"/>
      <c r="AQ615" s="333"/>
      <c r="AR615" s="333"/>
      <c r="AS615" s="333"/>
      <c r="AT615" s="333"/>
      <c r="AU615" s="333"/>
      <c r="AV615" s="333"/>
      <c r="AW615" s="333"/>
      <c r="AX615" s="335"/>
      <c r="AY615" s="335"/>
      <c r="AZ615" s="335"/>
      <c r="BA615" s="333"/>
      <c r="BB615" s="333"/>
      <c r="BC615" s="333"/>
      <c r="BD615" s="333"/>
      <c r="BE615" s="333"/>
      <c r="BF615" s="333"/>
      <c r="BG615" s="333"/>
      <c r="BH615" s="333"/>
      <c r="BI615" s="333"/>
      <c r="BJ615" s="333"/>
      <c r="BK615" s="333"/>
      <c r="BL615" s="362"/>
      <c r="BM615" s="333"/>
      <c r="BN615" s="333"/>
      <c r="BO615" s="333"/>
      <c r="BP615" s="333"/>
      <c r="BQ615" s="333"/>
      <c r="BR615" s="333"/>
      <c r="BS615" s="333"/>
      <c r="BT615" s="333"/>
      <c r="BU615" s="333"/>
      <c r="BV615" s="333"/>
      <c r="BW615" s="333"/>
      <c r="BX615" s="333"/>
      <c r="BY615" s="333"/>
      <c r="BZ615" s="333"/>
      <c r="CA615" s="333"/>
      <c r="CB615" s="333"/>
      <c r="CC615" s="333"/>
      <c r="CD615" s="333"/>
      <c r="CE615" s="333"/>
      <c r="CF615" s="333"/>
      <c r="CG615" s="333"/>
      <c r="CH615" s="333"/>
      <c r="CI615" s="333"/>
      <c r="CJ615" s="333"/>
      <c r="CK615" s="333"/>
      <c r="CL615" s="333"/>
      <c r="CM615" s="333"/>
      <c r="CN615" s="333"/>
      <c r="CO615" s="333"/>
      <c r="CP615" s="333"/>
      <c r="CQ615" s="333"/>
      <c r="CR615" s="333"/>
      <c r="CS615" s="333"/>
      <c r="CT615" s="333"/>
      <c r="CU615" s="333"/>
      <c r="CV615" s="333"/>
      <c r="CW615" s="333"/>
      <c r="CX615" s="333"/>
      <c r="CY615" s="333"/>
    </row>
    <row r="616" spans="1:103" x14ac:dyDescent="0.25">
      <c r="A616" s="333"/>
      <c r="B616" s="333"/>
      <c r="C616" s="333"/>
      <c r="D616" s="334"/>
      <c r="E616" s="333"/>
      <c r="F616" s="333"/>
      <c r="G616" s="333"/>
      <c r="H616" s="333"/>
      <c r="I616" s="333"/>
      <c r="J616" s="333"/>
      <c r="K616" s="333"/>
      <c r="L616" s="335"/>
      <c r="M616" s="335"/>
      <c r="N616" s="335"/>
      <c r="O616" s="335"/>
      <c r="P616" s="335"/>
      <c r="Q616" s="335"/>
      <c r="R616" s="335"/>
      <c r="S616" s="335"/>
      <c r="T616" s="335"/>
      <c r="U616" s="360"/>
      <c r="V616" s="360"/>
      <c r="W616" s="360"/>
      <c r="X616" s="333"/>
      <c r="Y616" s="333"/>
      <c r="Z616" s="333"/>
      <c r="AA616" s="333"/>
      <c r="AB616" s="333"/>
      <c r="AC616" s="333"/>
      <c r="AD616" s="333"/>
      <c r="AE616" s="333"/>
      <c r="AF616" s="333"/>
      <c r="AG616" s="333"/>
      <c r="AH616" s="361"/>
      <c r="AI616" s="361"/>
      <c r="AJ616" s="333"/>
      <c r="AK616" s="333"/>
      <c r="AL616" s="333"/>
      <c r="AM616" s="333"/>
      <c r="AN616" s="333"/>
      <c r="AO616" s="333"/>
      <c r="AP616" s="333"/>
      <c r="AQ616" s="333"/>
      <c r="AR616" s="333"/>
      <c r="AS616" s="333"/>
      <c r="AT616" s="333"/>
      <c r="AU616" s="333"/>
      <c r="AV616" s="333"/>
      <c r="AW616" s="333"/>
      <c r="AX616" s="335"/>
      <c r="AY616" s="335"/>
      <c r="AZ616" s="335"/>
      <c r="BA616" s="333"/>
      <c r="BB616" s="333"/>
      <c r="BC616" s="333"/>
      <c r="BD616" s="333"/>
      <c r="BE616" s="333"/>
      <c r="BF616" s="333"/>
      <c r="BG616" s="333"/>
      <c r="BH616" s="333"/>
      <c r="BI616" s="333"/>
      <c r="BJ616" s="333"/>
      <c r="BK616" s="333"/>
      <c r="BL616" s="362"/>
      <c r="BM616" s="333"/>
      <c r="BN616" s="333"/>
      <c r="BO616" s="333"/>
      <c r="BP616" s="333"/>
      <c r="BQ616" s="333"/>
      <c r="BR616" s="333"/>
      <c r="BS616" s="333"/>
      <c r="BT616" s="333"/>
      <c r="BU616" s="333"/>
      <c r="BV616" s="333"/>
      <c r="BW616" s="333"/>
      <c r="BX616" s="333"/>
      <c r="BY616" s="333"/>
      <c r="BZ616" s="333"/>
      <c r="CA616" s="333"/>
      <c r="CB616" s="333"/>
      <c r="CC616" s="333"/>
      <c r="CD616" s="333"/>
      <c r="CE616" s="333"/>
      <c r="CF616" s="333"/>
      <c r="CG616" s="333"/>
      <c r="CH616" s="333"/>
      <c r="CI616" s="333"/>
      <c r="CJ616" s="333"/>
      <c r="CK616" s="333"/>
      <c r="CL616" s="333"/>
      <c r="CM616" s="333"/>
      <c r="CN616" s="333"/>
      <c r="CO616" s="333"/>
      <c r="CP616" s="333"/>
      <c r="CQ616" s="333"/>
      <c r="CR616" s="333"/>
      <c r="CS616" s="333"/>
      <c r="CT616" s="333"/>
      <c r="CU616" s="333"/>
      <c r="CV616" s="333"/>
      <c r="CW616" s="333"/>
      <c r="CX616" s="333"/>
      <c r="CY616" s="333"/>
    </row>
    <row r="617" spans="1:103" x14ac:dyDescent="0.25">
      <c r="A617" s="333"/>
      <c r="B617" s="333"/>
      <c r="C617" s="333"/>
      <c r="D617" s="334"/>
      <c r="E617" s="333"/>
      <c r="F617" s="333"/>
      <c r="G617" s="333"/>
      <c r="H617" s="333"/>
      <c r="I617" s="333"/>
      <c r="J617" s="333"/>
      <c r="K617" s="333"/>
      <c r="L617" s="335"/>
      <c r="M617" s="335"/>
      <c r="N617" s="335"/>
      <c r="O617" s="335"/>
      <c r="P617" s="335"/>
      <c r="Q617" s="335"/>
      <c r="R617" s="335"/>
      <c r="S617" s="335"/>
      <c r="T617" s="335"/>
      <c r="U617" s="360"/>
      <c r="V617" s="360"/>
      <c r="W617" s="360"/>
      <c r="X617" s="333"/>
      <c r="Y617" s="333"/>
      <c r="Z617" s="333"/>
      <c r="AA617" s="333"/>
      <c r="AB617" s="333"/>
      <c r="AC617" s="333"/>
      <c r="AD617" s="333"/>
      <c r="AE617" s="333"/>
      <c r="AF617" s="333"/>
      <c r="AG617" s="333"/>
      <c r="AH617" s="361"/>
      <c r="AI617" s="361"/>
      <c r="AJ617" s="333"/>
      <c r="AK617" s="333"/>
      <c r="AL617" s="333"/>
      <c r="AM617" s="333"/>
      <c r="AN617" s="333"/>
      <c r="AO617" s="333"/>
      <c r="AP617" s="333"/>
      <c r="AQ617" s="333"/>
      <c r="AR617" s="333"/>
      <c r="AS617" s="333"/>
      <c r="AT617" s="333"/>
      <c r="AU617" s="333"/>
      <c r="AV617" s="333"/>
      <c r="AW617" s="333"/>
      <c r="AX617" s="335"/>
      <c r="AY617" s="335"/>
      <c r="AZ617" s="335"/>
      <c r="BA617" s="333"/>
      <c r="BB617" s="333"/>
      <c r="BC617" s="333"/>
      <c r="BD617" s="333"/>
      <c r="BE617" s="333"/>
      <c r="BF617" s="333"/>
      <c r="BG617" s="333"/>
      <c r="BH617" s="333"/>
      <c r="BI617" s="333"/>
      <c r="BJ617" s="333"/>
      <c r="BK617" s="333"/>
      <c r="BL617" s="362"/>
      <c r="BM617" s="333"/>
      <c r="BN617" s="333"/>
      <c r="BO617" s="333"/>
      <c r="BP617" s="333"/>
      <c r="BQ617" s="333"/>
      <c r="BR617" s="333"/>
      <c r="BS617" s="333"/>
      <c r="BT617" s="333"/>
      <c r="BU617" s="333"/>
      <c r="BV617" s="333"/>
      <c r="BW617" s="333"/>
      <c r="BX617" s="333"/>
      <c r="BY617" s="333"/>
      <c r="BZ617" s="333"/>
      <c r="CA617" s="333"/>
      <c r="CB617" s="333"/>
      <c r="CC617" s="333"/>
      <c r="CD617" s="333"/>
      <c r="CE617" s="333"/>
      <c r="CF617" s="333"/>
      <c r="CG617" s="333"/>
      <c r="CH617" s="333"/>
      <c r="CI617" s="333"/>
      <c r="CJ617" s="333"/>
      <c r="CK617" s="333"/>
      <c r="CL617" s="333"/>
      <c r="CM617" s="333"/>
      <c r="CN617" s="333"/>
      <c r="CO617" s="333"/>
      <c r="CP617" s="333"/>
      <c r="CQ617" s="333"/>
      <c r="CR617" s="333"/>
      <c r="CS617" s="333"/>
      <c r="CT617" s="333"/>
      <c r="CU617" s="333"/>
      <c r="CV617" s="333"/>
      <c r="CW617" s="333"/>
      <c r="CX617" s="333"/>
      <c r="CY617" s="333"/>
    </row>
    <row r="618" spans="1:103" x14ac:dyDescent="0.25">
      <c r="A618" s="333"/>
      <c r="B618" s="333"/>
      <c r="C618" s="333"/>
      <c r="D618" s="334"/>
      <c r="E618" s="333"/>
      <c r="F618" s="333"/>
      <c r="G618" s="333"/>
      <c r="H618" s="333"/>
      <c r="I618" s="333"/>
      <c r="J618" s="333"/>
      <c r="K618" s="333"/>
      <c r="L618" s="335"/>
      <c r="M618" s="335"/>
      <c r="N618" s="335"/>
      <c r="O618" s="335"/>
      <c r="P618" s="335"/>
      <c r="Q618" s="335"/>
      <c r="R618" s="335"/>
      <c r="S618" s="335"/>
      <c r="T618" s="335"/>
      <c r="U618" s="360"/>
      <c r="V618" s="360"/>
      <c r="W618" s="360"/>
      <c r="X618" s="333"/>
      <c r="Y618" s="333"/>
      <c r="Z618" s="333"/>
      <c r="AA618" s="333"/>
      <c r="AB618" s="333"/>
      <c r="AC618" s="333"/>
      <c r="AD618" s="333"/>
      <c r="AE618" s="333"/>
      <c r="AF618" s="333"/>
      <c r="AG618" s="333"/>
      <c r="AH618" s="361"/>
      <c r="AI618" s="361"/>
      <c r="AJ618" s="333"/>
      <c r="AK618" s="333"/>
      <c r="AL618" s="333"/>
      <c r="AM618" s="333"/>
      <c r="AN618" s="333"/>
      <c r="AO618" s="333"/>
      <c r="AP618" s="333"/>
      <c r="AQ618" s="333"/>
      <c r="AR618" s="333"/>
      <c r="AS618" s="333"/>
      <c r="AT618" s="333"/>
      <c r="AU618" s="333"/>
      <c r="AV618" s="333"/>
      <c r="AW618" s="333"/>
      <c r="AX618" s="335"/>
      <c r="AY618" s="335"/>
      <c r="AZ618" s="335"/>
      <c r="BA618" s="333"/>
      <c r="BB618" s="333"/>
      <c r="BC618" s="333"/>
      <c r="BD618" s="333"/>
      <c r="BE618" s="333"/>
      <c r="BF618" s="333"/>
      <c r="BG618" s="333"/>
      <c r="BH618" s="333"/>
      <c r="BI618" s="333"/>
      <c r="BJ618" s="333"/>
      <c r="BK618" s="333"/>
      <c r="BL618" s="362"/>
      <c r="BM618" s="333"/>
      <c r="BN618" s="333"/>
      <c r="BO618" s="333"/>
      <c r="BP618" s="333"/>
      <c r="BQ618" s="333"/>
      <c r="BR618" s="333"/>
      <c r="BS618" s="333"/>
      <c r="BT618" s="333"/>
      <c r="BU618" s="333"/>
      <c r="BV618" s="333"/>
      <c r="BW618" s="333"/>
      <c r="BX618" s="333"/>
      <c r="BY618" s="333"/>
      <c r="BZ618" s="333"/>
      <c r="CA618" s="333"/>
      <c r="CB618" s="333"/>
      <c r="CC618" s="333"/>
      <c r="CD618" s="333"/>
      <c r="CE618" s="333"/>
      <c r="CF618" s="333"/>
      <c r="CG618" s="333"/>
      <c r="CH618" s="333"/>
      <c r="CI618" s="333"/>
      <c r="CJ618" s="333"/>
      <c r="CK618" s="333"/>
      <c r="CL618" s="333"/>
      <c r="CM618" s="333"/>
      <c r="CN618" s="333"/>
      <c r="CO618" s="333"/>
      <c r="CP618" s="333"/>
      <c r="CQ618" s="333"/>
      <c r="CR618" s="333"/>
      <c r="CS618" s="333"/>
      <c r="CT618" s="333"/>
      <c r="CU618" s="333"/>
      <c r="CV618" s="333"/>
      <c r="CW618" s="333"/>
      <c r="CX618" s="333"/>
      <c r="CY618" s="333"/>
    </row>
    <row r="619" spans="1:103" x14ac:dyDescent="0.25">
      <c r="A619" s="333"/>
      <c r="B619" s="333"/>
      <c r="C619" s="333"/>
      <c r="D619" s="334"/>
      <c r="E619" s="333"/>
      <c r="F619" s="333"/>
      <c r="G619" s="333"/>
      <c r="H619" s="333"/>
      <c r="I619" s="333"/>
      <c r="J619" s="333"/>
      <c r="K619" s="333"/>
      <c r="L619" s="335"/>
      <c r="M619" s="335"/>
      <c r="N619" s="335"/>
      <c r="O619" s="335"/>
      <c r="P619" s="335"/>
      <c r="Q619" s="335"/>
      <c r="R619" s="335"/>
      <c r="S619" s="335"/>
      <c r="T619" s="335"/>
      <c r="U619" s="360"/>
      <c r="V619" s="360"/>
      <c r="W619" s="360"/>
      <c r="X619" s="333"/>
      <c r="Y619" s="333"/>
      <c r="Z619" s="333"/>
      <c r="AA619" s="333"/>
      <c r="AB619" s="333"/>
      <c r="AC619" s="333"/>
      <c r="AD619" s="333"/>
      <c r="AE619" s="333"/>
      <c r="AF619" s="333"/>
      <c r="AG619" s="333"/>
      <c r="AH619" s="361"/>
      <c r="AI619" s="361"/>
      <c r="AJ619" s="333"/>
      <c r="AK619" s="333"/>
      <c r="AL619" s="333"/>
      <c r="AM619" s="333"/>
      <c r="AN619" s="333"/>
      <c r="AO619" s="333"/>
      <c r="AP619" s="333"/>
      <c r="AQ619" s="333"/>
      <c r="AR619" s="333"/>
      <c r="AS619" s="333"/>
      <c r="AT619" s="333"/>
      <c r="AU619" s="333"/>
      <c r="AV619" s="333"/>
      <c r="AW619" s="333"/>
      <c r="AX619" s="335"/>
      <c r="AY619" s="335"/>
      <c r="AZ619" s="335"/>
      <c r="BA619" s="333"/>
      <c r="BB619" s="333"/>
      <c r="BC619" s="333"/>
      <c r="BD619" s="333"/>
      <c r="BE619" s="333"/>
      <c r="BF619" s="333"/>
      <c r="BG619" s="333"/>
      <c r="BH619" s="333"/>
      <c r="BI619" s="333"/>
      <c r="BJ619" s="333"/>
      <c r="BK619" s="333"/>
      <c r="BL619" s="362"/>
      <c r="BM619" s="333"/>
      <c r="BN619" s="333"/>
      <c r="BO619" s="333"/>
      <c r="BP619" s="333"/>
      <c r="BQ619" s="333"/>
      <c r="BR619" s="333"/>
      <c r="BS619" s="333"/>
      <c r="BT619" s="333"/>
      <c r="BU619" s="333"/>
      <c r="BV619" s="333"/>
      <c r="BW619" s="333"/>
      <c r="BX619" s="333"/>
      <c r="BY619" s="333"/>
      <c r="BZ619" s="333"/>
      <c r="CA619" s="333"/>
      <c r="CB619" s="333"/>
      <c r="CC619" s="333"/>
      <c r="CD619" s="333"/>
      <c r="CE619" s="333"/>
      <c r="CF619" s="333"/>
      <c r="CG619" s="333"/>
      <c r="CH619" s="333"/>
      <c r="CI619" s="333"/>
      <c r="CJ619" s="333"/>
      <c r="CK619" s="333"/>
      <c r="CL619" s="333"/>
      <c r="CM619" s="333"/>
      <c r="CN619" s="333"/>
      <c r="CO619" s="333"/>
      <c r="CP619" s="333"/>
      <c r="CQ619" s="333"/>
      <c r="CR619" s="333"/>
      <c r="CS619" s="333"/>
      <c r="CT619" s="333"/>
      <c r="CU619" s="333"/>
      <c r="CV619" s="333"/>
      <c r="CW619" s="333"/>
      <c r="CX619" s="333"/>
      <c r="CY619" s="333"/>
    </row>
    <row r="620" spans="1:103" x14ac:dyDescent="0.25">
      <c r="A620" s="333"/>
      <c r="B620" s="333"/>
      <c r="C620" s="333"/>
      <c r="D620" s="334"/>
      <c r="E620" s="333"/>
      <c r="F620" s="333"/>
      <c r="G620" s="333"/>
      <c r="H620" s="333"/>
      <c r="I620" s="333"/>
      <c r="J620" s="333"/>
      <c r="K620" s="333"/>
      <c r="L620" s="335"/>
      <c r="M620" s="335"/>
      <c r="N620" s="335"/>
      <c r="O620" s="335"/>
      <c r="P620" s="335"/>
      <c r="Q620" s="335"/>
      <c r="R620" s="335"/>
      <c r="S620" s="335"/>
      <c r="T620" s="335"/>
      <c r="U620" s="360"/>
      <c r="V620" s="360"/>
      <c r="W620" s="360"/>
      <c r="X620" s="333"/>
      <c r="Y620" s="333"/>
      <c r="Z620" s="333"/>
      <c r="AA620" s="333"/>
      <c r="AB620" s="333"/>
      <c r="AC620" s="333"/>
      <c r="AD620" s="333"/>
      <c r="AE620" s="333"/>
      <c r="AF620" s="333"/>
      <c r="AG620" s="333"/>
      <c r="AH620" s="361"/>
      <c r="AI620" s="361"/>
      <c r="AJ620" s="333"/>
      <c r="AK620" s="333"/>
      <c r="AL620" s="333"/>
      <c r="AM620" s="333"/>
      <c r="AN620" s="333"/>
      <c r="AO620" s="333"/>
      <c r="AP620" s="333"/>
      <c r="AQ620" s="333"/>
      <c r="AR620" s="333"/>
      <c r="AS620" s="333"/>
      <c r="AT620" s="333"/>
      <c r="AU620" s="333"/>
      <c r="AV620" s="333"/>
      <c r="AW620" s="333"/>
      <c r="AX620" s="335"/>
      <c r="AY620" s="335"/>
      <c r="AZ620" s="335"/>
      <c r="BA620" s="333"/>
      <c r="BB620" s="333"/>
      <c r="BC620" s="333"/>
      <c r="BD620" s="333"/>
      <c r="BE620" s="333"/>
      <c r="BF620" s="333"/>
      <c r="BG620" s="333"/>
      <c r="BH620" s="333"/>
      <c r="BI620" s="333"/>
      <c r="BJ620" s="333"/>
      <c r="BK620" s="333"/>
      <c r="BL620" s="362"/>
      <c r="BM620" s="333"/>
      <c r="BN620" s="333"/>
      <c r="BO620" s="333"/>
      <c r="BP620" s="333"/>
      <c r="BQ620" s="333"/>
      <c r="BR620" s="333"/>
      <c r="BS620" s="333"/>
      <c r="BT620" s="333"/>
      <c r="BU620" s="333"/>
      <c r="BV620" s="333"/>
      <c r="BW620" s="333"/>
      <c r="BX620" s="333"/>
      <c r="BY620" s="333"/>
      <c r="BZ620" s="333"/>
      <c r="CA620" s="333"/>
      <c r="CB620" s="333"/>
      <c r="CC620" s="333"/>
      <c r="CD620" s="333"/>
      <c r="CE620" s="333"/>
      <c r="CF620" s="333"/>
      <c r="CG620" s="333"/>
      <c r="CH620" s="333"/>
      <c r="CI620" s="333"/>
      <c r="CJ620" s="333"/>
      <c r="CK620" s="333"/>
      <c r="CL620" s="333"/>
      <c r="CM620" s="333"/>
      <c r="CN620" s="333"/>
      <c r="CO620" s="333"/>
      <c r="CP620" s="333"/>
      <c r="CQ620" s="333"/>
      <c r="CR620" s="333"/>
      <c r="CS620" s="333"/>
      <c r="CT620" s="333"/>
      <c r="CU620" s="333"/>
      <c r="CV620" s="333"/>
      <c r="CW620" s="333"/>
      <c r="CX620" s="333"/>
      <c r="CY620" s="333"/>
    </row>
    <row r="621" spans="1:103" x14ac:dyDescent="0.25">
      <c r="A621" s="333"/>
      <c r="B621" s="333"/>
      <c r="C621" s="333"/>
      <c r="D621" s="334"/>
      <c r="E621" s="333"/>
      <c r="F621" s="333"/>
      <c r="G621" s="333"/>
      <c r="H621" s="333"/>
      <c r="I621" s="333"/>
      <c r="J621" s="333"/>
      <c r="K621" s="333"/>
      <c r="L621" s="335"/>
      <c r="M621" s="335"/>
      <c r="N621" s="335"/>
      <c r="O621" s="335"/>
      <c r="P621" s="335"/>
      <c r="Q621" s="335"/>
      <c r="R621" s="335"/>
      <c r="S621" s="335"/>
      <c r="T621" s="335"/>
      <c r="U621" s="360"/>
      <c r="V621" s="360"/>
      <c r="W621" s="360"/>
      <c r="X621" s="333"/>
      <c r="Y621" s="333"/>
      <c r="Z621" s="333"/>
      <c r="AA621" s="333"/>
      <c r="AB621" s="333"/>
      <c r="AC621" s="333"/>
      <c r="AD621" s="333"/>
      <c r="AE621" s="333"/>
      <c r="AF621" s="333"/>
      <c r="AG621" s="333"/>
      <c r="AH621" s="361"/>
      <c r="AI621" s="361"/>
      <c r="AJ621" s="333"/>
      <c r="AK621" s="333"/>
      <c r="AL621" s="333"/>
      <c r="AM621" s="333"/>
      <c r="AN621" s="333"/>
      <c r="AO621" s="333"/>
      <c r="AP621" s="333"/>
      <c r="AQ621" s="333"/>
      <c r="AR621" s="333"/>
      <c r="AS621" s="333"/>
      <c r="AT621" s="333"/>
      <c r="AU621" s="333"/>
      <c r="AV621" s="333"/>
      <c r="AW621" s="333"/>
      <c r="AX621" s="335"/>
      <c r="AY621" s="335"/>
      <c r="AZ621" s="335"/>
      <c r="BA621" s="333"/>
      <c r="BB621" s="333"/>
      <c r="BC621" s="333"/>
      <c r="BD621" s="333"/>
      <c r="BE621" s="333"/>
      <c r="BF621" s="333"/>
      <c r="BG621" s="333"/>
      <c r="BH621" s="333"/>
      <c r="BI621" s="333"/>
      <c r="BJ621" s="333"/>
      <c r="BK621" s="333"/>
      <c r="BL621" s="362"/>
      <c r="BM621" s="333"/>
      <c r="BN621" s="333"/>
      <c r="BO621" s="333"/>
      <c r="BP621" s="333"/>
      <c r="BQ621" s="333"/>
      <c r="BR621" s="333"/>
      <c r="BS621" s="333"/>
      <c r="BT621" s="333"/>
      <c r="BU621" s="333"/>
      <c r="BV621" s="333"/>
      <c r="BW621" s="333"/>
      <c r="BX621" s="333"/>
      <c r="BY621" s="333"/>
      <c r="BZ621" s="333"/>
      <c r="CA621" s="333"/>
      <c r="CB621" s="333"/>
      <c r="CC621" s="333"/>
      <c r="CD621" s="333"/>
      <c r="CE621" s="333"/>
      <c r="CF621" s="333"/>
      <c r="CG621" s="333"/>
      <c r="CH621" s="333"/>
      <c r="CI621" s="333"/>
      <c r="CJ621" s="333"/>
      <c r="CK621" s="333"/>
      <c r="CL621" s="333"/>
      <c r="CM621" s="333"/>
      <c r="CN621" s="333"/>
      <c r="CO621" s="333"/>
      <c r="CP621" s="333"/>
      <c r="CQ621" s="333"/>
      <c r="CR621" s="333"/>
      <c r="CS621" s="333"/>
      <c r="CT621" s="333"/>
      <c r="CU621" s="333"/>
      <c r="CV621" s="333"/>
      <c r="CW621" s="333"/>
      <c r="CX621" s="333"/>
      <c r="CY621" s="333"/>
    </row>
    <row r="622" spans="1:103" x14ac:dyDescent="0.25">
      <c r="A622" s="333"/>
      <c r="B622" s="333"/>
      <c r="C622" s="333"/>
      <c r="D622" s="334"/>
      <c r="E622" s="333"/>
      <c r="F622" s="333"/>
      <c r="G622" s="333"/>
      <c r="H622" s="333"/>
      <c r="I622" s="333"/>
      <c r="J622" s="333"/>
      <c r="K622" s="333"/>
      <c r="L622" s="335"/>
      <c r="M622" s="335"/>
      <c r="N622" s="335"/>
      <c r="O622" s="335"/>
      <c r="P622" s="335"/>
      <c r="Q622" s="335"/>
      <c r="R622" s="335"/>
      <c r="S622" s="335"/>
      <c r="T622" s="335"/>
      <c r="U622" s="360"/>
      <c r="V622" s="360"/>
      <c r="W622" s="360"/>
      <c r="X622" s="333"/>
      <c r="Y622" s="333"/>
      <c r="Z622" s="333"/>
      <c r="AA622" s="333"/>
      <c r="AB622" s="333"/>
      <c r="AC622" s="333"/>
      <c r="AD622" s="333"/>
      <c r="AE622" s="333"/>
      <c r="AF622" s="333"/>
      <c r="AG622" s="333"/>
      <c r="AH622" s="361"/>
      <c r="AI622" s="361"/>
      <c r="AJ622" s="333"/>
      <c r="AK622" s="333"/>
      <c r="AL622" s="333"/>
      <c r="AM622" s="333"/>
      <c r="AN622" s="333"/>
      <c r="AO622" s="333"/>
      <c r="AP622" s="333"/>
      <c r="AQ622" s="333"/>
      <c r="AR622" s="333"/>
      <c r="AS622" s="333"/>
      <c r="AT622" s="333"/>
      <c r="AU622" s="333"/>
      <c r="AV622" s="333"/>
      <c r="AW622" s="333"/>
      <c r="AX622" s="335"/>
      <c r="AY622" s="335"/>
      <c r="AZ622" s="335"/>
      <c r="BA622" s="333"/>
      <c r="BB622" s="333"/>
      <c r="BC622" s="333"/>
      <c r="BD622" s="333"/>
      <c r="BE622" s="333"/>
      <c r="BF622" s="333"/>
      <c r="BG622" s="333"/>
      <c r="BH622" s="333"/>
      <c r="BI622" s="333"/>
      <c r="BJ622" s="333"/>
      <c r="BK622" s="333"/>
      <c r="BL622" s="362"/>
      <c r="BM622" s="333"/>
      <c r="BN622" s="333"/>
      <c r="BO622" s="333"/>
      <c r="BP622" s="333"/>
      <c r="BQ622" s="333"/>
      <c r="BR622" s="333"/>
      <c r="BS622" s="333"/>
      <c r="BT622" s="333"/>
      <c r="BU622" s="333"/>
      <c r="BV622" s="333"/>
      <c r="BW622" s="333"/>
      <c r="BX622" s="333"/>
      <c r="BY622" s="333"/>
      <c r="BZ622" s="333"/>
      <c r="CA622" s="333"/>
      <c r="CB622" s="333"/>
      <c r="CC622" s="333"/>
      <c r="CD622" s="333"/>
      <c r="CE622" s="333"/>
      <c r="CF622" s="333"/>
      <c r="CG622" s="333"/>
      <c r="CH622" s="333"/>
      <c r="CI622" s="333"/>
      <c r="CJ622" s="333"/>
      <c r="CK622" s="333"/>
      <c r="CL622" s="333"/>
      <c r="CM622" s="333"/>
      <c r="CN622" s="333"/>
      <c r="CO622" s="333"/>
      <c r="CP622" s="333"/>
      <c r="CQ622" s="333"/>
      <c r="CR622" s="333"/>
      <c r="CS622" s="333"/>
      <c r="CT622" s="333"/>
      <c r="CU622" s="333"/>
      <c r="CV622" s="333"/>
      <c r="CW622" s="333"/>
      <c r="CX622" s="333"/>
      <c r="CY622" s="333"/>
    </row>
    <row r="623" spans="1:103" x14ac:dyDescent="0.25">
      <c r="A623" s="333"/>
      <c r="B623" s="333"/>
      <c r="C623" s="333"/>
      <c r="D623" s="334"/>
      <c r="E623" s="333"/>
      <c r="F623" s="333"/>
      <c r="G623" s="333"/>
      <c r="H623" s="333"/>
      <c r="I623" s="333"/>
      <c r="J623" s="333"/>
      <c r="K623" s="333"/>
      <c r="L623" s="335"/>
      <c r="M623" s="335"/>
      <c r="N623" s="335"/>
      <c r="O623" s="335"/>
      <c r="P623" s="335"/>
      <c r="Q623" s="335"/>
      <c r="R623" s="335"/>
      <c r="S623" s="335"/>
      <c r="T623" s="335"/>
      <c r="U623" s="360"/>
      <c r="V623" s="360"/>
      <c r="W623" s="360"/>
      <c r="X623" s="333"/>
      <c r="Y623" s="333"/>
      <c r="Z623" s="333"/>
      <c r="AA623" s="333"/>
      <c r="AB623" s="333"/>
      <c r="AC623" s="333"/>
      <c r="AD623" s="333"/>
      <c r="AE623" s="333"/>
      <c r="AF623" s="333"/>
      <c r="AG623" s="333"/>
      <c r="AH623" s="361"/>
      <c r="AI623" s="361"/>
      <c r="AJ623" s="333"/>
      <c r="AK623" s="333"/>
      <c r="AL623" s="333"/>
      <c r="AM623" s="333"/>
      <c r="AN623" s="333"/>
      <c r="AO623" s="333"/>
      <c r="AP623" s="333"/>
      <c r="AQ623" s="333"/>
      <c r="AR623" s="333"/>
      <c r="AS623" s="333"/>
      <c r="AT623" s="333"/>
      <c r="AU623" s="333"/>
      <c r="AV623" s="333"/>
      <c r="AW623" s="333"/>
      <c r="AX623" s="335"/>
      <c r="AY623" s="335"/>
      <c r="AZ623" s="335"/>
      <c r="BA623" s="333"/>
      <c r="BB623" s="333"/>
      <c r="BC623" s="333"/>
      <c r="BD623" s="333"/>
      <c r="BE623" s="333"/>
      <c r="BF623" s="333"/>
      <c r="BG623" s="333"/>
      <c r="BH623" s="333"/>
      <c r="BI623" s="333"/>
      <c r="BJ623" s="333"/>
      <c r="BK623" s="333"/>
      <c r="BL623" s="362"/>
      <c r="BM623" s="333"/>
      <c r="BN623" s="333"/>
      <c r="BO623" s="333"/>
      <c r="BP623" s="333"/>
      <c r="BQ623" s="333"/>
      <c r="BR623" s="333"/>
      <c r="BS623" s="333"/>
      <c r="BT623" s="333"/>
      <c r="BU623" s="333"/>
      <c r="BV623" s="333"/>
      <c r="BW623" s="333"/>
      <c r="BX623" s="333"/>
      <c r="BY623" s="333"/>
      <c r="BZ623" s="333"/>
      <c r="CA623" s="333"/>
      <c r="CB623" s="333"/>
      <c r="CC623" s="333"/>
      <c r="CD623" s="333"/>
      <c r="CE623" s="333"/>
      <c r="CF623" s="333"/>
      <c r="CG623" s="333"/>
      <c r="CH623" s="333"/>
      <c r="CI623" s="333"/>
      <c r="CJ623" s="333"/>
      <c r="CK623" s="333"/>
      <c r="CL623" s="333"/>
      <c r="CM623" s="333"/>
      <c r="CN623" s="333"/>
      <c r="CO623" s="333"/>
      <c r="CP623" s="333"/>
      <c r="CQ623" s="333"/>
      <c r="CR623" s="333"/>
      <c r="CS623" s="333"/>
      <c r="CT623" s="333"/>
      <c r="CU623" s="333"/>
      <c r="CV623" s="333"/>
      <c r="CW623" s="333"/>
      <c r="CX623" s="333"/>
      <c r="CY623" s="333"/>
    </row>
    <row r="624" spans="1:103" x14ac:dyDescent="0.25">
      <c r="A624" s="333"/>
      <c r="B624" s="333"/>
      <c r="C624" s="333"/>
      <c r="D624" s="334"/>
      <c r="E624" s="333"/>
      <c r="F624" s="333"/>
      <c r="G624" s="333"/>
      <c r="H624" s="333"/>
      <c r="I624" s="333"/>
      <c r="J624" s="333"/>
      <c r="K624" s="333"/>
      <c r="L624" s="335"/>
      <c r="M624" s="335"/>
      <c r="N624" s="335"/>
      <c r="O624" s="335"/>
      <c r="P624" s="335"/>
      <c r="Q624" s="335"/>
      <c r="R624" s="335"/>
      <c r="S624" s="335"/>
      <c r="T624" s="335"/>
      <c r="U624" s="360"/>
      <c r="V624" s="360"/>
      <c r="W624" s="360"/>
      <c r="X624" s="333"/>
      <c r="Y624" s="333"/>
      <c r="Z624" s="333"/>
      <c r="AA624" s="333"/>
      <c r="AB624" s="333"/>
      <c r="AC624" s="333"/>
      <c r="AD624" s="333"/>
      <c r="AE624" s="333"/>
      <c r="AF624" s="333"/>
      <c r="AG624" s="333"/>
      <c r="AH624" s="361"/>
      <c r="AI624" s="361"/>
      <c r="AJ624" s="333"/>
      <c r="AK624" s="333"/>
      <c r="AL624" s="333"/>
      <c r="AM624" s="333"/>
      <c r="AN624" s="333"/>
      <c r="AO624" s="333"/>
      <c r="AP624" s="333"/>
      <c r="AQ624" s="333"/>
      <c r="AR624" s="333"/>
      <c r="AS624" s="333"/>
      <c r="AT624" s="333"/>
      <c r="AU624" s="333"/>
      <c r="AV624" s="333"/>
      <c r="AW624" s="333"/>
      <c r="AX624" s="335"/>
      <c r="AY624" s="335"/>
      <c r="AZ624" s="335"/>
      <c r="BA624" s="333"/>
      <c r="BB624" s="333"/>
      <c r="BC624" s="333"/>
      <c r="BD624" s="333"/>
      <c r="BE624" s="333"/>
      <c r="BF624" s="333"/>
      <c r="BG624" s="333"/>
      <c r="BH624" s="333"/>
      <c r="BI624" s="333"/>
      <c r="BJ624" s="333"/>
      <c r="BK624" s="333"/>
      <c r="BL624" s="362"/>
      <c r="BM624" s="333"/>
      <c r="BN624" s="333"/>
      <c r="BO624" s="333"/>
      <c r="BP624" s="333"/>
      <c r="BQ624" s="333"/>
      <c r="BR624" s="333"/>
      <c r="BS624" s="333"/>
      <c r="BT624" s="333"/>
      <c r="BU624" s="333"/>
      <c r="BV624" s="333"/>
      <c r="BW624" s="333"/>
      <c r="BX624" s="333"/>
      <c r="BY624" s="333"/>
      <c r="BZ624" s="333"/>
      <c r="CA624" s="333"/>
      <c r="CB624" s="333"/>
      <c r="CC624" s="333"/>
      <c r="CD624" s="333"/>
      <c r="CE624" s="333"/>
      <c r="CF624" s="333"/>
      <c r="CG624" s="333"/>
      <c r="CH624" s="333"/>
      <c r="CI624" s="333"/>
      <c r="CJ624" s="333"/>
      <c r="CK624" s="333"/>
      <c r="CL624" s="333"/>
      <c r="CM624" s="333"/>
      <c r="CN624" s="333"/>
      <c r="CO624" s="333"/>
      <c r="CP624" s="333"/>
      <c r="CQ624" s="333"/>
      <c r="CR624" s="333"/>
      <c r="CS624" s="333"/>
      <c r="CT624" s="333"/>
      <c r="CU624" s="333"/>
      <c r="CV624" s="333"/>
      <c r="CW624" s="333"/>
      <c r="CX624" s="333"/>
      <c r="CY624" s="333"/>
    </row>
    <row r="625" spans="1:103" x14ac:dyDescent="0.25">
      <c r="A625" s="333"/>
      <c r="B625" s="333"/>
      <c r="C625" s="333"/>
      <c r="D625" s="334"/>
      <c r="E625" s="333"/>
      <c r="F625" s="333"/>
      <c r="G625" s="333"/>
      <c r="H625" s="333"/>
      <c r="I625" s="333"/>
      <c r="J625" s="333"/>
      <c r="K625" s="333"/>
      <c r="L625" s="335"/>
      <c r="M625" s="335"/>
      <c r="N625" s="335"/>
      <c r="O625" s="335"/>
      <c r="P625" s="335"/>
      <c r="Q625" s="335"/>
      <c r="R625" s="335"/>
      <c r="S625" s="335"/>
      <c r="T625" s="335"/>
      <c r="U625" s="360"/>
      <c r="V625" s="360"/>
      <c r="W625" s="360"/>
      <c r="X625" s="333"/>
      <c r="Y625" s="333"/>
      <c r="Z625" s="333"/>
      <c r="AA625" s="333"/>
      <c r="AB625" s="333"/>
      <c r="AC625" s="333"/>
      <c r="AD625" s="333"/>
      <c r="AE625" s="333"/>
      <c r="AF625" s="333"/>
      <c r="AG625" s="333"/>
      <c r="AH625" s="361"/>
      <c r="AI625" s="361"/>
      <c r="AJ625" s="333"/>
      <c r="AK625" s="333"/>
      <c r="AL625" s="333"/>
      <c r="AM625" s="333"/>
      <c r="AN625" s="333"/>
      <c r="AO625" s="333"/>
      <c r="AP625" s="333"/>
      <c r="AQ625" s="333"/>
      <c r="AR625" s="333"/>
      <c r="AS625" s="333"/>
      <c r="AT625" s="333"/>
      <c r="AU625" s="333"/>
      <c r="AV625" s="333"/>
      <c r="AW625" s="333"/>
      <c r="AX625" s="335"/>
      <c r="AY625" s="335"/>
      <c r="AZ625" s="335"/>
      <c r="BA625" s="333"/>
      <c r="BB625" s="333"/>
      <c r="BC625" s="333"/>
      <c r="BD625" s="333"/>
      <c r="BE625" s="333"/>
      <c r="BF625" s="333"/>
      <c r="BG625" s="333"/>
      <c r="BH625" s="333"/>
      <c r="BI625" s="333"/>
      <c r="BJ625" s="333"/>
      <c r="BK625" s="333"/>
      <c r="BL625" s="362"/>
      <c r="BM625" s="333"/>
      <c r="BN625" s="333"/>
      <c r="BO625" s="333"/>
      <c r="BP625" s="333"/>
      <c r="BQ625" s="333"/>
      <c r="BR625" s="333"/>
      <c r="BS625" s="333"/>
      <c r="BT625" s="333"/>
      <c r="BU625" s="333"/>
      <c r="BV625" s="333"/>
      <c r="BW625" s="333"/>
      <c r="BX625" s="333"/>
      <c r="BY625" s="333"/>
      <c r="BZ625" s="333"/>
      <c r="CA625" s="333"/>
      <c r="CB625" s="333"/>
      <c r="CC625" s="333"/>
      <c r="CD625" s="333"/>
      <c r="CE625" s="333"/>
      <c r="CF625" s="333"/>
      <c r="CG625" s="333"/>
      <c r="CH625" s="333"/>
      <c r="CI625" s="333"/>
      <c r="CJ625" s="333"/>
      <c r="CK625" s="333"/>
      <c r="CL625" s="333"/>
      <c r="CM625" s="333"/>
      <c r="CN625" s="333"/>
      <c r="CO625" s="333"/>
      <c r="CP625" s="333"/>
      <c r="CQ625" s="333"/>
      <c r="CR625" s="333"/>
      <c r="CS625" s="333"/>
      <c r="CT625" s="333"/>
      <c r="CU625" s="333"/>
      <c r="CV625" s="333"/>
      <c r="CW625" s="333"/>
      <c r="CX625" s="333"/>
      <c r="CY625" s="333"/>
    </row>
    <row r="626" spans="1:103" x14ac:dyDescent="0.25">
      <c r="A626" s="333"/>
      <c r="B626" s="333"/>
      <c r="C626" s="333"/>
      <c r="D626" s="334"/>
      <c r="E626" s="333"/>
      <c r="F626" s="333"/>
      <c r="G626" s="333"/>
      <c r="H626" s="333"/>
      <c r="I626" s="333"/>
      <c r="J626" s="333"/>
      <c r="K626" s="333"/>
      <c r="L626" s="335"/>
      <c r="M626" s="335"/>
      <c r="N626" s="335"/>
      <c r="O626" s="335"/>
      <c r="P626" s="335"/>
      <c r="Q626" s="335"/>
      <c r="R626" s="335"/>
      <c r="S626" s="335"/>
      <c r="T626" s="335"/>
      <c r="U626" s="360"/>
      <c r="V626" s="360"/>
      <c r="W626" s="360"/>
      <c r="X626" s="333"/>
      <c r="Y626" s="333"/>
      <c r="Z626" s="333"/>
      <c r="AA626" s="333"/>
      <c r="AB626" s="333"/>
      <c r="AC626" s="333"/>
      <c r="AD626" s="333"/>
      <c r="AE626" s="333"/>
      <c r="AF626" s="333"/>
      <c r="AG626" s="333"/>
      <c r="AH626" s="361"/>
      <c r="AI626" s="361"/>
      <c r="AJ626" s="333"/>
      <c r="AK626" s="333"/>
      <c r="AL626" s="333"/>
      <c r="AM626" s="333"/>
      <c r="AN626" s="333"/>
      <c r="AO626" s="333"/>
      <c r="AP626" s="333"/>
      <c r="AQ626" s="333"/>
      <c r="AR626" s="333"/>
      <c r="AS626" s="333"/>
      <c r="AT626" s="333"/>
      <c r="AU626" s="333"/>
      <c r="AV626" s="333"/>
      <c r="AW626" s="333"/>
      <c r="AX626" s="335"/>
      <c r="AY626" s="335"/>
      <c r="AZ626" s="335"/>
      <c r="BA626" s="333"/>
      <c r="BB626" s="333"/>
      <c r="BC626" s="333"/>
      <c r="BD626" s="333"/>
      <c r="BE626" s="333"/>
      <c r="BF626" s="333"/>
      <c r="BG626" s="333"/>
      <c r="BH626" s="333"/>
      <c r="BI626" s="333"/>
      <c r="BJ626" s="333"/>
      <c r="BK626" s="333"/>
      <c r="BL626" s="362"/>
      <c r="BM626" s="333"/>
      <c r="BN626" s="333"/>
      <c r="BO626" s="333"/>
      <c r="BP626" s="333"/>
      <c r="BQ626" s="333"/>
      <c r="BR626" s="333"/>
      <c r="BS626" s="333"/>
      <c r="BT626" s="333"/>
      <c r="BU626" s="333"/>
      <c r="BV626" s="333"/>
      <c r="BW626" s="333"/>
      <c r="BX626" s="333"/>
      <c r="BY626" s="333"/>
      <c r="BZ626" s="333"/>
      <c r="CA626" s="333"/>
      <c r="CB626" s="333"/>
      <c r="CC626" s="333"/>
      <c r="CD626" s="333"/>
      <c r="CE626" s="333"/>
      <c r="CF626" s="333"/>
      <c r="CG626" s="333"/>
      <c r="CH626" s="333"/>
      <c r="CI626" s="333"/>
      <c r="CJ626" s="333"/>
      <c r="CK626" s="333"/>
      <c r="CL626" s="333"/>
      <c r="CM626" s="333"/>
      <c r="CN626" s="333"/>
      <c r="CO626" s="333"/>
      <c r="CP626" s="333"/>
      <c r="CQ626" s="333"/>
      <c r="CR626" s="333"/>
      <c r="CS626" s="333"/>
      <c r="CT626" s="333"/>
      <c r="CU626" s="333"/>
      <c r="CV626" s="333"/>
      <c r="CW626" s="333"/>
      <c r="CX626" s="333"/>
      <c r="CY626" s="333"/>
    </row>
    <row r="627" spans="1:103" x14ac:dyDescent="0.25">
      <c r="A627" s="333"/>
      <c r="B627" s="333"/>
      <c r="C627" s="333"/>
      <c r="D627" s="334"/>
      <c r="E627" s="333"/>
      <c r="F627" s="333"/>
      <c r="G627" s="333"/>
      <c r="H627" s="333"/>
      <c r="I627" s="333"/>
      <c r="J627" s="333"/>
      <c r="K627" s="333"/>
      <c r="L627" s="335"/>
      <c r="M627" s="335"/>
      <c r="N627" s="335"/>
      <c r="O627" s="335"/>
      <c r="P627" s="335"/>
      <c r="Q627" s="335"/>
      <c r="R627" s="335"/>
      <c r="S627" s="335"/>
      <c r="T627" s="335"/>
      <c r="U627" s="360"/>
      <c r="V627" s="360"/>
      <c r="W627" s="360"/>
      <c r="X627" s="333"/>
      <c r="Y627" s="333"/>
      <c r="Z627" s="333"/>
      <c r="AA627" s="333"/>
      <c r="AB627" s="333"/>
      <c r="AC627" s="333"/>
      <c r="AD627" s="333"/>
      <c r="AE627" s="333"/>
      <c r="AF627" s="333"/>
      <c r="AG627" s="333"/>
      <c r="AH627" s="361"/>
      <c r="AI627" s="361"/>
      <c r="AJ627" s="333"/>
      <c r="AK627" s="333"/>
      <c r="AL627" s="333"/>
      <c r="AM627" s="333"/>
      <c r="AN627" s="333"/>
      <c r="AO627" s="333"/>
      <c r="AP627" s="333"/>
      <c r="AQ627" s="333"/>
      <c r="AR627" s="333"/>
      <c r="AS627" s="333"/>
      <c r="AT627" s="333"/>
      <c r="AU627" s="333"/>
      <c r="AV627" s="333"/>
      <c r="AW627" s="333"/>
      <c r="AX627" s="335"/>
      <c r="AY627" s="335"/>
      <c r="AZ627" s="335"/>
      <c r="BA627" s="333"/>
      <c r="BB627" s="333"/>
      <c r="BC627" s="333"/>
      <c r="BD627" s="333"/>
      <c r="BE627" s="333"/>
      <c r="BF627" s="333"/>
      <c r="BG627" s="333"/>
      <c r="BH627" s="333"/>
      <c r="BI627" s="333"/>
      <c r="BJ627" s="333"/>
      <c r="BK627" s="333"/>
      <c r="BL627" s="362"/>
      <c r="BM627" s="333"/>
      <c r="BN627" s="333"/>
      <c r="BO627" s="333"/>
      <c r="BP627" s="333"/>
      <c r="BQ627" s="333"/>
      <c r="BR627" s="333"/>
      <c r="BS627" s="333"/>
      <c r="BT627" s="333"/>
      <c r="BU627" s="333"/>
      <c r="BV627" s="333"/>
      <c r="BW627" s="333"/>
      <c r="BX627" s="333"/>
      <c r="BY627" s="333"/>
      <c r="BZ627" s="333"/>
      <c r="CA627" s="333"/>
      <c r="CB627" s="333"/>
      <c r="CC627" s="333"/>
      <c r="CD627" s="333"/>
      <c r="CE627" s="333"/>
      <c r="CF627" s="333"/>
      <c r="CG627" s="333"/>
      <c r="CH627" s="333"/>
      <c r="CI627" s="333"/>
      <c r="CJ627" s="333"/>
      <c r="CK627" s="333"/>
      <c r="CL627" s="333"/>
      <c r="CM627" s="333"/>
      <c r="CN627" s="333"/>
      <c r="CO627" s="333"/>
      <c r="CP627" s="333"/>
      <c r="CQ627" s="333"/>
      <c r="CR627" s="333"/>
      <c r="CS627" s="333"/>
      <c r="CT627" s="333"/>
      <c r="CU627" s="333"/>
      <c r="CV627" s="333"/>
      <c r="CW627" s="333"/>
      <c r="CX627" s="333"/>
      <c r="CY627" s="333"/>
    </row>
    <row r="628" spans="1:103" x14ac:dyDescent="0.25">
      <c r="A628" s="333"/>
      <c r="B628" s="333"/>
      <c r="C628" s="333"/>
      <c r="D628" s="334"/>
      <c r="E628" s="333"/>
      <c r="F628" s="333"/>
      <c r="G628" s="333"/>
      <c r="H628" s="333"/>
      <c r="I628" s="333"/>
      <c r="J628" s="333"/>
      <c r="K628" s="333"/>
      <c r="L628" s="335"/>
      <c r="M628" s="335"/>
      <c r="N628" s="335"/>
      <c r="O628" s="335"/>
      <c r="P628" s="335"/>
      <c r="Q628" s="335"/>
      <c r="R628" s="335"/>
      <c r="S628" s="335"/>
      <c r="T628" s="335"/>
      <c r="U628" s="360"/>
      <c r="V628" s="360"/>
      <c r="W628" s="360"/>
      <c r="X628" s="333"/>
      <c r="Y628" s="333"/>
      <c r="Z628" s="333"/>
      <c r="AA628" s="333"/>
      <c r="AB628" s="333"/>
      <c r="AC628" s="333"/>
      <c r="AD628" s="333"/>
      <c r="AE628" s="333"/>
      <c r="AF628" s="333"/>
      <c r="AG628" s="333"/>
      <c r="AH628" s="361"/>
      <c r="AI628" s="361"/>
      <c r="AJ628" s="333"/>
      <c r="AK628" s="333"/>
      <c r="AL628" s="333"/>
      <c r="AM628" s="333"/>
      <c r="AN628" s="333"/>
      <c r="AO628" s="333"/>
      <c r="AP628" s="333"/>
      <c r="AQ628" s="333"/>
      <c r="AR628" s="333"/>
      <c r="AS628" s="333"/>
      <c r="AT628" s="333"/>
      <c r="AU628" s="333"/>
      <c r="AV628" s="333"/>
      <c r="AW628" s="333"/>
      <c r="AX628" s="335"/>
      <c r="AY628" s="335"/>
      <c r="AZ628" s="335"/>
      <c r="BA628" s="333"/>
      <c r="BB628" s="333"/>
      <c r="BC628" s="333"/>
      <c r="BD628" s="333"/>
      <c r="BE628" s="333"/>
      <c r="BF628" s="333"/>
      <c r="BG628" s="333"/>
      <c r="BH628" s="333"/>
      <c r="BI628" s="333"/>
      <c r="BJ628" s="333"/>
      <c r="BK628" s="333"/>
      <c r="BL628" s="362"/>
      <c r="BM628" s="333"/>
      <c r="BN628" s="333"/>
      <c r="BO628" s="333"/>
      <c r="BP628" s="333"/>
      <c r="BQ628" s="333"/>
      <c r="BR628" s="333"/>
      <c r="BS628" s="333"/>
      <c r="BT628" s="333"/>
      <c r="BU628" s="333"/>
      <c r="BV628" s="333"/>
      <c r="BW628" s="333"/>
      <c r="BX628" s="333"/>
      <c r="BY628" s="333"/>
      <c r="BZ628" s="333"/>
      <c r="CA628" s="333"/>
      <c r="CB628" s="333"/>
      <c r="CC628" s="333"/>
      <c r="CD628" s="333"/>
      <c r="CE628" s="333"/>
      <c r="CF628" s="333"/>
      <c r="CG628" s="333"/>
      <c r="CH628" s="333"/>
      <c r="CI628" s="333"/>
      <c r="CJ628" s="333"/>
      <c r="CK628" s="333"/>
      <c r="CL628" s="333"/>
      <c r="CM628" s="333"/>
      <c r="CN628" s="333"/>
      <c r="CO628" s="333"/>
      <c r="CP628" s="333"/>
      <c r="CQ628" s="333"/>
      <c r="CR628" s="333"/>
      <c r="CS628" s="333"/>
      <c r="CT628" s="333"/>
      <c r="CU628" s="333"/>
      <c r="CV628" s="333"/>
      <c r="CW628" s="333"/>
      <c r="CX628" s="333"/>
      <c r="CY628" s="333"/>
    </row>
    <row r="629" spans="1:103" x14ac:dyDescent="0.25">
      <c r="A629" s="333"/>
      <c r="B629" s="333"/>
      <c r="C629" s="333"/>
      <c r="D629" s="334"/>
      <c r="E629" s="333"/>
      <c r="F629" s="333"/>
      <c r="G629" s="333"/>
      <c r="H629" s="333"/>
      <c r="I629" s="333"/>
      <c r="J629" s="333"/>
      <c r="K629" s="333"/>
      <c r="L629" s="335"/>
      <c r="M629" s="335"/>
      <c r="N629" s="335"/>
      <c r="O629" s="335"/>
      <c r="P629" s="335"/>
      <c r="Q629" s="335"/>
      <c r="R629" s="335"/>
      <c r="S629" s="335"/>
      <c r="T629" s="335"/>
      <c r="U629" s="360"/>
      <c r="V629" s="360"/>
      <c r="W629" s="360"/>
      <c r="X629" s="333"/>
      <c r="Y629" s="333"/>
      <c r="Z629" s="333"/>
      <c r="AA629" s="333"/>
      <c r="AB629" s="333"/>
      <c r="AC629" s="333"/>
      <c r="AD629" s="333"/>
      <c r="AE629" s="333"/>
      <c r="AF629" s="333"/>
      <c r="AG629" s="333"/>
      <c r="AH629" s="361"/>
      <c r="AI629" s="361"/>
      <c r="AJ629" s="333"/>
      <c r="AK629" s="333"/>
      <c r="AL629" s="333"/>
      <c r="AM629" s="333"/>
      <c r="AN629" s="333"/>
      <c r="AO629" s="333"/>
      <c r="AP629" s="333"/>
      <c r="AQ629" s="333"/>
      <c r="AR629" s="333"/>
      <c r="AS629" s="333"/>
      <c r="AT629" s="333"/>
      <c r="AU629" s="333"/>
      <c r="AV629" s="333"/>
      <c r="AW629" s="333"/>
      <c r="AX629" s="335"/>
      <c r="AY629" s="335"/>
      <c r="AZ629" s="335"/>
      <c r="BA629" s="333"/>
      <c r="BB629" s="333"/>
      <c r="BC629" s="333"/>
      <c r="BD629" s="333"/>
      <c r="BE629" s="333"/>
      <c r="BF629" s="333"/>
      <c r="BG629" s="333"/>
      <c r="BH629" s="333"/>
      <c r="BI629" s="333"/>
      <c r="BJ629" s="333"/>
      <c r="BK629" s="333"/>
      <c r="BL629" s="362"/>
      <c r="BM629" s="333"/>
      <c r="BN629" s="333"/>
      <c r="BO629" s="333"/>
      <c r="BP629" s="333"/>
      <c r="BQ629" s="333"/>
      <c r="BR629" s="333"/>
      <c r="BS629" s="333"/>
      <c r="BT629" s="333"/>
      <c r="BU629" s="333"/>
      <c r="BV629" s="333"/>
      <c r="BW629" s="333"/>
      <c r="BX629" s="333"/>
      <c r="BY629" s="333"/>
      <c r="BZ629" s="333"/>
      <c r="CA629" s="333"/>
      <c r="CB629" s="333"/>
      <c r="CC629" s="333"/>
      <c r="CD629" s="333"/>
      <c r="CE629" s="333"/>
      <c r="CF629" s="333"/>
      <c r="CG629" s="333"/>
      <c r="CH629" s="333"/>
      <c r="CI629" s="333"/>
      <c r="CJ629" s="333"/>
      <c r="CK629" s="333"/>
      <c r="CL629" s="333"/>
      <c r="CM629" s="333"/>
      <c r="CN629" s="333"/>
      <c r="CO629" s="333"/>
      <c r="CP629" s="333"/>
      <c r="CQ629" s="333"/>
      <c r="CR629" s="333"/>
      <c r="CS629" s="333"/>
      <c r="CT629" s="333"/>
      <c r="CU629" s="333"/>
      <c r="CV629" s="333"/>
      <c r="CW629" s="333"/>
      <c r="CX629" s="333"/>
      <c r="CY629" s="333"/>
    </row>
    <row r="630" spans="1:103" x14ac:dyDescent="0.25">
      <c r="A630" s="333"/>
      <c r="B630" s="333"/>
      <c r="C630" s="333"/>
      <c r="D630" s="334"/>
      <c r="E630" s="333"/>
      <c r="F630" s="333"/>
      <c r="G630" s="333"/>
      <c r="H630" s="333"/>
      <c r="I630" s="333"/>
      <c r="J630" s="333"/>
      <c r="K630" s="333"/>
      <c r="L630" s="335"/>
      <c r="M630" s="335"/>
      <c r="N630" s="335"/>
      <c r="O630" s="335"/>
      <c r="P630" s="335"/>
      <c r="Q630" s="335"/>
      <c r="R630" s="335"/>
      <c r="S630" s="335"/>
      <c r="T630" s="335"/>
      <c r="U630" s="360"/>
      <c r="V630" s="360"/>
      <c r="W630" s="360"/>
      <c r="X630" s="333"/>
      <c r="Y630" s="333"/>
      <c r="Z630" s="333"/>
      <c r="AA630" s="333"/>
      <c r="AB630" s="333"/>
      <c r="AC630" s="333"/>
      <c r="AD630" s="333"/>
      <c r="AE630" s="333"/>
      <c r="AF630" s="333"/>
      <c r="AG630" s="333"/>
      <c r="AH630" s="361"/>
      <c r="AI630" s="361"/>
      <c r="AJ630" s="333"/>
      <c r="AK630" s="333"/>
      <c r="AL630" s="333"/>
      <c r="AM630" s="333"/>
      <c r="AN630" s="333"/>
      <c r="AO630" s="333"/>
      <c r="AP630" s="333"/>
      <c r="AQ630" s="333"/>
      <c r="AR630" s="333"/>
      <c r="AS630" s="333"/>
      <c r="AT630" s="333"/>
      <c r="AU630" s="333"/>
      <c r="AV630" s="333"/>
      <c r="AW630" s="333"/>
      <c r="AX630" s="335"/>
      <c r="AY630" s="335"/>
      <c r="AZ630" s="335"/>
      <c r="BA630" s="333"/>
      <c r="BB630" s="333"/>
      <c r="BC630" s="333"/>
      <c r="BD630" s="333"/>
      <c r="BE630" s="333"/>
      <c r="BF630" s="333"/>
      <c r="BG630" s="333"/>
      <c r="BH630" s="333"/>
      <c r="BI630" s="333"/>
      <c r="BJ630" s="333"/>
      <c r="BK630" s="333"/>
      <c r="BL630" s="362"/>
      <c r="BM630" s="333"/>
      <c r="BN630" s="333"/>
      <c r="BO630" s="333"/>
      <c r="BP630" s="333"/>
      <c r="BQ630" s="333"/>
      <c r="BR630" s="333"/>
      <c r="BS630" s="333"/>
      <c r="BT630" s="333"/>
      <c r="BU630" s="333"/>
      <c r="BV630" s="333"/>
      <c r="BW630" s="333"/>
      <c r="BX630" s="333"/>
      <c r="BY630" s="333"/>
      <c r="BZ630" s="333"/>
      <c r="CA630" s="333"/>
      <c r="CB630" s="333"/>
      <c r="CC630" s="333"/>
      <c r="CD630" s="333"/>
      <c r="CE630" s="333"/>
      <c r="CF630" s="333"/>
      <c r="CG630" s="333"/>
      <c r="CH630" s="333"/>
      <c r="CI630" s="333"/>
      <c r="CJ630" s="333"/>
      <c r="CK630" s="333"/>
      <c r="CL630" s="333"/>
      <c r="CM630" s="333"/>
      <c r="CN630" s="333"/>
      <c r="CO630" s="333"/>
      <c r="CP630" s="333"/>
      <c r="CQ630" s="333"/>
      <c r="CR630" s="333"/>
      <c r="CS630" s="333"/>
      <c r="CT630" s="333"/>
      <c r="CU630" s="333"/>
      <c r="CV630" s="333"/>
      <c r="CW630" s="333"/>
      <c r="CX630" s="333"/>
      <c r="CY630" s="333"/>
    </row>
    <row r="631" spans="1:103" x14ac:dyDescent="0.25">
      <c r="A631" s="333"/>
      <c r="B631" s="333"/>
      <c r="C631" s="333"/>
      <c r="D631" s="334"/>
      <c r="E631" s="333"/>
      <c r="F631" s="333"/>
      <c r="G631" s="333"/>
      <c r="H631" s="333"/>
      <c r="I631" s="333"/>
      <c r="J631" s="333"/>
      <c r="K631" s="333"/>
      <c r="L631" s="335"/>
      <c r="M631" s="335"/>
      <c r="N631" s="335"/>
      <c r="O631" s="335"/>
      <c r="P631" s="335"/>
      <c r="Q631" s="335"/>
      <c r="R631" s="335"/>
      <c r="S631" s="335"/>
      <c r="T631" s="335"/>
      <c r="U631" s="360"/>
      <c r="V631" s="360"/>
      <c r="W631" s="360"/>
      <c r="X631" s="333"/>
      <c r="Y631" s="333"/>
      <c r="Z631" s="333"/>
      <c r="AA631" s="333"/>
      <c r="AB631" s="333"/>
      <c r="AC631" s="333"/>
      <c r="AD631" s="333"/>
      <c r="AE631" s="333"/>
      <c r="AF631" s="333"/>
      <c r="AG631" s="333"/>
      <c r="AH631" s="361"/>
      <c r="AI631" s="361"/>
      <c r="AJ631" s="333"/>
      <c r="AK631" s="333"/>
      <c r="AL631" s="333"/>
      <c r="AM631" s="333"/>
      <c r="AN631" s="333"/>
      <c r="AO631" s="333"/>
      <c r="AP631" s="333"/>
      <c r="AQ631" s="333"/>
      <c r="AR631" s="333"/>
      <c r="AS631" s="333"/>
      <c r="AT631" s="333"/>
      <c r="AU631" s="333"/>
      <c r="AV631" s="333"/>
      <c r="AW631" s="333"/>
      <c r="AX631" s="335"/>
      <c r="AY631" s="335"/>
      <c r="AZ631" s="335"/>
      <c r="BA631" s="333"/>
      <c r="BB631" s="333"/>
      <c r="BC631" s="333"/>
      <c r="BD631" s="333"/>
      <c r="BE631" s="333"/>
      <c r="BF631" s="333"/>
      <c r="BG631" s="333"/>
      <c r="BH631" s="333"/>
      <c r="BI631" s="333"/>
      <c r="BJ631" s="333"/>
      <c r="BK631" s="333"/>
      <c r="BL631" s="362"/>
      <c r="BM631" s="333"/>
      <c r="BN631" s="333"/>
      <c r="BO631" s="333"/>
      <c r="BP631" s="333"/>
      <c r="BQ631" s="333"/>
      <c r="BR631" s="333"/>
      <c r="BS631" s="333"/>
      <c r="BT631" s="333"/>
      <c r="BU631" s="333"/>
      <c r="BV631" s="333"/>
      <c r="BW631" s="333"/>
      <c r="BX631" s="333"/>
      <c r="BY631" s="333"/>
      <c r="BZ631" s="333"/>
      <c r="CA631" s="333"/>
      <c r="CB631" s="333"/>
      <c r="CC631" s="333"/>
      <c r="CD631" s="333"/>
      <c r="CE631" s="333"/>
      <c r="CF631" s="333"/>
      <c r="CG631" s="333"/>
      <c r="CH631" s="333"/>
      <c r="CI631" s="333"/>
      <c r="CJ631" s="333"/>
      <c r="CK631" s="333"/>
      <c r="CL631" s="333"/>
      <c r="CM631" s="333"/>
      <c r="CN631" s="333"/>
      <c r="CO631" s="333"/>
      <c r="CP631" s="333"/>
      <c r="CQ631" s="333"/>
      <c r="CR631" s="333"/>
      <c r="CS631" s="333"/>
      <c r="CT631" s="333"/>
      <c r="CU631" s="333"/>
      <c r="CV631" s="333"/>
      <c r="CW631" s="333"/>
      <c r="CX631" s="333"/>
      <c r="CY631" s="333"/>
    </row>
    <row r="632" spans="1:103" x14ac:dyDescent="0.25">
      <c r="A632" s="333"/>
      <c r="B632" s="333"/>
      <c r="C632" s="333"/>
      <c r="D632" s="334"/>
      <c r="E632" s="333"/>
      <c r="F632" s="333"/>
      <c r="G632" s="333"/>
      <c r="H632" s="333"/>
      <c r="I632" s="333"/>
      <c r="J632" s="333"/>
      <c r="K632" s="333"/>
      <c r="L632" s="335"/>
      <c r="M632" s="335"/>
      <c r="N632" s="335"/>
      <c r="O632" s="335"/>
      <c r="P632" s="335"/>
      <c r="Q632" s="335"/>
      <c r="R632" s="335"/>
      <c r="S632" s="335"/>
      <c r="T632" s="335"/>
      <c r="U632" s="360"/>
      <c r="V632" s="360"/>
      <c r="W632" s="360"/>
      <c r="X632" s="333"/>
      <c r="Y632" s="333"/>
      <c r="Z632" s="333"/>
      <c r="AA632" s="333"/>
      <c r="AB632" s="333"/>
      <c r="AC632" s="333"/>
      <c r="AD632" s="333"/>
      <c r="AE632" s="333"/>
      <c r="AF632" s="333"/>
      <c r="AG632" s="333"/>
      <c r="AH632" s="361"/>
      <c r="AI632" s="361"/>
      <c r="AJ632" s="333"/>
      <c r="AK632" s="333"/>
      <c r="AL632" s="333"/>
      <c r="AM632" s="333"/>
      <c r="AN632" s="333"/>
      <c r="AO632" s="333"/>
      <c r="AP632" s="333"/>
      <c r="AQ632" s="333"/>
      <c r="AR632" s="333"/>
      <c r="AS632" s="333"/>
      <c r="AT632" s="333"/>
      <c r="AU632" s="333"/>
      <c r="AV632" s="333"/>
      <c r="AW632" s="333"/>
      <c r="AX632" s="335"/>
      <c r="AY632" s="335"/>
      <c r="AZ632" s="335"/>
      <c r="BA632" s="333"/>
      <c r="BB632" s="333"/>
      <c r="BC632" s="333"/>
      <c r="BD632" s="333"/>
      <c r="BE632" s="333"/>
      <c r="BF632" s="333"/>
      <c r="BG632" s="333"/>
      <c r="BH632" s="333"/>
      <c r="BI632" s="333"/>
      <c r="BJ632" s="333"/>
      <c r="BK632" s="333"/>
      <c r="BL632" s="362"/>
      <c r="BM632" s="333"/>
      <c r="BN632" s="333"/>
      <c r="BO632" s="333"/>
      <c r="BP632" s="333"/>
      <c r="BQ632" s="333"/>
      <c r="BR632" s="333"/>
      <c r="BS632" s="333"/>
      <c r="BT632" s="333"/>
      <c r="BU632" s="333"/>
      <c r="BV632" s="333"/>
      <c r="BW632" s="333"/>
      <c r="BX632" s="333"/>
      <c r="BY632" s="333"/>
      <c r="BZ632" s="333"/>
      <c r="CA632" s="333"/>
      <c r="CB632" s="333"/>
      <c r="CC632" s="333"/>
      <c r="CD632" s="333"/>
      <c r="CE632" s="333"/>
      <c r="CF632" s="333"/>
      <c r="CG632" s="333"/>
      <c r="CH632" s="333"/>
      <c r="CI632" s="333"/>
      <c r="CJ632" s="333"/>
      <c r="CK632" s="333"/>
      <c r="CL632" s="333"/>
      <c r="CM632" s="333"/>
      <c r="CN632" s="333"/>
      <c r="CO632" s="333"/>
      <c r="CP632" s="333"/>
      <c r="CQ632" s="333"/>
      <c r="CR632" s="333"/>
      <c r="CS632" s="333"/>
      <c r="CT632" s="333"/>
      <c r="CU632" s="333"/>
      <c r="CV632" s="333"/>
      <c r="CW632" s="333"/>
      <c r="CX632" s="333"/>
      <c r="CY632" s="333"/>
    </row>
    <row r="633" spans="1:103" x14ac:dyDescent="0.25">
      <c r="A633" s="333"/>
      <c r="B633" s="333"/>
      <c r="C633" s="333"/>
      <c r="D633" s="334"/>
      <c r="E633" s="333"/>
      <c r="F633" s="333"/>
      <c r="G633" s="333"/>
      <c r="H633" s="333"/>
      <c r="I633" s="333"/>
      <c r="J633" s="333"/>
      <c r="K633" s="333"/>
      <c r="L633" s="335"/>
      <c r="M633" s="335"/>
      <c r="N633" s="335"/>
      <c r="O633" s="335"/>
      <c r="P633" s="335"/>
      <c r="Q633" s="335"/>
      <c r="R633" s="335"/>
      <c r="S633" s="335"/>
      <c r="T633" s="335"/>
      <c r="U633" s="360"/>
      <c r="V633" s="360"/>
      <c r="W633" s="360"/>
      <c r="X633" s="333"/>
      <c r="Y633" s="333"/>
      <c r="Z633" s="333"/>
      <c r="AA633" s="333"/>
      <c r="AB633" s="333"/>
      <c r="AC633" s="333"/>
      <c r="AD633" s="333"/>
      <c r="AE633" s="333"/>
      <c r="AF633" s="333"/>
      <c r="AG633" s="333"/>
      <c r="AH633" s="361"/>
      <c r="AI633" s="361"/>
      <c r="AJ633" s="333"/>
      <c r="AK633" s="333"/>
      <c r="AL633" s="333"/>
      <c r="AM633" s="333"/>
      <c r="AN633" s="333"/>
      <c r="AO633" s="333"/>
      <c r="AP633" s="333"/>
      <c r="AQ633" s="333"/>
      <c r="AR633" s="333"/>
      <c r="AS633" s="333"/>
      <c r="AT633" s="333"/>
      <c r="AU633" s="333"/>
      <c r="AV633" s="333"/>
      <c r="AW633" s="333"/>
      <c r="AX633" s="335"/>
      <c r="AY633" s="335"/>
      <c r="AZ633" s="335"/>
      <c r="BA633" s="333"/>
      <c r="BB633" s="333"/>
      <c r="BC633" s="333"/>
      <c r="BD633" s="333"/>
      <c r="BE633" s="333"/>
      <c r="BF633" s="333"/>
      <c r="BG633" s="333"/>
      <c r="BH633" s="333"/>
      <c r="BI633" s="333"/>
      <c r="BJ633" s="333"/>
      <c r="BK633" s="333"/>
      <c r="BL633" s="362"/>
      <c r="BM633" s="333"/>
      <c r="BN633" s="333"/>
      <c r="BO633" s="333"/>
      <c r="BP633" s="333"/>
      <c r="BQ633" s="333"/>
      <c r="BR633" s="333"/>
      <c r="BS633" s="333"/>
      <c r="BT633" s="333"/>
      <c r="BU633" s="333"/>
      <c r="BV633" s="333"/>
      <c r="BW633" s="333"/>
      <c r="BX633" s="333"/>
      <c r="BY633" s="333"/>
      <c r="BZ633" s="333"/>
      <c r="CA633" s="333"/>
      <c r="CB633" s="333"/>
      <c r="CC633" s="333"/>
      <c r="CD633" s="333"/>
      <c r="CE633" s="333"/>
      <c r="CF633" s="333"/>
      <c r="CG633" s="333"/>
      <c r="CH633" s="333"/>
      <c r="CI633" s="333"/>
      <c r="CJ633" s="333"/>
      <c r="CK633" s="333"/>
      <c r="CL633" s="333"/>
      <c r="CM633" s="333"/>
      <c r="CN633" s="333"/>
      <c r="CO633" s="333"/>
      <c r="CP633" s="333"/>
      <c r="CQ633" s="333"/>
      <c r="CR633" s="333"/>
      <c r="CS633" s="333"/>
      <c r="CT633" s="333"/>
      <c r="CU633" s="333"/>
      <c r="CV633" s="333"/>
      <c r="CW633" s="333"/>
      <c r="CX633" s="333"/>
      <c r="CY633" s="333"/>
    </row>
    <row r="634" spans="1:103" x14ac:dyDescent="0.25">
      <c r="A634" s="333"/>
      <c r="B634" s="333"/>
      <c r="C634" s="333"/>
      <c r="D634" s="334"/>
      <c r="E634" s="333"/>
      <c r="F634" s="333"/>
      <c r="G634" s="333"/>
      <c r="H634" s="333"/>
      <c r="I634" s="333"/>
      <c r="J634" s="333"/>
      <c r="K634" s="333"/>
      <c r="L634" s="335"/>
      <c r="M634" s="335"/>
      <c r="N634" s="335"/>
      <c r="O634" s="335"/>
      <c r="P634" s="335"/>
      <c r="Q634" s="335"/>
      <c r="R634" s="335"/>
      <c r="S634" s="335"/>
      <c r="T634" s="335"/>
      <c r="U634" s="360"/>
      <c r="V634" s="360"/>
      <c r="W634" s="360"/>
      <c r="X634" s="333"/>
      <c r="Y634" s="333"/>
      <c r="Z634" s="333"/>
      <c r="AA634" s="333"/>
      <c r="AB634" s="333"/>
      <c r="AC634" s="333"/>
      <c r="AD634" s="333"/>
      <c r="AE634" s="333"/>
      <c r="AF634" s="333"/>
      <c r="AG634" s="333"/>
      <c r="AH634" s="361"/>
      <c r="AI634" s="361"/>
      <c r="AJ634" s="333"/>
      <c r="AK634" s="333"/>
      <c r="AL634" s="333"/>
      <c r="AM634" s="333"/>
      <c r="AN634" s="333"/>
      <c r="AO634" s="333"/>
      <c r="AP634" s="333"/>
      <c r="AQ634" s="333"/>
      <c r="AR634" s="333"/>
      <c r="AS634" s="333"/>
      <c r="AT634" s="333"/>
      <c r="AU634" s="333"/>
      <c r="AV634" s="333"/>
      <c r="AW634" s="333"/>
      <c r="AX634" s="335"/>
      <c r="AY634" s="335"/>
      <c r="AZ634" s="335"/>
      <c r="BA634" s="333"/>
      <c r="BB634" s="333"/>
      <c r="BC634" s="333"/>
      <c r="BD634" s="333"/>
      <c r="BE634" s="333"/>
      <c r="BF634" s="333"/>
      <c r="BG634" s="333"/>
      <c r="BH634" s="333"/>
      <c r="BI634" s="333"/>
      <c r="BJ634" s="333"/>
      <c r="BK634" s="333"/>
      <c r="BL634" s="362"/>
      <c r="BM634" s="333"/>
      <c r="BN634" s="333"/>
      <c r="BO634" s="333"/>
      <c r="BP634" s="333"/>
      <c r="BQ634" s="333"/>
      <c r="BR634" s="333"/>
      <c r="BS634" s="333"/>
      <c r="BT634" s="333"/>
      <c r="BU634" s="333"/>
      <c r="BV634" s="333"/>
      <c r="BW634" s="333"/>
      <c r="BX634" s="333"/>
      <c r="BY634" s="333"/>
      <c r="BZ634" s="333"/>
      <c r="CA634" s="333"/>
      <c r="CB634" s="333"/>
      <c r="CC634" s="333"/>
      <c r="CD634" s="333"/>
      <c r="CE634" s="333"/>
      <c r="CF634" s="333"/>
      <c r="CG634" s="333"/>
      <c r="CH634" s="333"/>
      <c r="CI634" s="333"/>
      <c r="CJ634" s="333"/>
      <c r="CK634" s="333"/>
      <c r="CL634" s="333"/>
      <c r="CM634" s="333"/>
      <c r="CN634" s="333"/>
      <c r="CO634" s="333"/>
      <c r="CP634" s="333"/>
      <c r="CQ634" s="333"/>
      <c r="CR634" s="333"/>
      <c r="CS634" s="333"/>
      <c r="CT634" s="333"/>
      <c r="CU634" s="333"/>
      <c r="CV634" s="333"/>
      <c r="CW634" s="333"/>
      <c r="CX634" s="333"/>
      <c r="CY634" s="333"/>
    </row>
    <row r="635" spans="1:103" x14ac:dyDescent="0.25">
      <c r="A635" s="333"/>
      <c r="B635" s="333"/>
      <c r="C635" s="333"/>
      <c r="D635" s="334"/>
      <c r="E635" s="333"/>
      <c r="F635" s="333"/>
      <c r="G635" s="333"/>
      <c r="H635" s="333"/>
      <c r="I635" s="333"/>
      <c r="J635" s="333"/>
      <c r="K635" s="333"/>
      <c r="L635" s="335"/>
      <c r="M635" s="335"/>
      <c r="N635" s="335"/>
      <c r="O635" s="335"/>
      <c r="P635" s="335"/>
      <c r="Q635" s="335"/>
      <c r="R635" s="335"/>
      <c r="S635" s="335"/>
      <c r="T635" s="335"/>
      <c r="U635" s="360"/>
      <c r="V635" s="360"/>
      <c r="W635" s="360"/>
      <c r="X635" s="333"/>
      <c r="Y635" s="333"/>
      <c r="Z635" s="333"/>
      <c r="AA635" s="333"/>
      <c r="AB635" s="333"/>
      <c r="AC635" s="333"/>
      <c r="AD635" s="333"/>
      <c r="AE635" s="333"/>
      <c r="AF635" s="333"/>
      <c r="AG635" s="333"/>
      <c r="AH635" s="361"/>
      <c r="AI635" s="361"/>
      <c r="AJ635" s="333"/>
      <c r="AK635" s="333"/>
      <c r="AL635" s="333"/>
      <c r="AM635" s="333"/>
      <c r="AN635" s="333"/>
      <c r="AO635" s="333"/>
      <c r="AP635" s="333"/>
      <c r="AQ635" s="333"/>
      <c r="AR635" s="333"/>
      <c r="AS635" s="333"/>
      <c r="AT635" s="333"/>
      <c r="AU635" s="333"/>
      <c r="AV635" s="333"/>
      <c r="AW635" s="333"/>
      <c r="AX635" s="335"/>
      <c r="AY635" s="335"/>
      <c r="AZ635" s="335"/>
      <c r="BA635" s="333"/>
      <c r="BB635" s="333"/>
      <c r="BC635" s="333"/>
      <c r="BD635" s="333"/>
      <c r="BE635" s="333"/>
      <c r="BF635" s="333"/>
      <c r="BG635" s="333"/>
      <c r="BH635" s="333"/>
      <c r="BI635" s="333"/>
      <c r="BJ635" s="333"/>
      <c r="BK635" s="333"/>
      <c r="BL635" s="362"/>
      <c r="BM635" s="333"/>
      <c r="BN635" s="333"/>
      <c r="BO635" s="333"/>
      <c r="BP635" s="333"/>
      <c r="BQ635" s="333"/>
      <c r="BR635" s="333"/>
      <c r="BS635" s="333"/>
      <c r="BT635" s="333"/>
      <c r="BU635" s="333"/>
      <c r="BV635" s="333"/>
      <c r="BW635" s="333"/>
      <c r="BX635" s="333"/>
      <c r="BY635" s="333"/>
      <c r="BZ635" s="333"/>
      <c r="CA635" s="333"/>
      <c r="CB635" s="333"/>
      <c r="CC635" s="333"/>
      <c r="CD635" s="333"/>
      <c r="CE635" s="333"/>
      <c r="CF635" s="333"/>
      <c r="CG635" s="333"/>
      <c r="CH635" s="333"/>
      <c r="CI635" s="333"/>
      <c r="CJ635" s="333"/>
      <c r="CK635" s="333"/>
      <c r="CL635" s="333"/>
      <c r="CM635" s="333"/>
      <c r="CN635" s="333"/>
      <c r="CO635" s="333"/>
      <c r="CP635" s="333"/>
      <c r="CQ635" s="333"/>
      <c r="CR635" s="333"/>
      <c r="CS635" s="333"/>
      <c r="CT635" s="333"/>
      <c r="CU635" s="333"/>
      <c r="CV635" s="333"/>
      <c r="CW635" s="333"/>
      <c r="CX635" s="333"/>
      <c r="CY635" s="333"/>
    </row>
    <row r="636" spans="1:103" x14ac:dyDescent="0.25">
      <c r="A636" s="333"/>
      <c r="B636" s="333"/>
      <c r="C636" s="333"/>
      <c r="D636" s="334"/>
      <c r="E636" s="333"/>
      <c r="F636" s="333"/>
      <c r="G636" s="333"/>
      <c r="H636" s="333"/>
      <c r="I636" s="333"/>
      <c r="J636" s="333"/>
      <c r="K636" s="333"/>
      <c r="L636" s="335"/>
      <c r="M636" s="335"/>
      <c r="N636" s="335"/>
      <c r="O636" s="335"/>
      <c r="P636" s="335"/>
      <c r="Q636" s="335"/>
      <c r="R636" s="335"/>
      <c r="S636" s="335"/>
      <c r="T636" s="335"/>
      <c r="U636" s="360"/>
      <c r="V636" s="360"/>
      <c r="W636" s="360"/>
      <c r="X636" s="333"/>
      <c r="Y636" s="333"/>
      <c r="Z636" s="333"/>
      <c r="AA636" s="333"/>
      <c r="AB636" s="333"/>
      <c r="AC636" s="333"/>
      <c r="AD636" s="333"/>
      <c r="AE636" s="333"/>
      <c r="AF636" s="333"/>
      <c r="AG636" s="333"/>
      <c r="AH636" s="361"/>
      <c r="AI636" s="361"/>
      <c r="AJ636" s="333"/>
      <c r="AK636" s="333"/>
      <c r="AL636" s="333"/>
      <c r="AM636" s="333"/>
      <c r="AN636" s="333"/>
      <c r="AO636" s="333"/>
      <c r="AP636" s="333"/>
      <c r="AQ636" s="333"/>
      <c r="AR636" s="333"/>
      <c r="AS636" s="333"/>
      <c r="AT636" s="333"/>
      <c r="AU636" s="333"/>
      <c r="AV636" s="333"/>
      <c r="AW636" s="333"/>
      <c r="AX636" s="335"/>
      <c r="AY636" s="335"/>
      <c r="AZ636" s="335"/>
      <c r="BA636" s="333"/>
      <c r="BB636" s="333"/>
      <c r="BC636" s="333"/>
      <c r="BD636" s="333"/>
      <c r="BE636" s="333"/>
      <c r="BF636" s="333"/>
      <c r="BG636" s="333"/>
      <c r="BH636" s="333"/>
      <c r="BI636" s="333"/>
      <c r="BJ636" s="333"/>
      <c r="BK636" s="333"/>
      <c r="BL636" s="362"/>
      <c r="BM636" s="333"/>
      <c r="BN636" s="333"/>
      <c r="BO636" s="333"/>
      <c r="BP636" s="333"/>
      <c r="BQ636" s="333"/>
      <c r="BR636" s="333"/>
      <c r="BS636" s="333"/>
      <c r="BT636" s="333"/>
      <c r="BU636" s="333"/>
      <c r="BV636" s="333"/>
      <c r="BW636" s="333"/>
      <c r="BX636" s="333"/>
      <c r="BY636" s="333"/>
      <c r="BZ636" s="333"/>
      <c r="CA636" s="333"/>
      <c r="CB636" s="333"/>
      <c r="CC636" s="333"/>
      <c r="CD636" s="333"/>
      <c r="CE636" s="333"/>
      <c r="CF636" s="333"/>
      <c r="CG636" s="333"/>
      <c r="CH636" s="333"/>
      <c r="CI636" s="333"/>
      <c r="CJ636" s="333"/>
      <c r="CK636" s="333"/>
      <c r="CL636" s="333"/>
      <c r="CM636" s="333"/>
      <c r="CN636" s="333"/>
      <c r="CO636" s="333"/>
      <c r="CP636" s="333"/>
      <c r="CQ636" s="333"/>
      <c r="CR636" s="333"/>
      <c r="CS636" s="333"/>
      <c r="CT636" s="333"/>
      <c r="CU636" s="333"/>
      <c r="CV636" s="333"/>
      <c r="CW636" s="333"/>
      <c r="CX636" s="333"/>
      <c r="CY636" s="333"/>
    </row>
    <row r="637" spans="1:103" x14ac:dyDescent="0.25">
      <c r="A637" s="333"/>
      <c r="B637" s="333"/>
      <c r="C637" s="333"/>
      <c r="D637" s="334"/>
      <c r="E637" s="333"/>
      <c r="F637" s="333"/>
      <c r="G637" s="333"/>
      <c r="H637" s="333"/>
      <c r="I637" s="333"/>
      <c r="J637" s="333"/>
      <c r="K637" s="333"/>
      <c r="L637" s="335"/>
      <c r="M637" s="335"/>
      <c r="N637" s="335"/>
      <c r="O637" s="335"/>
      <c r="P637" s="335"/>
      <c r="Q637" s="335"/>
      <c r="R637" s="335"/>
      <c r="S637" s="335"/>
      <c r="T637" s="335"/>
      <c r="U637" s="360"/>
      <c r="V637" s="360"/>
      <c r="W637" s="360"/>
      <c r="X637" s="333"/>
      <c r="Y637" s="333"/>
      <c r="Z637" s="333"/>
      <c r="AA637" s="333"/>
      <c r="AB637" s="333"/>
      <c r="AC637" s="333"/>
      <c r="AD637" s="333"/>
      <c r="AE637" s="333"/>
      <c r="AF637" s="333"/>
      <c r="AG637" s="333"/>
      <c r="AH637" s="361"/>
      <c r="AI637" s="361"/>
      <c r="AJ637" s="333"/>
      <c r="AK637" s="333"/>
      <c r="AL637" s="333"/>
      <c r="AM637" s="333"/>
      <c r="AN637" s="333"/>
      <c r="AO637" s="333"/>
      <c r="AP637" s="333"/>
      <c r="AQ637" s="333"/>
      <c r="AR637" s="333"/>
      <c r="AS637" s="333"/>
      <c r="AT637" s="333"/>
      <c r="AU637" s="333"/>
      <c r="AV637" s="333"/>
      <c r="AW637" s="333"/>
      <c r="AX637" s="335"/>
      <c r="AY637" s="335"/>
      <c r="AZ637" s="335"/>
      <c r="BA637" s="333"/>
      <c r="BB637" s="333"/>
      <c r="BC637" s="333"/>
      <c r="BD637" s="333"/>
      <c r="BE637" s="333"/>
      <c r="BF637" s="333"/>
      <c r="BG637" s="333"/>
      <c r="BH637" s="333"/>
      <c r="BI637" s="333"/>
      <c r="BJ637" s="333"/>
      <c r="BK637" s="333"/>
      <c r="BL637" s="362"/>
      <c r="BM637" s="333"/>
      <c r="BN637" s="333"/>
      <c r="BO637" s="333"/>
      <c r="BP637" s="333"/>
      <c r="BQ637" s="333"/>
      <c r="BR637" s="333"/>
      <c r="BS637" s="333"/>
      <c r="BT637" s="333"/>
      <c r="BU637" s="333"/>
      <c r="BV637" s="333"/>
      <c r="BW637" s="333"/>
      <c r="BX637" s="333"/>
      <c r="BY637" s="333"/>
      <c r="BZ637" s="333"/>
      <c r="CA637" s="333"/>
      <c r="CB637" s="333"/>
      <c r="CC637" s="333"/>
      <c r="CD637" s="333"/>
      <c r="CE637" s="333"/>
      <c r="CF637" s="333"/>
      <c r="CG637" s="333"/>
      <c r="CH637" s="333"/>
      <c r="CI637" s="333"/>
      <c r="CJ637" s="333"/>
      <c r="CK637" s="333"/>
      <c r="CL637" s="333"/>
      <c r="CM637" s="333"/>
      <c r="CN637" s="333"/>
      <c r="CO637" s="333"/>
      <c r="CP637" s="333"/>
      <c r="CQ637" s="333"/>
      <c r="CR637" s="333"/>
      <c r="CS637" s="333"/>
      <c r="CT637" s="333"/>
      <c r="CU637" s="333"/>
      <c r="CV637" s="333"/>
      <c r="CW637" s="333"/>
      <c r="CX637" s="333"/>
      <c r="CY637" s="333"/>
    </row>
    <row r="638" spans="1:103" x14ac:dyDescent="0.25">
      <c r="A638" s="333"/>
      <c r="B638" s="333"/>
      <c r="C638" s="333"/>
      <c r="D638" s="334"/>
      <c r="E638" s="333"/>
      <c r="F638" s="333"/>
      <c r="G638" s="333"/>
      <c r="H638" s="333"/>
      <c r="I638" s="333"/>
      <c r="J638" s="333"/>
      <c r="K638" s="333"/>
      <c r="L638" s="335"/>
      <c r="M638" s="335"/>
      <c r="N638" s="335"/>
      <c r="O638" s="335"/>
      <c r="P638" s="335"/>
      <c r="Q638" s="335"/>
      <c r="R638" s="335"/>
      <c r="S638" s="335"/>
      <c r="T638" s="335"/>
      <c r="U638" s="360"/>
      <c r="V638" s="360"/>
      <c r="W638" s="360"/>
      <c r="X638" s="333"/>
      <c r="Y638" s="333"/>
      <c r="Z638" s="333"/>
      <c r="AA638" s="333"/>
      <c r="AB638" s="333"/>
      <c r="AC638" s="333"/>
      <c r="AD638" s="333"/>
      <c r="AE638" s="333"/>
      <c r="AF638" s="333"/>
      <c r="AG638" s="333"/>
      <c r="AH638" s="361"/>
      <c r="AI638" s="361"/>
      <c r="AJ638" s="333"/>
      <c r="AK638" s="333"/>
      <c r="AL638" s="333"/>
      <c r="AM638" s="333"/>
      <c r="AN638" s="333"/>
      <c r="AO638" s="333"/>
      <c r="AP638" s="333"/>
      <c r="AQ638" s="333"/>
      <c r="AR638" s="333"/>
      <c r="AS638" s="333"/>
      <c r="AT638" s="333"/>
      <c r="AU638" s="333"/>
      <c r="AV638" s="333"/>
      <c r="AW638" s="333"/>
      <c r="AX638" s="335"/>
      <c r="AY638" s="335"/>
      <c r="AZ638" s="335"/>
      <c r="BA638" s="333"/>
      <c r="BB638" s="333"/>
      <c r="BC638" s="333"/>
      <c r="BD638" s="333"/>
      <c r="BE638" s="333"/>
      <c r="BF638" s="333"/>
      <c r="BG638" s="333"/>
      <c r="BH638" s="333"/>
      <c r="BI638" s="333"/>
      <c r="BJ638" s="333"/>
      <c r="BK638" s="333"/>
      <c r="BL638" s="362"/>
      <c r="BM638" s="333"/>
      <c r="BN638" s="333"/>
      <c r="BO638" s="333"/>
      <c r="BP638" s="333"/>
      <c r="BQ638" s="333"/>
      <c r="BR638" s="333"/>
      <c r="BS638" s="333"/>
      <c r="BT638" s="333"/>
      <c r="BU638" s="333"/>
      <c r="BV638" s="333"/>
      <c r="BW638" s="333"/>
      <c r="BX638" s="333"/>
      <c r="BY638" s="333"/>
      <c r="BZ638" s="333"/>
      <c r="CA638" s="333"/>
      <c r="CB638" s="333"/>
      <c r="CC638" s="333"/>
      <c r="CD638" s="333"/>
      <c r="CE638" s="333"/>
      <c r="CF638" s="333"/>
      <c r="CG638" s="333"/>
      <c r="CH638" s="333"/>
      <c r="CI638" s="333"/>
      <c r="CJ638" s="333"/>
      <c r="CK638" s="333"/>
      <c r="CL638" s="333"/>
      <c r="CM638" s="333"/>
      <c r="CN638" s="333"/>
      <c r="CO638" s="333"/>
      <c r="CP638" s="333"/>
      <c r="CQ638" s="333"/>
      <c r="CR638" s="333"/>
      <c r="CS638" s="333"/>
      <c r="CT638" s="333"/>
      <c r="CU638" s="333"/>
      <c r="CV638" s="333"/>
      <c r="CW638" s="333"/>
      <c r="CX638" s="333"/>
      <c r="CY638" s="333"/>
    </row>
    <row r="639" spans="1:103" x14ac:dyDescent="0.25">
      <c r="A639" s="333"/>
      <c r="B639" s="333"/>
      <c r="C639" s="333"/>
      <c r="D639" s="334"/>
      <c r="E639" s="333"/>
      <c r="F639" s="333"/>
      <c r="G639" s="333"/>
      <c r="H639" s="333"/>
      <c r="I639" s="333"/>
      <c r="J639" s="333"/>
      <c r="K639" s="333"/>
      <c r="L639" s="335"/>
      <c r="M639" s="335"/>
      <c r="N639" s="335"/>
      <c r="O639" s="335"/>
      <c r="P639" s="335"/>
      <c r="Q639" s="335"/>
      <c r="R639" s="335"/>
      <c r="S639" s="335"/>
      <c r="T639" s="335"/>
      <c r="U639" s="360"/>
      <c r="V639" s="360"/>
      <c r="W639" s="360"/>
      <c r="X639" s="333"/>
      <c r="Y639" s="333"/>
      <c r="Z639" s="333"/>
      <c r="AA639" s="333"/>
      <c r="AB639" s="333"/>
      <c r="AC639" s="333"/>
      <c r="AD639" s="333"/>
      <c r="AE639" s="333"/>
      <c r="AF639" s="333"/>
      <c r="AG639" s="333"/>
      <c r="AH639" s="361"/>
      <c r="AI639" s="361"/>
      <c r="AJ639" s="333"/>
      <c r="AK639" s="333"/>
      <c r="AL639" s="333"/>
      <c r="AM639" s="333"/>
      <c r="AN639" s="333"/>
      <c r="AO639" s="333"/>
      <c r="AP639" s="333"/>
      <c r="AQ639" s="333"/>
      <c r="AR639" s="333"/>
      <c r="AS639" s="333"/>
      <c r="AT639" s="333"/>
      <c r="AU639" s="333"/>
      <c r="AV639" s="333"/>
      <c r="AW639" s="333"/>
      <c r="AX639" s="335"/>
      <c r="AY639" s="335"/>
      <c r="AZ639" s="335"/>
      <c r="BA639" s="333"/>
      <c r="BB639" s="333"/>
      <c r="BC639" s="333"/>
      <c r="BD639" s="333"/>
      <c r="BE639" s="333"/>
      <c r="BF639" s="333"/>
      <c r="BG639" s="333"/>
      <c r="BH639" s="333"/>
      <c r="BI639" s="333"/>
      <c r="BJ639" s="333"/>
      <c r="BK639" s="333"/>
      <c r="BL639" s="362"/>
      <c r="BM639" s="333"/>
      <c r="BN639" s="333"/>
      <c r="BO639" s="333"/>
      <c r="BP639" s="333"/>
      <c r="BQ639" s="333"/>
      <c r="BR639" s="333"/>
      <c r="BS639" s="333"/>
      <c r="BT639" s="333"/>
      <c r="BU639" s="333"/>
      <c r="BV639" s="333"/>
      <c r="BW639" s="333"/>
      <c r="BX639" s="333"/>
      <c r="BY639" s="333"/>
      <c r="BZ639" s="333"/>
      <c r="CA639" s="333"/>
      <c r="CB639" s="333"/>
      <c r="CC639" s="333"/>
      <c r="CD639" s="333"/>
      <c r="CE639" s="333"/>
      <c r="CF639" s="333"/>
      <c r="CG639" s="333"/>
      <c r="CH639" s="333"/>
      <c r="CI639" s="333"/>
      <c r="CJ639" s="333"/>
      <c r="CK639" s="333"/>
      <c r="CL639" s="333"/>
      <c r="CM639" s="333"/>
      <c r="CN639" s="333"/>
      <c r="CO639" s="333"/>
      <c r="CP639" s="333"/>
      <c r="CQ639" s="333"/>
      <c r="CR639" s="333"/>
      <c r="CS639" s="333"/>
      <c r="CT639" s="333"/>
      <c r="CU639" s="333"/>
      <c r="CV639" s="333"/>
      <c r="CW639" s="333"/>
      <c r="CX639" s="333"/>
      <c r="CY639" s="333"/>
    </row>
    <row r="640" spans="1:103" x14ac:dyDescent="0.25">
      <c r="A640" s="333"/>
      <c r="B640" s="333"/>
      <c r="C640" s="333"/>
      <c r="D640" s="334"/>
      <c r="E640" s="333"/>
      <c r="F640" s="333"/>
      <c r="G640" s="333"/>
      <c r="H640" s="333"/>
      <c r="I640" s="333"/>
      <c r="J640" s="333"/>
      <c r="K640" s="333"/>
      <c r="L640" s="335"/>
      <c r="M640" s="335"/>
      <c r="N640" s="335"/>
      <c r="O640" s="335"/>
      <c r="P640" s="335"/>
      <c r="Q640" s="335"/>
      <c r="R640" s="335"/>
      <c r="S640" s="335"/>
      <c r="T640" s="335"/>
      <c r="U640" s="360"/>
      <c r="V640" s="360"/>
      <c r="W640" s="360"/>
      <c r="X640" s="333"/>
      <c r="Y640" s="333"/>
      <c r="Z640" s="333"/>
      <c r="AA640" s="333"/>
      <c r="AB640" s="333"/>
      <c r="AC640" s="333"/>
      <c r="AD640" s="333"/>
      <c r="AE640" s="333"/>
      <c r="AF640" s="333"/>
      <c r="AG640" s="333"/>
      <c r="AH640" s="361"/>
      <c r="AI640" s="361"/>
      <c r="AJ640" s="333"/>
      <c r="AK640" s="333"/>
      <c r="AL640" s="333"/>
      <c r="AM640" s="333"/>
      <c r="AN640" s="333"/>
      <c r="AO640" s="333"/>
      <c r="AP640" s="333"/>
      <c r="AQ640" s="333"/>
      <c r="AR640" s="333"/>
      <c r="AS640" s="333"/>
      <c r="AT640" s="333"/>
      <c r="AU640" s="333"/>
      <c r="AV640" s="333"/>
      <c r="AW640" s="333"/>
      <c r="AX640" s="335"/>
      <c r="AY640" s="335"/>
      <c r="AZ640" s="335"/>
      <c r="BA640" s="333"/>
      <c r="BB640" s="333"/>
      <c r="BC640" s="333"/>
      <c r="BD640" s="333"/>
      <c r="BE640" s="333"/>
      <c r="BF640" s="333"/>
      <c r="BG640" s="333"/>
      <c r="BH640" s="333"/>
      <c r="BI640" s="333"/>
      <c r="BJ640" s="333"/>
      <c r="BK640" s="333"/>
      <c r="BL640" s="362"/>
      <c r="BM640" s="333"/>
      <c r="BN640" s="333"/>
      <c r="BO640" s="333"/>
      <c r="BP640" s="333"/>
      <c r="BQ640" s="333"/>
      <c r="BR640" s="333"/>
      <c r="BS640" s="333"/>
      <c r="BT640" s="333"/>
      <c r="BU640" s="333"/>
      <c r="BV640" s="333"/>
      <c r="BW640" s="333"/>
      <c r="BX640" s="333"/>
      <c r="BY640" s="333"/>
      <c r="BZ640" s="333"/>
      <c r="CA640" s="333"/>
      <c r="CB640" s="333"/>
      <c r="CC640" s="333"/>
      <c r="CD640" s="333"/>
      <c r="CE640" s="333"/>
      <c r="CF640" s="333"/>
      <c r="CG640" s="333"/>
      <c r="CH640" s="333"/>
      <c r="CI640" s="333"/>
      <c r="CJ640" s="333"/>
      <c r="CK640" s="333"/>
      <c r="CL640" s="333"/>
      <c r="CM640" s="333"/>
      <c r="CN640" s="333"/>
      <c r="CO640" s="333"/>
      <c r="CP640" s="333"/>
      <c r="CQ640" s="333"/>
      <c r="CR640" s="333"/>
      <c r="CS640" s="333"/>
      <c r="CT640" s="333"/>
      <c r="CU640" s="333"/>
      <c r="CV640" s="333"/>
      <c r="CW640" s="333"/>
      <c r="CX640" s="333"/>
      <c r="CY640" s="333"/>
    </row>
    <row r="641" spans="1:103" x14ac:dyDescent="0.25">
      <c r="A641" s="333"/>
      <c r="B641" s="333"/>
      <c r="C641" s="333"/>
      <c r="D641" s="334"/>
      <c r="E641" s="333"/>
      <c r="F641" s="333"/>
      <c r="G641" s="333"/>
      <c r="H641" s="333"/>
      <c r="I641" s="333"/>
      <c r="J641" s="333"/>
      <c r="K641" s="333"/>
      <c r="L641" s="335"/>
      <c r="M641" s="335"/>
      <c r="N641" s="335"/>
      <c r="O641" s="335"/>
      <c r="P641" s="335"/>
      <c r="Q641" s="335"/>
      <c r="R641" s="335"/>
      <c r="S641" s="335"/>
      <c r="T641" s="335"/>
      <c r="U641" s="360"/>
      <c r="V641" s="360"/>
      <c r="W641" s="360"/>
      <c r="X641" s="333"/>
      <c r="Y641" s="333"/>
      <c r="Z641" s="333"/>
      <c r="AA641" s="333"/>
      <c r="AB641" s="333"/>
      <c r="AC641" s="333"/>
      <c r="AD641" s="333"/>
      <c r="AE641" s="333"/>
      <c r="AF641" s="333"/>
      <c r="AG641" s="333"/>
      <c r="AH641" s="361"/>
      <c r="AI641" s="361"/>
      <c r="AJ641" s="333"/>
      <c r="AK641" s="333"/>
      <c r="AL641" s="333"/>
      <c r="AM641" s="333"/>
      <c r="AN641" s="333"/>
      <c r="AO641" s="333"/>
      <c r="AP641" s="333"/>
      <c r="AQ641" s="333"/>
      <c r="AR641" s="333"/>
      <c r="AS641" s="333"/>
      <c r="AT641" s="333"/>
      <c r="AU641" s="333"/>
      <c r="AV641" s="333"/>
      <c r="AW641" s="333"/>
      <c r="AX641" s="335"/>
      <c r="AY641" s="335"/>
      <c r="AZ641" s="335"/>
      <c r="BA641" s="333"/>
      <c r="BB641" s="333"/>
      <c r="BC641" s="333"/>
      <c r="BD641" s="333"/>
      <c r="BE641" s="333"/>
      <c r="BF641" s="333"/>
      <c r="BG641" s="333"/>
      <c r="BH641" s="333"/>
      <c r="BI641" s="333"/>
      <c r="BJ641" s="333"/>
      <c r="BK641" s="333"/>
      <c r="BL641" s="362"/>
      <c r="BM641" s="333"/>
      <c r="BN641" s="333"/>
      <c r="BO641" s="333"/>
      <c r="BP641" s="333"/>
      <c r="BQ641" s="333"/>
      <c r="BR641" s="333"/>
      <c r="BS641" s="333"/>
      <c r="BT641" s="333"/>
      <c r="BU641" s="333"/>
      <c r="BV641" s="333"/>
      <c r="BW641" s="333"/>
      <c r="BX641" s="333"/>
      <c r="BY641" s="333"/>
      <c r="BZ641" s="333"/>
      <c r="CA641" s="333"/>
      <c r="CB641" s="333"/>
      <c r="CC641" s="333"/>
      <c r="CD641" s="333"/>
      <c r="CE641" s="333"/>
      <c r="CF641" s="333"/>
      <c r="CG641" s="333"/>
      <c r="CH641" s="333"/>
      <c r="CI641" s="333"/>
      <c r="CJ641" s="333"/>
      <c r="CK641" s="333"/>
      <c r="CL641" s="333"/>
      <c r="CM641" s="333"/>
      <c r="CN641" s="333"/>
      <c r="CO641" s="333"/>
      <c r="CP641" s="333"/>
      <c r="CQ641" s="333"/>
      <c r="CR641" s="333"/>
      <c r="CS641" s="333"/>
      <c r="CT641" s="333"/>
      <c r="CU641" s="333"/>
      <c r="CV641" s="333"/>
      <c r="CW641" s="333"/>
      <c r="CX641" s="333"/>
      <c r="CY641" s="333"/>
    </row>
    <row r="642" spans="1:103" x14ac:dyDescent="0.25">
      <c r="A642" s="333"/>
      <c r="B642" s="333"/>
      <c r="C642" s="333"/>
      <c r="D642" s="334"/>
      <c r="E642" s="333"/>
      <c r="F642" s="333"/>
      <c r="G642" s="333"/>
      <c r="H642" s="333"/>
      <c r="I642" s="333"/>
      <c r="J642" s="333"/>
      <c r="K642" s="333"/>
      <c r="L642" s="335"/>
      <c r="M642" s="335"/>
      <c r="N642" s="335"/>
      <c r="O642" s="335"/>
      <c r="P642" s="335"/>
      <c r="Q642" s="335"/>
      <c r="R642" s="335"/>
      <c r="S642" s="335"/>
      <c r="T642" s="335"/>
      <c r="U642" s="360"/>
      <c r="V642" s="360"/>
      <c r="W642" s="360"/>
      <c r="X642" s="333"/>
      <c r="Y642" s="333"/>
      <c r="Z642" s="333"/>
      <c r="AA642" s="333"/>
      <c r="AB642" s="333"/>
      <c r="AC642" s="333"/>
      <c r="AD642" s="333"/>
      <c r="AE642" s="333"/>
      <c r="AF642" s="333"/>
      <c r="AG642" s="333"/>
      <c r="AH642" s="361"/>
      <c r="AI642" s="361"/>
      <c r="AJ642" s="333"/>
      <c r="AK642" s="333"/>
      <c r="AL642" s="333"/>
      <c r="AM642" s="333"/>
      <c r="AN642" s="333"/>
      <c r="AO642" s="333"/>
      <c r="AP642" s="333"/>
      <c r="AQ642" s="333"/>
      <c r="AR642" s="333"/>
      <c r="AS642" s="333"/>
      <c r="AT642" s="333"/>
      <c r="AU642" s="333"/>
      <c r="AV642" s="333"/>
      <c r="AW642" s="333"/>
      <c r="AX642" s="335"/>
      <c r="AY642" s="335"/>
      <c r="AZ642" s="335"/>
      <c r="BA642" s="333"/>
      <c r="BB642" s="333"/>
      <c r="BC642" s="333"/>
      <c r="BD642" s="333"/>
      <c r="BE642" s="333"/>
      <c r="BF642" s="333"/>
      <c r="BG642" s="333"/>
      <c r="BH642" s="333"/>
      <c r="BI642" s="333"/>
      <c r="BJ642" s="333"/>
      <c r="BK642" s="333"/>
      <c r="BL642" s="362"/>
      <c r="BM642" s="333"/>
      <c r="BN642" s="333"/>
      <c r="BO642" s="333"/>
      <c r="BP642" s="333"/>
      <c r="BQ642" s="333"/>
      <c r="BR642" s="333"/>
      <c r="BS642" s="333"/>
      <c r="BT642" s="333"/>
      <c r="BU642" s="333"/>
      <c r="BV642" s="333"/>
      <c r="BW642" s="333"/>
      <c r="BX642" s="333"/>
      <c r="BY642" s="333"/>
      <c r="BZ642" s="333"/>
      <c r="CA642" s="333"/>
      <c r="CB642" s="333"/>
      <c r="CC642" s="333"/>
      <c r="CD642" s="333"/>
      <c r="CE642" s="333"/>
      <c r="CF642" s="333"/>
      <c r="CG642" s="333"/>
      <c r="CH642" s="333"/>
      <c r="CI642" s="333"/>
      <c r="CJ642" s="333"/>
      <c r="CK642" s="333"/>
      <c r="CL642" s="333"/>
      <c r="CM642" s="333"/>
      <c r="CN642" s="333"/>
      <c r="CO642" s="333"/>
      <c r="CP642" s="333"/>
      <c r="CQ642" s="333"/>
      <c r="CR642" s="333"/>
      <c r="CS642" s="333"/>
      <c r="CT642" s="333"/>
      <c r="CU642" s="333"/>
      <c r="CV642" s="333"/>
      <c r="CW642" s="333"/>
      <c r="CX642" s="333"/>
      <c r="CY642" s="333"/>
    </row>
    <row r="643" spans="1:103" x14ac:dyDescent="0.25">
      <c r="A643" s="333"/>
      <c r="B643" s="333"/>
      <c r="C643" s="333"/>
      <c r="D643" s="334"/>
      <c r="E643" s="333"/>
      <c r="F643" s="333"/>
      <c r="G643" s="333"/>
      <c r="H643" s="333"/>
      <c r="I643" s="333"/>
      <c r="J643" s="333"/>
      <c r="K643" s="333"/>
      <c r="L643" s="335"/>
      <c r="M643" s="335"/>
      <c r="N643" s="335"/>
      <c r="O643" s="335"/>
      <c r="P643" s="335"/>
      <c r="Q643" s="335"/>
      <c r="R643" s="335"/>
      <c r="S643" s="335"/>
      <c r="T643" s="335"/>
      <c r="U643" s="360"/>
      <c r="V643" s="360"/>
      <c r="W643" s="360"/>
      <c r="X643" s="333"/>
      <c r="Y643" s="333"/>
      <c r="Z643" s="333"/>
      <c r="AA643" s="333"/>
      <c r="AB643" s="333"/>
      <c r="AC643" s="333"/>
      <c r="AD643" s="333"/>
      <c r="AE643" s="333"/>
      <c r="AF643" s="333"/>
      <c r="AG643" s="333"/>
      <c r="AH643" s="361"/>
      <c r="AI643" s="361"/>
      <c r="AJ643" s="333"/>
      <c r="AK643" s="333"/>
      <c r="AL643" s="333"/>
      <c r="AM643" s="333"/>
      <c r="AN643" s="333"/>
      <c r="AO643" s="333"/>
      <c r="AP643" s="333"/>
      <c r="AQ643" s="333"/>
      <c r="AR643" s="333"/>
      <c r="AS643" s="333"/>
      <c r="AT643" s="333"/>
      <c r="AU643" s="333"/>
      <c r="AV643" s="333"/>
      <c r="AW643" s="333"/>
      <c r="AX643" s="335"/>
      <c r="AY643" s="335"/>
      <c r="AZ643" s="335"/>
      <c r="BA643" s="333"/>
      <c r="BB643" s="333"/>
      <c r="BC643" s="333"/>
      <c r="BD643" s="333"/>
      <c r="BE643" s="333"/>
      <c r="BF643" s="333"/>
      <c r="BG643" s="333"/>
      <c r="BH643" s="333"/>
      <c r="BI643" s="333"/>
      <c r="BJ643" s="333"/>
      <c r="BK643" s="333"/>
      <c r="BL643" s="362"/>
      <c r="BM643" s="333"/>
      <c r="BN643" s="333"/>
      <c r="BO643" s="333"/>
      <c r="BP643" s="333"/>
      <c r="BQ643" s="333"/>
      <c r="BR643" s="333"/>
      <c r="BS643" s="333"/>
      <c r="BT643" s="333"/>
      <c r="BU643" s="333"/>
      <c r="BV643" s="333"/>
      <c r="BW643" s="333"/>
      <c r="BX643" s="333"/>
      <c r="BY643" s="333"/>
      <c r="BZ643" s="333"/>
      <c r="CA643" s="333"/>
      <c r="CB643" s="333"/>
      <c r="CC643" s="333"/>
      <c r="CD643" s="333"/>
      <c r="CE643" s="333"/>
      <c r="CF643" s="333"/>
      <c r="CG643" s="333"/>
      <c r="CH643" s="333"/>
      <c r="CI643" s="333"/>
      <c r="CJ643" s="333"/>
      <c r="CK643" s="333"/>
      <c r="CL643" s="333"/>
      <c r="CM643" s="333"/>
      <c r="CN643" s="333"/>
      <c r="CO643" s="333"/>
      <c r="CP643" s="333"/>
      <c r="CQ643" s="333"/>
      <c r="CR643" s="333"/>
      <c r="CS643" s="333"/>
      <c r="CT643" s="333"/>
      <c r="CU643" s="333"/>
      <c r="CV643" s="333"/>
      <c r="CW643" s="333"/>
      <c r="CX643" s="333"/>
      <c r="CY643" s="333"/>
    </row>
    <row r="644" spans="1:103" x14ac:dyDescent="0.25">
      <c r="A644" s="333"/>
      <c r="B644" s="333"/>
      <c r="C644" s="333"/>
      <c r="D644" s="334"/>
      <c r="E644" s="333"/>
      <c r="F644" s="333"/>
      <c r="G644" s="333"/>
      <c r="H644" s="333"/>
      <c r="I644" s="333"/>
      <c r="J644" s="333"/>
      <c r="K644" s="333"/>
      <c r="L644" s="335"/>
      <c r="M644" s="335"/>
      <c r="N644" s="335"/>
      <c r="O644" s="335"/>
      <c r="P644" s="335"/>
      <c r="Q644" s="335"/>
      <c r="R644" s="335"/>
      <c r="S644" s="335"/>
      <c r="T644" s="335"/>
      <c r="U644" s="360"/>
      <c r="V644" s="360"/>
      <c r="W644" s="360"/>
      <c r="X644" s="333"/>
      <c r="Y644" s="333"/>
      <c r="Z644" s="333"/>
      <c r="AA644" s="333"/>
      <c r="AB644" s="333"/>
      <c r="AC644" s="333"/>
      <c r="AD644" s="333"/>
      <c r="AE644" s="333"/>
      <c r="AF644" s="333"/>
      <c r="AG644" s="333"/>
      <c r="AH644" s="361"/>
      <c r="AI644" s="361"/>
      <c r="AJ644" s="333"/>
      <c r="AK644" s="333"/>
      <c r="AL644" s="333"/>
      <c r="AM644" s="333"/>
      <c r="AN644" s="333"/>
      <c r="AO644" s="333"/>
      <c r="AP644" s="333"/>
      <c r="AQ644" s="333"/>
      <c r="AR644" s="333"/>
      <c r="AS644" s="333"/>
      <c r="AT644" s="333"/>
      <c r="AU644" s="333"/>
      <c r="AV644" s="333"/>
      <c r="AW644" s="333"/>
      <c r="AX644" s="335"/>
      <c r="AY644" s="335"/>
      <c r="AZ644" s="335"/>
      <c r="BA644" s="333"/>
      <c r="BB644" s="333"/>
      <c r="BC644" s="333"/>
      <c r="BD644" s="333"/>
      <c r="BE644" s="333"/>
      <c r="BF644" s="333"/>
      <c r="BG644" s="333"/>
      <c r="BH644" s="333"/>
      <c r="BI644" s="333"/>
      <c r="BJ644" s="333"/>
      <c r="BK644" s="333"/>
      <c r="BL644" s="362"/>
      <c r="BM644" s="333"/>
      <c r="BN644" s="333"/>
      <c r="BO644" s="333"/>
      <c r="BP644" s="333"/>
      <c r="BQ644" s="333"/>
      <c r="BR644" s="333"/>
      <c r="BS644" s="333"/>
      <c r="BT644" s="333"/>
      <c r="BU644" s="333"/>
      <c r="BV644" s="333"/>
      <c r="BW644" s="333"/>
      <c r="BX644" s="333"/>
      <c r="BY644" s="333"/>
      <c r="BZ644" s="333"/>
      <c r="CA644" s="333"/>
      <c r="CB644" s="333"/>
      <c r="CC644" s="333"/>
      <c r="CD644" s="333"/>
      <c r="CE644" s="333"/>
      <c r="CF644" s="333"/>
      <c r="CG644" s="333"/>
      <c r="CH644" s="333"/>
      <c r="CI644" s="333"/>
      <c r="CJ644" s="333"/>
      <c r="CK644" s="333"/>
      <c r="CL644" s="333"/>
      <c r="CM644" s="333"/>
      <c r="CN644" s="333"/>
      <c r="CO644" s="333"/>
      <c r="CP644" s="333"/>
      <c r="CQ644" s="333"/>
      <c r="CR644" s="333"/>
      <c r="CS644" s="333"/>
      <c r="CT644" s="333"/>
      <c r="CU644" s="333"/>
      <c r="CV644" s="333"/>
      <c r="CW644" s="333"/>
      <c r="CX644" s="333"/>
      <c r="CY644" s="333"/>
    </row>
    <row r="645" spans="1:103" x14ac:dyDescent="0.25">
      <c r="A645" s="333"/>
      <c r="B645" s="333"/>
      <c r="C645" s="333"/>
      <c r="D645" s="334"/>
      <c r="E645" s="333"/>
      <c r="F645" s="333"/>
      <c r="G645" s="333"/>
      <c r="H645" s="333"/>
      <c r="I645" s="333"/>
      <c r="J645" s="333"/>
      <c r="K645" s="333"/>
      <c r="L645" s="335"/>
      <c r="M645" s="335"/>
      <c r="N645" s="335"/>
      <c r="O645" s="335"/>
      <c r="P645" s="335"/>
      <c r="Q645" s="335"/>
      <c r="R645" s="335"/>
      <c r="S645" s="335"/>
      <c r="T645" s="335"/>
      <c r="U645" s="360"/>
      <c r="V645" s="360"/>
      <c r="W645" s="360"/>
      <c r="X645" s="333"/>
      <c r="Y645" s="333"/>
      <c r="Z645" s="333"/>
      <c r="AA645" s="333"/>
      <c r="AB645" s="333"/>
      <c r="AC645" s="333"/>
      <c r="AD645" s="333"/>
      <c r="AE645" s="333"/>
      <c r="AF645" s="333"/>
      <c r="AG645" s="333"/>
      <c r="AH645" s="361"/>
      <c r="AI645" s="361"/>
      <c r="AJ645" s="333"/>
      <c r="AK645" s="333"/>
      <c r="AL645" s="333"/>
      <c r="AM645" s="333"/>
      <c r="AN645" s="333"/>
      <c r="AO645" s="333"/>
      <c r="AP645" s="333"/>
      <c r="AQ645" s="333"/>
      <c r="AR645" s="333"/>
      <c r="AS645" s="333"/>
      <c r="AT645" s="333"/>
      <c r="AU645" s="333"/>
      <c r="AV645" s="333"/>
      <c r="AW645" s="333"/>
      <c r="AX645" s="335"/>
      <c r="AY645" s="335"/>
      <c r="AZ645" s="335"/>
      <c r="BA645" s="333"/>
      <c r="BB645" s="333"/>
      <c r="BC645" s="333"/>
      <c r="BD645" s="333"/>
      <c r="BE645" s="333"/>
      <c r="BF645" s="333"/>
      <c r="BG645" s="333"/>
      <c r="BH645" s="333"/>
      <c r="BI645" s="333"/>
      <c r="BJ645" s="333"/>
      <c r="BK645" s="333"/>
      <c r="BL645" s="362"/>
      <c r="BM645" s="333"/>
      <c r="BN645" s="333"/>
      <c r="BO645" s="333"/>
      <c r="BP645" s="333"/>
      <c r="BQ645" s="333"/>
      <c r="BR645" s="333"/>
      <c r="BS645" s="333"/>
      <c r="BT645" s="333"/>
      <c r="BU645" s="333"/>
      <c r="BV645" s="333"/>
      <c r="BW645" s="333"/>
      <c r="BX645" s="333"/>
      <c r="BY645" s="333"/>
      <c r="BZ645" s="333"/>
      <c r="CA645" s="333"/>
      <c r="CB645" s="333"/>
      <c r="CC645" s="333"/>
      <c r="CD645" s="333"/>
      <c r="CE645" s="333"/>
      <c r="CF645" s="333"/>
      <c r="CG645" s="333"/>
      <c r="CH645" s="333"/>
      <c r="CI645" s="333"/>
      <c r="CJ645" s="333"/>
      <c r="CK645" s="333"/>
      <c r="CL645" s="333"/>
      <c r="CM645" s="333"/>
      <c r="CN645" s="333"/>
      <c r="CO645" s="333"/>
      <c r="CP645" s="333"/>
      <c r="CQ645" s="333"/>
      <c r="CR645" s="333"/>
      <c r="CS645" s="333"/>
      <c r="CT645" s="333"/>
      <c r="CU645" s="333"/>
      <c r="CV645" s="333"/>
      <c r="CW645" s="333"/>
      <c r="CX645" s="333"/>
      <c r="CY645" s="333"/>
    </row>
    <row r="646" spans="1:103" x14ac:dyDescent="0.25">
      <c r="A646" s="333"/>
      <c r="B646" s="333"/>
      <c r="C646" s="333"/>
      <c r="D646" s="334"/>
      <c r="E646" s="333"/>
      <c r="F646" s="333"/>
      <c r="G646" s="333"/>
      <c r="H646" s="333"/>
      <c r="I646" s="333"/>
      <c r="J646" s="333"/>
      <c r="K646" s="333"/>
      <c r="L646" s="335"/>
      <c r="M646" s="335"/>
      <c r="N646" s="335"/>
      <c r="O646" s="335"/>
      <c r="P646" s="335"/>
      <c r="Q646" s="335"/>
      <c r="R646" s="335"/>
      <c r="S646" s="335"/>
      <c r="T646" s="335"/>
      <c r="U646" s="360"/>
      <c r="V646" s="360"/>
      <c r="W646" s="360"/>
      <c r="X646" s="333"/>
      <c r="Y646" s="333"/>
      <c r="Z646" s="333"/>
      <c r="AA646" s="333"/>
      <c r="AB646" s="333"/>
      <c r="AC646" s="333"/>
      <c r="AD646" s="333"/>
      <c r="AE646" s="333"/>
      <c r="AF646" s="333"/>
      <c r="AG646" s="333"/>
      <c r="AH646" s="361"/>
      <c r="AI646" s="361"/>
      <c r="AJ646" s="333"/>
      <c r="AK646" s="333"/>
      <c r="AL646" s="333"/>
      <c r="AM646" s="333"/>
      <c r="AN646" s="333"/>
      <c r="AO646" s="333"/>
      <c r="AP646" s="333"/>
      <c r="AQ646" s="333"/>
      <c r="AR646" s="333"/>
      <c r="AS646" s="333"/>
      <c r="AT646" s="333"/>
      <c r="AU646" s="333"/>
      <c r="AV646" s="333"/>
      <c r="AW646" s="333"/>
      <c r="AX646" s="335"/>
      <c r="AY646" s="335"/>
      <c r="AZ646" s="335"/>
      <c r="BA646" s="333"/>
      <c r="BB646" s="333"/>
      <c r="BC646" s="333"/>
      <c r="BD646" s="333"/>
      <c r="BE646" s="333"/>
      <c r="BF646" s="333"/>
      <c r="BG646" s="333"/>
      <c r="BH646" s="333"/>
      <c r="BI646" s="333"/>
      <c r="BJ646" s="333"/>
      <c r="BK646" s="333"/>
      <c r="BL646" s="362"/>
      <c r="BM646" s="333"/>
      <c r="BN646" s="333"/>
      <c r="BO646" s="333"/>
      <c r="BP646" s="333"/>
      <c r="BQ646" s="333"/>
      <c r="BR646" s="333"/>
      <c r="BS646" s="333"/>
      <c r="BT646" s="333"/>
      <c r="BU646" s="333"/>
      <c r="BV646" s="333"/>
      <c r="BW646" s="333"/>
      <c r="BX646" s="333"/>
      <c r="BY646" s="333"/>
      <c r="BZ646" s="333"/>
      <c r="CA646" s="333"/>
      <c r="CB646" s="333"/>
      <c r="CC646" s="333"/>
      <c r="CD646" s="333"/>
      <c r="CE646" s="333"/>
      <c r="CF646" s="333"/>
      <c r="CG646" s="333"/>
      <c r="CH646" s="333"/>
      <c r="CI646" s="333"/>
      <c r="CJ646" s="333"/>
      <c r="CK646" s="333"/>
      <c r="CL646" s="333"/>
      <c r="CM646" s="333"/>
      <c r="CN646" s="333"/>
      <c r="CO646" s="333"/>
      <c r="CP646" s="333"/>
      <c r="CQ646" s="333"/>
      <c r="CR646" s="333"/>
      <c r="CS646" s="333"/>
      <c r="CT646" s="333"/>
      <c r="CU646" s="333"/>
      <c r="CV646" s="333"/>
      <c r="CW646" s="333"/>
      <c r="CX646" s="333"/>
      <c r="CY646" s="333"/>
    </row>
    <row r="647" spans="1:103" x14ac:dyDescent="0.25">
      <c r="A647" s="333"/>
      <c r="B647" s="333"/>
      <c r="C647" s="333"/>
      <c r="D647" s="334"/>
      <c r="E647" s="333"/>
      <c r="F647" s="333"/>
      <c r="G647" s="333"/>
      <c r="H647" s="333"/>
      <c r="I647" s="333"/>
      <c r="J647" s="333"/>
      <c r="K647" s="333"/>
      <c r="L647" s="335"/>
      <c r="M647" s="335"/>
      <c r="N647" s="335"/>
      <c r="O647" s="335"/>
      <c r="P647" s="335"/>
      <c r="Q647" s="335"/>
      <c r="R647" s="335"/>
      <c r="S647" s="335"/>
      <c r="T647" s="335"/>
      <c r="U647" s="360"/>
      <c r="V647" s="360"/>
      <c r="W647" s="360"/>
      <c r="X647" s="333"/>
      <c r="Y647" s="333"/>
      <c r="Z647" s="333"/>
      <c r="AA647" s="333"/>
      <c r="AB647" s="333"/>
      <c r="AC647" s="333"/>
      <c r="AD647" s="333"/>
      <c r="AE647" s="333"/>
      <c r="AF647" s="333"/>
      <c r="AG647" s="333"/>
      <c r="AH647" s="361"/>
      <c r="AI647" s="361"/>
      <c r="AJ647" s="333"/>
      <c r="AK647" s="333"/>
      <c r="AL647" s="333"/>
      <c r="AM647" s="333"/>
      <c r="AN647" s="333"/>
      <c r="AO647" s="333"/>
      <c r="AP647" s="333"/>
      <c r="AQ647" s="333"/>
      <c r="AR647" s="333"/>
      <c r="AS647" s="333"/>
      <c r="AT647" s="333"/>
      <c r="AU647" s="333"/>
      <c r="AV647" s="333"/>
      <c r="AW647" s="333"/>
      <c r="AX647" s="335"/>
      <c r="AY647" s="335"/>
      <c r="AZ647" s="335"/>
      <c r="BA647" s="333"/>
      <c r="BB647" s="333"/>
      <c r="BC647" s="333"/>
      <c r="BD647" s="333"/>
      <c r="BE647" s="333"/>
      <c r="BF647" s="333"/>
      <c r="BG647" s="333"/>
      <c r="BH647" s="333"/>
      <c r="BI647" s="333"/>
      <c r="BJ647" s="333"/>
      <c r="BK647" s="333"/>
      <c r="BL647" s="362"/>
      <c r="BM647" s="333"/>
      <c r="BN647" s="333"/>
      <c r="BO647" s="333"/>
      <c r="BP647" s="333"/>
      <c r="BQ647" s="333"/>
      <c r="BR647" s="333"/>
      <c r="BS647" s="333"/>
      <c r="BT647" s="333"/>
      <c r="BU647" s="333"/>
      <c r="BV647" s="333"/>
      <c r="BW647" s="333"/>
      <c r="BX647" s="333"/>
      <c r="BY647" s="333"/>
      <c r="BZ647" s="333"/>
      <c r="CA647" s="333"/>
      <c r="CB647" s="333"/>
      <c r="CC647" s="333"/>
      <c r="CD647" s="333"/>
      <c r="CE647" s="333"/>
      <c r="CF647" s="333"/>
      <c r="CG647" s="333"/>
      <c r="CH647" s="333"/>
      <c r="CI647" s="333"/>
      <c r="CJ647" s="333"/>
      <c r="CK647" s="333"/>
      <c r="CL647" s="333"/>
      <c r="CM647" s="333"/>
      <c r="CN647" s="333"/>
      <c r="CO647" s="333"/>
      <c r="CP647" s="333"/>
      <c r="CQ647" s="333"/>
      <c r="CR647" s="333"/>
      <c r="CS647" s="333"/>
      <c r="CT647" s="333"/>
      <c r="CU647" s="333"/>
      <c r="CV647" s="333"/>
      <c r="CW647" s="333"/>
      <c r="CX647" s="333"/>
      <c r="CY647" s="333"/>
    </row>
    <row r="648" spans="1:103" x14ac:dyDescent="0.25">
      <c r="A648" s="333"/>
      <c r="B648" s="333"/>
      <c r="C648" s="333"/>
      <c r="D648" s="334"/>
      <c r="E648" s="333"/>
      <c r="F648" s="333"/>
      <c r="G648" s="333"/>
      <c r="H648" s="333"/>
      <c r="I648" s="333"/>
      <c r="J648" s="333"/>
      <c r="K648" s="333"/>
      <c r="L648" s="335"/>
      <c r="M648" s="335"/>
      <c r="N648" s="335"/>
      <c r="O648" s="335"/>
      <c r="P648" s="335"/>
      <c r="Q648" s="335"/>
      <c r="R648" s="335"/>
      <c r="S648" s="335"/>
      <c r="T648" s="335"/>
      <c r="U648" s="360"/>
      <c r="V648" s="360"/>
      <c r="W648" s="360"/>
      <c r="X648" s="333"/>
      <c r="Y648" s="333"/>
      <c r="Z648" s="333"/>
      <c r="AA648" s="333"/>
      <c r="AB648" s="333"/>
      <c r="AC648" s="333"/>
      <c r="AD648" s="333"/>
      <c r="AE648" s="333"/>
      <c r="AF648" s="333"/>
      <c r="AG648" s="333"/>
      <c r="AH648" s="361"/>
      <c r="AI648" s="361"/>
      <c r="AJ648" s="333"/>
      <c r="AK648" s="333"/>
      <c r="AL648" s="333"/>
      <c r="AM648" s="333"/>
      <c r="AN648" s="333"/>
      <c r="AO648" s="333"/>
      <c r="AP648" s="333"/>
      <c r="AQ648" s="333"/>
      <c r="AR648" s="333"/>
      <c r="AS648" s="333"/>
      <c r="AT648" s="333"/>
      <c r="AU648" s="333"/>
      <c r="AV648" s="333"/>
      <c r="AW648" s="333"/>
      <c r="AX648" s="335"/>
      <c r="AY648" s="335"/>
      <c r="AZ648" s="335"/>
      <c r="BA648" s="333"/>
      <c r="BB648" s="333"/>
      <c r="BC648" s="333"/>
      <c r="BD648" s="333"/>
      <c r="BE648" s="333"/>
      <c r="BF648" s="333"/>
      <c r="BG648" s="333"/>
      <c r="BH648" s="333"/>
      <c r="BI648" s="333"/>
      <c r="BJ648" s="333"/>
      <c r="BK648" s="333"/>
      <c r="BL648" s="362"/>
      <c r="BM648" s="333"/>
      <c r="BN648" s="333"/>
      <c r="BO648" s="333"/>
      <c r="BP648" s="333"/>
      <c r="BQ648" s="333"/>
      <c r="BR648" s="333"/>
      <c r="BS648" s="333"/>
      <c r="BT648" s="333"/>
      <c r="BU648" s="333"/>
      <c r="BV648" s="333"/>
      <c r="BW648" s="333"/>
      <c r="BX648" s="333"/>
      <c r="BY648" s="333"/>
      <c r="BZ648" s="333"/>
      <c r="CA648" s="333"/>
      <c r="CB648" s="333"/>
      <c r="CC648" s="333"/>
      <c r="CD648" s="333"/>
      <c r="CE648" s="333"/>
      <c r="CF648" s="333"/>
      <c r="CG648" s="333"/>
      <c r="CH648" s="333"/>
      <c r="CI648" s="333"/>
      <c r="CJ648" s="333"/>
      <c r="CK648" s="333"/>
      <c r="CL648" s="333"/>
      <c r="CM648" s="333"/>
      <c r="CN648" s="333"/>
      <c r="CO648" s="333"/>
      <c r="CP648" s="333"/>
      <c r="CQ648" s="333"/>
      <c r="CR648" s="333"/>
      <c r="CS648" s="333"/>
      <c r="CT648" s="333"/>
      <c r="CU648" s="333"/>
      <c r="CV648" s="333"/>
      <c r="CW648" s="333"/>
      <c r="CX648" s="333"/>
      <c r="CY648" s="333"/>
    </row>
    <row r="649" spans="1:103" x14ac:dyDescent="0.25">
      <c r="A649" s="333"/>
      <c r="B649" s="333"/>
      <c r="C649" s="333"/>
      <c r="D649" s="334"/>
      <c r="E649" s="333"/>
      <c r="F649" s="333"/>
      <c r="G649" s="333"/>
      <c r="H649" s="333"/>
      <c r="I649" s="333"/>
      <c r="J649" s="333"/>
      <c r="K649" s="333"/>
      <c r="L649" s="335"/>
      <c r="M649" s="335"/>
      <c r="N649" s="335"/>
      <c r="O649" s="335"/>
      <c r="P649" s="335"/>
      <c r="Q649" s="335"/>
      <c r="R649" s="335"/>
      <c r="S649" s="335"/>
      <c r="T649" s="335"/>
      <c r="U649" s="360"/>
      <c r="V649" s="360"/>
      <c r="W649" s="360"/>
      <c r="X649" s="333"/>
      <c r="Y649" s="333"/>
      <c r="Z649" s="333"/>
      <c r="AA649" s="333"/>
      <c r="AB649" s="333"/>
      <c r="AC649" s="333"/>
      <c r="AD649" s="333"/>
      <c r="AE649" s="333"/>
      <c r="AF649" s="333"/>
      <c r="AG649" s="333"/>
      <c r="AH649" s="361"/>
      <c r="AI649" s="361"/>
      <c r="AJ649" s="333"/>
      <c r="AK649" s="333"/>
      <c r="AL649" s="333"/>
      <c r="AM649" s="333"/>
      <c r="AN649" s="333"/>
      <c r="AO649" s="333"/>
      <c r="AP649" s="333"/>
      <c r="AQ649" s="333"/>
      <c r="AR649" s="333"/>
      <c r="AS649" s="333"/>
      <c r="AT649" s="333"/>
      <c r="AU649" s="333"/>
      <c r="AV649" s="333"/>
      <c r="AW649" s="333"/>
      <c r="AX649" s="335"/>
      <c r="AY649" s="335"/>
      <c r="AZ649" s="335"/>
      <c r="BA649" s="333"/>
      <c r="BB649" s="333"/>
      <c r="BC649" s="333"/>
      <c r="BD649" s="333"/>
      <c r="BE649" s="333"/>
      <c r="BF649" s="333"/>
      <c r="BG649" s="333"/>
      <c r="BH649" s="333"/>
      <c r="BI649" s="333"/>
      <c r="BJ649" s="333"/>
      <c r="BK649" s="333"/>
      <c r="BL649" s="362"/>
      <c r="BM649" s="333"/>
      <c r="BN649" s="333"/>
      <c r="BO649" s="333"/>
      <c r="BP649" s="333"/>
      <c r="BQ649" s="333"/>
      <c r="BR649" s="333"/>
      <c r="BS649" s="333"/>
      <c r="BT649" s="333"/>
      <c r="BU649" s="333"/>
      <c r="BV649" s="333"/>
      <c r="BW649" s="333"/>
      <c r="BX649" s="333"/>
      <c r="BY649" s="333"/>
      <c r="BZ649" s="333"/>
      <c r="CA649" s="333"/>
      <c r="CB649" s="333"/>
      <c r="CC649" s="333"/>
      <c r="CD649" s="333"/>
      <c r="CE649" s="333"/>
      <c r="CF649" s="333"/>
      <c r="CG649" s="333"/>
      <c r="CH649" s="333"/>
      <c r="CI649" s="333"/>
      <c r="CJ649" s="333"/>
      <c r="CK649" s="333"/>
      <c r="CL649" s="333"/>
      <c r="CM649" s="333"/>
      <c r="CN649" s="333"/>
      <c r="CO649" s="333"/>
      <c r="CP649" s="333"/>
      <c r="CQ649" s="333"/>
      <c r="CR649" s="333"/>
      <c r="CS649" s="333"/>
      <c r="CT649" s="333"/>
      <c r="CU649" s="333"/>
      <c r="CV649" s="333"/>
      <c r="CW649" s="333"/>
      <c r="CX649" s="333"/>
      <c r="CY649" s="333"/>
    </row>
    <row r="650" spans="1:103" x14ac:dyDescent="0.25">
      <c r="A650" s="333"/>
      <c r="B650" s="333"/>
      <c r="C650" s="333"/>
      <c r="D650" s="334"/>
      <c r="E650" s="333"/>
      <c r="F650" s="333"/>
      <c r="G650" s="333"/>
      <c r="H650" s="333"/>
      <c r="I650" s="333"/>
      <c r="J650" s="333"/>
      <c r="K650" s="333"/>
      <c r="L650" s="335"/>
      <c r="M650" s="335"/>
      <c r="N650" s="335"/>
      <c r="O650" s="335"/>
      <c r="P650" s="335"/>
      <c r="Q650" s="335"/>
      <c r="R650" s="335"/>
      <c r="S650" s="335"/>
      <c r="T650" s="335"/>
      <c r="U650" s="360"/>
      <c r="V650" s="360"/>
      <c r="W650" s="360"/>
      <c r="X650" s="333"/>
      <c r="Y650" s="333"/>
      <c r="Z650" s="333"/>
      <c r="AA650" s="333"/>
      <c r="AB650" s="333"/>
      <c r="AC650" s="333"/>
      <c r="AD650" s="333"/>
      <c r="AE650" s="333"/>
      <c r="AF650" s="333"/>
      <c r="AG650" s="333"/>
      <c r="AH650" s="361"/>
      <c r="AI650" s="361"/>
      <c r="AJ650" s="333"/>
      <c r="AK650" s="333"/>
      <c r="AL650" s="333"/>
      <c r="AM650" s="333"/>
      <c r="AN650" s="333"/>
      <c r="AO650" s="333"/>
      <c r="AP650" s="333"/>
      <c r="AQ650" s="333"/>
      <c r="AR650" s="333"/>
      <c r="AS650" s="333"/>
      <c r="AT650" s="333"/>
      <c r="AU650" s="333"/>
      <c r="AV650" s="333"/>
      <c r="AW650" s="333"/>
      <c r="AX650" s="335"/>
      <c r="AY650" s="335"/>
      <c r="AZ650" s="335"/>
      <c r="BA650" s="333"/>
      <c r="BB650" s="333"/>
      <c r="BC650" s="333"/>
      <c r="BD650" s="333"/>
      <c r="BE650" s="333"/>
      <c r="BF650" s="333"/>
      <c r="BG650" s="333"/>
      <c r="BH650" s="333"/>
      <c r="BI650" s="333"/>
      <c r="BJ650" s="333"/>
      <c r="BK650" s="333"/>
      <c r="BL650" s="362"/>
      <c r="BM650" s="333"/>
      <c r="BN650" s="333"/>
      <c r="BO650" s="333"/>
      <c r="BP650" s="333"/>
      <c r="BQ650" s="333"/>
      <c r="BR650" s="333"/>
      <c r="BS650" s="333"/>
      <c r="BT650" s="333"/>
      <c r="BU650" s="333"/>
      <c r="BV650" s="333"/>
      <c r="BW650" s="333"/>
      <c r="BX650" s="333"/>
      <c r="BY650" s="333"/>
      <c r="BZ650" s="333"/>
      <c r="CA650" s="333"/>
      <c r="CB650" s="333"/>
      <c r="CC650" s="333"/>
      <c r="CD650" s="333"/>
      <c r="CE650" s="333"/>
      <c r="CF650" s="333"/>
      <c r="CG650" s="333"/>
      <c r="CH650" s="333"/>
      <c r="CI650" s="333"/>
      <c r="CJ650" s="333"/>
      <c r="CK650" s="333"/>
      <c r="CL650" s="333"/>
      <c r="CM650" s="333"/>
      <c r="CN650" s="333"/>
      <c r="CO650" s="333"/>
      <c r="CP650" s="333"/>
      <c r="CQ650" s="333"/>
      <c r="CR650" s="333"/>
      <c r="CS650" s="333"/>
      <c r="CT650" s="333"/>
      <c r="CU650" s="333"/>
      <c r="CV650" s="333"/>
      <c r="CW650" s="333"/>
      <c r="CX650" s="333"/>
      <c r="CY650" s="333"/>
    </row>
    <row r="651" spans="1:103" x14ac:dyDescent="0.25">
      <c r="A651" s="333"/>
      <c r="B651" s="333"/>
      <c r="C651" s="333"/>
      <c r="D651" s="334"/>
      <c r="E651" s="333"/>
      <c r="F651" s="333"/>
      <c r="G651" s="333"/>
      <c r="H651" s="333"/>
      <c r="I651" s="333"/>
      <c r="J651" s="333"/>
      <c r="K651" s="333"/>
      <c r="L651" s="335"/>
      <c r="M651" s="335"/>
      <c r="N651" s="335"/>
      <c r="O651" s="335"/>
      <c r="P651" s="335"/>
      <c r="Q651" s="335"/>
      <c r="R651" s="335"/>
      <c r="S651" s="335"/>
      <c r="T651" s="335"/>
      <c r="U651" s="360"/>
      <c r="V651" s="360"/>
      <c r="W651" s="360"/>
      <c r="X651" s="333"/>
      <c r="Y651" s="333"/>
      <c r="Z651" s="333"/>
      <c r="AA651" s="333"/>
      <c r="AB651" s="333"/>
      <c r="AC651" s="333"/>
      <c r="AD651" s="333"/>
      <c r="AE651" s="333"/>
      <c r="AF651" s="333"/>
      <c r="AG651" s="333"/>
      <c r="AH651" s="361"/>
      <c r="AI651" s="361"/>
      <c r="AJ651" s="333"/>
      <c r="AK651" s="333"/>
      <c r="AL651" s="333"/>
      <c r="AM651" s="333"/>
      <c r="AN651" s="333"/>
      <c r="AO651" s="333"/>
      <c r="AP651" s="333"/>
      <c r="AQ651" s="333"/>
      <c r="AR651" s="333"/>
      <c r="AS651" s="333"/>
      <c r="AT651" s="333"/>
      <c r="AU651" s="333"/>
      <c r="AV651" s="333"/>
      <c r="AW651" s="333"/>
      <c r="AX651" s="335"/>
      <c r="AY651" s="335"/>
      <c r="AZ651" s="335"/>
      <c r="BA651" s="333"/>
      <c r="BB651" s="333"/>
      <c r="BC651" s="333"/>
      <c r="BD651" s="333"/>
      <c r="BE651" s="333"/>
      <c r="BF651" s="333"/>
      <c r="BG651" s="333"/>
      <c r="BH651" s="333"/>
      <c r="BI651" s="333"/>
      <c r="BJ651" s="333"/>
      <c r="BK651" s="333"/>
      <c r="BL651" s="362"/>
      <c r="BM651" s="333"/>
      <c r="BN651" s="333"/>
      <c r="BO651" s="333"/>
      <c r="BP651" s="333"/>
      <c r="BQ651" s="333"/>
      <c r="BR651" s="333"/>
      <c r="BS651" s="333"/>
      <c r="BT651" s="333"/>
      <c r="BU651" s="333"/>
      <c r="BV651" s="333"/>
      <c r="BW651" s="333"/>
      <c r="BX651" s="333"/>
      <c r="BY651" s="333"/>
      <c r="BZ651" s="333"/>
      <c r="CA651" s="333"/>
      <c r="CB651" s="333"/>
      <c r="CC651" s="333"/>
      <c r="CD651" s="333"/>
      <c r="CE651" s="333"/>
      <c r="CF651" s="333"/>
      <c r="CG651" s="333"/>
      <c r="CH651" s="333"/>
      <c r="CI651" s="333"/>
      <c r="CJ651" s="333"/>
      <c r="CK651" s="333"/>
      <c r="CL651" s="333"/>
      <c r="CM651" s="333"/>
      <c r="CN651" s="333"/>
      <c r="CO651" s="333"/>
      <c r="CP651" s="333"/>
      <c r="CQ651" s="333"/>
      <c r="CR651" s="333"/>
      <c r="CS651" s="333"/>
      <c r="CT651" s="333"/>
      <c r="CU651" s="333"/>
      <c r="CV651" s="333"/>
      <c r="CW651" s="333"/>
      <c r="CX651" s="333"/>
      <c r="CY651" s="333"/>
    </row>
    <row r="652" spans="1:103" x14ac:dyDescent="0.25">
      <c r="A652" s="333"/>
      <c r="B652" s="333"/>
      <c r="C652" s="333"/>
      <c r="D652" s="334"/>
      <c r="E652" s="333"/>
      <c r="F652" s="333"/>
      <c r="G652" s="333"/>
      <c r="H652" s="333"/>
      <c r="I652" s="333"/>
      <c r="J652" s="333"/>
      <c r="K652" s="333"/>
      <c r="L652" s="335"/>
      <c r="M652" s="335"/>
      <c r="N652" s="335"/>
      <c r="O652" s="335"/>
      <c r="P652" s="335"/>
      <c r="Q652" s="335"/>
      <c r="R652" s="335"/>
      <c r="S652" s="335"/>
      <c r="T652" s="335"/>
      <c r="U652" s="360"/>
      <c r="V652" s="360"/>
      <c r="W652" s="360"/>
      <c r="X652" s="333"/>
      <c r="Y652" s="333"/>
      <c r="Z652" s="333"/>
      <c r="AA652" s="333"/>
      <c r="AB652" s="333"/>
      <c r="AC652" s="333"/>
      <c r="AD652" s="333"/>
      <c r="AE652" s="333"/>
      <c r="AF652" s="333"/>
      <c r="AG652" s="333"/>
      <c r="AH652" s="361"/>
      <c r="AI652" s="361"/>
      <c r="AJ652" s="333"/>
      <c r="AK652" s="333"/>
      <c r="AL652" s="333"/>
      <c r="AM652" s="333"/>
      <c r="AN652" s="333"/>
      <c r="AO652" s="333"/>
      <c r="AP652" s="333"/>
      <c r="AQ652" s="333"/>
      <c r="AR652" s="333"/>
      <c r="AS652" s="333"/>
      <c r="AT652" s="333"/>
      <c r="AU652" s="333"/>
      <c r="AV652" s="333"/>
      <c r="AW652" s="333"/>
      <c r="AX652" s="335"/>
      <c r="AY652" s="335"/>
      <c r="AZ652" s="335"/>
      <c r="BA652" s="333"/>
      <c r="BB652" s="333"/>
      <c r="BC652" s="333"/>
      <c r="BD652" s="333"/>
      <c r="BE652" s="333"/>
      <c r="BF652" s="333"/>
      <c r="BG652" s="333"/>
      <c r="BH652" s="333"/>
      <c r="BI652" s="333"/>
      <c r="BJ652" s="333"/>
      <c r="BK652" s="333"/>
      <c r="BL652" s="362"/>
      <c r="BM652" s="333"/>
      <c r="BN652" s="333"/>
      <c r="BO652" s="333"/>
      <c r="BP652" s="333"/>
      <c r="BQ652" s="333"/>
      <c r="BR652" s="333"/>
      <c r="BS652" s="333"/>
      <c r="BT652" s="333"/>
      <c r="BU652" s="333"/>
      <c r="BV652" s="333"/>
      <c r="BW652" s="333"/>
      <c r="BX652" s="333"/>
      <c r="BY652" s="333"/>
      <c r="BZ652" s="333"/>
      <c r="CA652" s="333"/>
      <c r="CB652" s="333"/>
      <c r="CC652" s="333"/>
      <c r="CD652" s="333"/>
      <c r="CE652" s="333"/>
      <c r="CF652" s="333"/>
      <c r="CG652" s="333"/>
      <c r="CH652" s="333"/>
      <c r="CI652" s="333"/>
      <c r="CJ652" s="333"/>
      <c r="CK652" s="333"/>
      <c r="CL652" s="333"/>
      <c r="CM652" s="333"/>
      <c r="CN652" s="333"/>
      <c r="CO652" s="333"/>
      <c r="CP652" s="333"/>
      <c r="CQ652" s="333"/>
      <c r="CR652" s="333"/>
      <c r="CS652" s="333"/>
      <c r="CT652" s="333"/>
      <c r="CU652" s="333"/>
      <c r="CV652" s="333"/>
      <c r="CW652" s="333"/>
      <c r="CX652" s="333"/>
      <c r="CY652" s="333"/>
    </row>
    <row r="653" spans="1:103" x14ac:dyDescent="0.25">
      <c r="A653" s="333"/>
      <c r="B653" s="333"/>
      <c r="C653" s="333"/>
      <c r="D653" s="334"/>
      <c r="E653" s="333"/>
      <c r="F653" s="333"/>
      <c r="G653" s="333"/>
      <c r="H653" s="333"/>
      <c r="I653" s="333"/>
      <c r="J653" s="333"/>
      <c r="K653" s="333"/>
      <c r="L653" s="335"/>
      <c r="M653" s="335"/>
      <c r="N653" s="335"/>
      <c r="O653" s="335"/>
      <c r="P653" s="335"/>
      <c r="Q653" s="335"/>
      <c r="R653" s="335"/>
      <c r="S653" s="335"/>
      <c r="T653" s="335"/>
      <c r="U653" s="360"/>
      <c r="V653" s="360"/>
      <c r="W653" s="360"/>
      <c r="X653" s="333"/>
      <c r="Y653" s="333"/>
      <c r="Z653" s="333"/>
      <c r="AA653" s="333"/>
      <c r="AB653" s="333"/>
      <c r="AC653" s="333"/>
      <c r="AD653" s="333"/>
      <c r="AE653" s="333"/>
      <c r="AF653" s="333"/>
      <c r="AG653" s="333"/>
      <c r="AH653" s="361"/>
      <c r="AI653" s="361"/>
      <c r="AJ653" s="333"/>
      <c r="AK653" s="333"/>
      <c r="AL653" s="333"/>
      <c r="AM653" s="333"/>
      <c r="AN653" s="333"/>
      <c r="AO653" s="333"/>
      <c r="AP653" s="333"/>
      <c r="AQ653" s="333"/>
      <c r="AR653" s="333"/>
      <c r="AS653" s="333"/>
      <c r="AT653" s="333"/>
      <c r="AU653" s="333"/>
      <c r="AV653" s="333"/>
      <c r="AW653" s="333"/>
      <c r="AX653" s="335"/>
      <c r="AY653" s="335"/>
      <c r="AZ653" s="335"/>
      <c r="BA653" s="333"/>
      <c r="BB653" s="333"/>
      <c r="BC653" s="333"/>
      <c r="BD653" s="333"/>
      <c r="BE653" s="333"/>
      <c r="BF653" s="333"/>
      <c r="BG653" s="333"/>
      <c r="BH653" s="333"/>
      <c r="BI653" s="333"/>
      <c r="BJ653" s="333"/>
      <c r="BK653" s="333"/>
      <c r="BL653" s="362"/>
      <c r="BM653" s="333"/>
      <c r="BN653" s="333"/>
      <c r="BO653" s="333"/>
      <c r="BP653" s="333"/>
      <c r="BQ653" s="333"/>
      <c r="BR653" s="333"/>
      <c r="BS653" s="333"/>
      <c r="BT653" s="333"/>
      <c r="BU653" s="333"/>
      <c r="BV653" s="333"/>
      <c r="BW653" s="333"/>
      <c r="BX653" s="333"/>
      <c r="BY653" s="333"/>
      <c r="BZ653" s="333"/>
      <c r="CA653" s="333"/>
      <c r="CB653" s="333"/>
      <c r="CC653" s="333"/>
      <c r="CD653" s="333"/>
      <c r="CE653" s="333"/>
      <c r="CF653" s="333"/>
      <c r="CG653" s="333"/>
      <c r="CH653" s="333"/>
      <c r="CI653" s="333"/>
      <c r="CJ653" s="333"/>
      <c r="CK653" s="333"/>
      <c r="CL653" s="333"/>
      <c r="CM653" s="333"/>
      <c r="CN653" s="333"/>
      <c r="CO653" s="333"/>
      <c r="CP653" s="333"/>
      <c r="CQ653" s="333"/>
      <c r="CR653" s="333"/>
      <c r="CS653" s="333"/>
      <c r="CT653" s="333"/>
      <c r="CU653" s="333"/>
      <c r="CV653" s="333"/>
      <c r="CW653" s="333"/>
      <c r="CX653" s="333"/>
      <c r="CY653" s="333"/>
    </row>
    <row r="654" spans="1:103" x14ac:dyDescent="0.25">
      <c r="A654" s="333"/>
      <c r="B654" s="333"/>
      <c r="C654" s="333"/>
      <c r="D654" s="334"/>
      <c r="E654" s="333"/>
      <c r="F654" s="333"/>
      <c r="G654" s="333"/>
      <c r="H654" s="333"/>
      <c r="I654" s="333"/>
      <c r="J654" s="333"/>
      <c r="K654" s="333"/>
      <c r="L654" s="335"/>
      <c r="M654" s="335"/>
      <c r="N654" s="335"/>
      <c r="O654" s="335"/>
      <c r="P654" s="335"/>
      <c r="Q654" s="335"/>
      <c r="R654" s="335"/>
      <c r="S654" s="335"/>
      <c r="T654" s="335"/>
      <c r="U654" s="360"/>
      <c r="V654" s="360"/>
      <c r="W654" s="360"/>
      <c r="X654" s="333"/>
      <c r="Y654" s="333"/>
      <c r="Z654" s="333"/>
      <c r="AA654" s="333"/>
      <c r="AB654" s="333"/>
      <c r="AC654" s="333"/>
      <c r="AD654" s="333"/>
      <c r="AE654" s="333"/>
      <c r="AF654" s="333"/>
      <c r="AG654" s="333"/>
      <c r="AH654" s="361"/>
      <c r="AI654" s="361"/>
      <c r="AJ654" s="333"/>
      <c r="AK654" s="333"/>
      <c r="AL654" s="333"/>
      <c r="AM654" s="333"/>
      <c r="AN654" s="333"/>
      <c r="AO654" s="333"/>
      <c r="AP654" s="333"/>
      <c r="AQ654" s="333"/>
      <c r="AR654" s="333"/>
      <c r="AS654" s="333"/>
      <c r="AT654" s="333"/>
      <c r="AU654" s="333"/>
      <c r="AV654" s="333"/>
      <c r="AW654" s="333"/>
      <c r="AX654" s="335"/>
      <c r="AY654" s="335"/>
      <c r="AZ654" s="335"/>
      <c r="BA654" s="333"/>
      <c r="BB654" s="333"/>
      <c r="BC654" s="333"/>
      <c r="BD654" s="333"/>
      <c r="BE654" s="333"/>
      <c r="BF654" s="333"/>
      <c r="BG654" s="333"/>
      <c r="BH654" s="333"/>
      <c r="BI654" s="333"/>
      <c r="BJ654" s="333"/>
      <c r="BK654" s="333"/>
      <c r="BL654" s="362"/>
      <c r="BM654" s="333"/>
      <c r="BN654" s="333"/>
      <c r="BO654" s="333"/>
      <c r="BP654" s="333"/>
      <c r="BQ654" s="333"/>
      <c r="BR654" s="333"/>
      <c r="BS654" s="333"/>
      <c r="BT654" s="333"/>
      <c r="BU654" s="333"/>
      <c r="BV654" s="333"/>
      <c r="BW654" s="333"/>
      <c r="BX654" s="333"/>
      <c r="BY654" s="333"/>
      <c r="BZ654" s="333"/>
      <c r="CA654" s="333"/>
      <c r="CB654" s="333"/>
      <c r="CC654" s="333"/>
      <c r="CD654" s="333"/>
      <c r="CE654" s="333"/>
      <c r="CF654" s="333"/>
      <c r="CG654" s="333"/>
      <c r="CH654" s="333"/>
      <c r="CI654" s="333"/>
      <c r="CJ654" s="333"/>
      <c r="CK654" s="333"/>
      <c r="CL654" s="333"/>
      <c r="CM654" s="333"/>
      <c r="CN654" s="333"/>
      <c r="CO654" s="333"/>
      <c r="CP654" s="333"/>
      <c r="CQ654" s="333"/>
      <c r="CR654" s="333"/>
      <c r="CS654" s="333"/>
      <c r="CT654" s="333"/>
      <c r="CU654" s="333"/>
      <c r="CV654" s="333"/>
      <c r="CW654" s="333"/>
      <c r="CX654" s="333"/>
      <c r="CY654" s="333"/>
    </row>
    <row r="655" spans="1:103" x14ac:dyDescent="0.25">
      <c r="A655" s="333"/>
      <c r="B655" s="333"/>
      <c r="C655" s="333"/>
      <c r="D655" s="334"/>
      <c r="E655" s="333"/>
      <c r="F655" s="333"/>
      <c r="G655" s="333"/>
      <c r="H655" s="333"/>
      <c r="I655" s="333"/>
      <c r="J655" s="333"/>
      <c r="K655" s="333"/>
      <c r="L655" s="335"/>
      <c r="M655" s="335"/>
      <c r="N655" s="335"/>
      <c r="O655" s="335"/>
      <c r="P655" s="335"/>
      <c r="Q655" s="335"/>
      <c r="R655" s="335"/>
      <c r="S655" s="335"/>
      <c r="T655" s="335"/>
      <c r="U655" s="360"/>
      <c r="V655" s="360"/>
      <c r="W655" s="360"/>
      <c r="X655" s="333"/>
      <c r="Y655" s="333"/>
      <c r="Z655" s="333"/>
      <c r="AA655" s="333"/>
      <c r="AB655" s="333"/>
      <c r="AC655" s="333"/>
      <c r="AD655" s="333"/>
      <c r="AE655" s="333"/>
      <c r="AF655" s="333"/>
      <c r="AG655" s="333"/>
      <c r="AH655" s="361"/>
      <c r="AI655" s="361"/>
      <c r="AJ655" s="333"/>
      <c r="AK655" s="333"/>
      <c r="AL655" s="333"/>
      <c r="AM655" s="333"/>
      <c r="AN655" s="333"/>
      <c r="AO655" s="333"/>
      <c r="AP655" s="333"/>
      <c r="AQ655" s="333"/>
      <c r="AR655" s="333"/>
      <c r="AS655" s="333"/>
      <c r="AT655" s="333"/>
      <c r="AU655" s="333"/>
      <c r="AV655" s="333"/>
      <c r="AW655" s="333"/>
      <c r="AX655" s="335"/>
      <c r="AY655" s="335"/>
      <c r="AZ655" s="335"/>
      <c r="BA655" s="333"/>
      <c r="BB655" s="333"/>
      <c r="BC655" s="333"/>
      <c r="BD655" s="333"/>
      <c r="BE655" s="333"/>
      <c r="BF655" s="333"/>
      <c r="BG655" s="333"/>
      <c r="BH655" s="333"/>
      <c r="BI655" s="333"/>
      <c r="BJ655" s="333"/>
      <c r="BK655" s="333"/>
      <c r="BL655" s="362"/>
      <c r="BM655" s="333"/>
      <c r="BN655" s="333"/>
      <c r="BO655" s="333"/>
      <c r="BP655" s="333"/>
      <c r="BQ655" s="333"/>
      <c r="BR655" s="333"/>
      <c r="BS655" s="333"/>
      <c r="BT655" s="333"/>
      <c r="BU655" s="333"/>
      <c r="BV655" s="333"/>
      <c r="BW655" s="333"/>
      <c r="BX655" s="333"/>
      <c r="BY655" s="333"/>
      <c r="BZ655" s="333"/>
      <c r="CA655" s="333"/>
      <c r="CB655" s="333"/>
      <c r="CC655" s="333"/>
      <c r="CD655" s="333"/>
      <c r="CE655" s="333"/>
      <c r="CF655" s="333"/>
      <c r="CG655" s="333"/>
      <c r="CH655" s="333"/>
      <c r="CI655" s="333"/>
      <c r="CJ655" s="333"/>
      <c r="CK655" s="333"/>
      <c r="CL655" s="333"/>
      <c r="CM655" s="333"/>
      <c r="CN655" s="333"/>
      <c r="CO655" s="333"/>
      <c r="CP655" s="333"/>
      <c r="CQ655" s="333"/>
      <c r="CR655" s="333"/>
      <c r="CS655" s="333"/>
      <c r="CT655" s="333"/>
      <c r="CU655" s="333"/>
      <c r="CV655" s="333"/>
      <c r="CW655" s="333"/>
      <c r="CX655" s="333"/>
      <c r="CY655" s="333"/>
    </row>
    <row r="656" spans="1:103" x14ac:dyDescent="0.25">
      <c r="A656" s="333"/>
      <c r="B656" s="333"/>
      <c r="C656" s="333"/>
      <c r="D656" s="334"/>
      <c r="E656" s="333"/>
      <c r="F656" s="333"/>
      <c r="G656" s="333"/>
      <c r="H656" s="333"/>
      <c r="I656" s="333"/>
      <c r="J656" s="333"/>
      <c r="K656" s="333"/>
      <c r="L656" s="335"/>
      <c r="M656" s="335"/>
      <c r="N656" s="335"/>
      <c r="O656" s="335"/>
      <c r="P656" s="335"/>
      <c r="Q656" s="335"/>
      <c r="R656" s="335"/>
      <c r="S656" s="335"/>
      <c r="T656" s="335"/>
      <c r="U656" s="360"/>
      <c r="V656" s="360"/>
      <c r="W656" s="360"/>
      <c r="X656" s="333"/>
      <c r="Y656" s="333"/>
      <c r="Z656" s="333"/>
      <c r="AA656" s="333"/>
      <c r="AB656" s="333"/>
      <c r="AC656" s="333"/>
      <c r="AD656" s="333"/>
      <c r="AE656" s="333"/>
      <c r="AF656" s="333"/>
      <c r="AG656" s="333"/>
      <c r="AH656" s="361"/>
      <c r="AI656" s="361"/>
      <c r="AJ656" s="333"/>
      <c r="AK656" s="333"/>
      <c r="AL656" s="333"/>
      <c r="AM656" s="333"/>
      <c r="AN656" s="333"/>
      <c r="AO656" s="333"/>
      <c r="AP656" s="333"/>
      <c r="AQ656" s="333"/>
      <c r="AR656" s="333"/>
      <c r="AS656" s="333"/>
      <c r="AT656" s="333"/>
      <c r="AU656" s="333"/>
      <c r="AV656" s="333"/>
      <c r="AW656" s="333"/>
      <c r="AX656" s="335"/>
      <c r="AY656" s="335"/>
      <c r="AZ656" s="335"/>
      <c r="BA656" s="333"/>
      <c r="BB656" s="333"/>
      <c r="BC656" s="333"/>
      <c r="BD656" s="333"/>
      <c r="BE656" s="333"/>
      <c r="BF656" s="333"/>
      <c r="BG656" s="333"/>
      <c r="BH656" s="333"/>
      <c r="BI656" s="333"/>
      <c r="BJ656" s="333"/>
      <c r="BK656" s="333"/>
      <c r="BL656" s="362"/>
      <c r="BM656" s="333"/>
      <c r="BN656" s="333"/>
      <c r="BO656" s="333"/>
      <c r="BP656" s="333"/>
      <c r="BQ656" s="333"/>
      <c r="BR656" s="333"/>
      <c r="BS656" s="333"/>
      <c r="BT656" s="333"/>
      <c r="BU656" s="333"/>
      <c r="BV656" s="333"/>
      <c r="BW656" s="333"/>
      <c r="BX656" s="333"/>
      <c r="BY656" s="333"/>
      <c r="BZ656" s="333"/>
      <c r="CA656" s="333"/>
      <c r="CB656" s="333"/>
      <c r="CC656" s="333"/>
      <c r="CD656" s="333"/>
      <c r="CE656" s="333"/>
      <c r="CF656" s="333"/>
      <c r="CG656" s="333"/>
      <c r="CH656" s="333"/>
      <c r="CI656" s="333"/>
      <c r="CJ656" s="333"/>
      <c r="CK656" s="333"/>
      <c r="CL656" s="333"/>
      <c r="CM656" s="333"/>
      <c r="CN656" s="333"/>
      <c r="CO656" s="333"/>
      <c r="CP656" s="333"/>
      <c r="CQ656" s="333"/>
      <c r="CR656" s="333"/>
      <c r="CS656" s="333"/>
      <c r="CT656" s="333"/>
      <c r="CU656" s="333"/>
      <c r="CV656" s="333"/>
      <c r="CW656" s="333"/>
      <c r="CX656" s="333"/>
      <c r="CY656" s="333"/>
    </row>
    <row r="657" spans="1:103" x14ac:dyDescent="0.25">
      <c r="A657" s="333"/>
      <c r="B657" s="333"/>
      <c r="C657" s="333"/>
      <c r="D657" s="334"/>
      <c r="E657" s="333"/>
      <c r="F657" s="333"/>
      <c r="G657" s="333"/>
      <c r="H657" s="333"/>
      <c r="I657" s="333"/>
      <c r="J657" s="333"/>
      <c r="K657" s="333"/>
      <c r="L657" s="335"/>
      <c r="M657" s="335"/>
      <c r="N657" s="335"/>
      <c r="O657" s="335"/>
      <c r="P657" s="335"/>
      <c r="Q657" s="335"/>
      <c r="R657" s="335"/>
      <c r="S657" s="335"/>
      <c r="T657" s="335"/>
      <c r="U657" s="360"/>
      <c r="V657" s="360"/>
      <c r="W657" s="360"/>
      <c r="X657" s="333"/>
      <c r="Y657" s="333"/>
      <c r="Z657" s="333"/>
      <c r="AA657" s="333"/>
      <c r="AB657" s="333"/>
      <c r="AC657" s="333"/>
      <c r="AD657" s="333"/>
      <c r="AE657" s="333"/>
      <c r="AF657" s="333"/>
      <c r="AG657" s="333"/>
      <c r="AH657" s="361"/>
      <c r="AI657" s="361"/>
      <c r="AJ657" s="333"/>
      <c r="AK657" s="333"/>
      <c r="AL657" s="333"/>
      <c r="AM657" s="333"/>
      <c r="AN657" s="333"/>
      <c r="AO657" s="333"/>
      <c r="AP657" s="333"/>
      <c r="AQ657" s="333"/>
      <c r="AR657" s="333"/>
      <c r="AS657" s="333"/>
      <c r="AT657" s="333"/>
      <c r="AU657" s="333"/>
      <c r="AV657" s="333"/>
      <c r="AW657" s="333"/>
      <c r="AX657" s="335"/>
      <c r="AY657" s="335"/>
      <c r="AZ657" s="335"/>
      <c r="BA657" s="333"/>
      <c r="BB657" s="333"/>
      <c r="BC657" s="333"/>
      <c r="BD657" s="333"/>
      <c r="BE657" s="333"/>
      <c r="BF657" s="333"/>
      <c r="BG657" s="333"/>
      <c r="BH657" s="333"/>
      <c r="BI657" s="333"/>
      <c r="BJ657" s="333"/>
      <c r="BK657" s="333"/>
      <c r="BL657" s="362"/>
      <c r="BM657" s="333"/>
      <c r="BN657" s="333"/>
      <c r="BO657" s="333"/>
      <c r="BP657" s="333"/>
      <c r="BQ657" s="333"/>
      <c r="BR657" s="333"/>
      <c r="BS657" s="333"/>
      <c r="BT657" s="333"/>
      <c r="BU657" s="333"/>
      <c r="BV657" s="333"/>
      <c r="BW657" s="333"/>
      <c r="BX657" s="333"/>
      <c r="BY657" s="333"/>
      <c r="BZ657" s="333"/>
      <c r="CA657" s="333"/>
      <c r="CB657" s="333"/>
      <c r="CC657" s="333"/>
      <c r="CD657" s="333"/>
      <c r="CE657" s="333"/>
      <c r="CF657" s="333"/>
      <c r="CG657" s="333"/>
      <c r="CH657" s="333"/>
      <c r="CI657" s="333"/>
      <c r="CJ657" s="333"/>
      <c r="CK657" s="333"/>
      <c r="CL657" s="333"/>
      <c r="CM657" s="333"/>
      <c r="CN657" s="333"/>
      <c r="CO657" s="333"/>
      <c r="CP657" s="333"/>
      <c r="CQ657" s="333"/>
      <c r="CR657" s="333"/>
      <c r="CS657" s="333"/>
      <c r="CT657" s="333"/>
      <c r="CU657" s="333"/>
      <c r="CV657" s="333"/>
      <c r="CW657" s="333"/>
      <c r="CX657" s="333"/>
      <c r="CY657" s="333"/>
    </row>
    <row r="658" spans="1:103" x14ac:dyDescent="0.25">
      <c r="A658" s="333"/>
      <c r="B658" s="333"/>
      <c r="C658" s="333"/>
      <c r="D658" s="334"/>
      <c r="E658" s="333"/>
      <c r="F658" s="333"/>
      <c r="G658" s="333"/>
      <c r="H658" s="333"/>
      <c r="I658" s="333"/>
      <c r="J658" s="333"/>
      <c r="K658" s="333"/>
      <c r="L658" s="335"/>
      <c r="M658" s="335"/>
      <c r="N658" s="335"/>
      <c r="O658" s="335"/>
      <c r="P658" s="335"/>
      <c r="Q658" s="335"/>
      <c r="R658" s="335"/>
      <c r="S658" s="335"/>
      <c r="T658" s="335"/>
      <c r="U658" s="360"/>
      <c r="V658" s="360"/>
      <c r="W658" s="360"/>
      <c r="X658" s="333"/>
      <c r="Y658" s="333"/>
      <c r="Z658" s="333"/>
      <c r="AA658" s="333"/>
      <c r="AB658" s="333"/>
      <c r="AC658" s="333"/>
      <c r="AD658" s="333"/>
      <c r="AE658" s="333"/>
      <c r="AF658" s="333"/>
      <c r="AG658" s="333"/>
      <c r="AH658" s="361"/>
      <c r="AI658" s="361"/>
      <c r="AJ658" s="333"/>
      <c r="AK658" s="333"/>
      <c r="AL658" s="333"/>
      <c r="AM658" s="333"/>
      <c r="AN658" s="333"/>
      <c r="AO658" s="333"/>
      <c r="AP658" s="333"/>
      <c r="AQ658" s="333"/>
      <c r="AR658" s="333"/>
      <c r="AS658" s="333"/>
      <c r="AT658" s="333"/>
      <c r="AU658" s="333"/>
      <c r="AV658" s="333"/>
      <c r="AW658" s="333"/>
      <c r="AX658" s="335"/>
      <c r="AY658" s="335"/>
      <c r="AZ658" s="335"/>
      <c r="BA658" s="333"/>
      <c r="BB658" s="333"/>
      <c r="BC658" s="333"/>
      <c r="BD658" s="333"/>
      <c r="BE658" s="333"/>
      <c r="BF658" s="333"/>
      <c r="BG658" s="333"/>
      <c r="BH658" s="333"/>
      <c r="BI658" s="333"/>
      <c r="BJ658" s="333"/>
      <c r="BK658" s="333"/>
      <c r="BL658" s="362"/>
      <c r="BM658" s="333"/>
      <c r="BN658" s="333"/>
      <c r="BO658" s="333"/>
      <c r="BP658" s="333"/>
      <c r="BQ658" s="333"/>
      <c r="BR658" s="333"/>
      <c r="BS658" s="333"/>
      <c r="BT658" s="333"/>
      <c r="BU658" s="333"/>
      <c r="BV658" s="333"/>
      <c r="BW658" s="333"/>
      <c r="BX658" s="333"/>
      <c r="BY658" s="333"/>
      <c r="BZ658" s="333"/>
      <c r="CA658" s="333"/>
      <c r="CB658" s="333"/>
      <c r="CC658" s="333"/>
      <c r="CD658" s="333"/>
      <c r="CE658" s="333"/>
      <c r="CF658" s="333"/>
      <c r="CG658" s="333"/>
      <c r="CH658" s="333"/>
      <c r="CI658" s="333"/>
      <c r="CJ658" s="333"/>
      <c r="CK658" s="333"/>
      <c r="CL658" s="333"/>
      <c r="CM658" s="333"/>
      <c r="CN658" s="333"/>
      <c r="CO658" s="333"/>
      <c r="CP658" s="333"/>
      <c r="CQ658" s="333"/>
      <c r="CR658" s="333"/>
      <c r="CS658" s="333"/>
      <c r="CT658" s="333"/>
      <c r="CU658" s="333"/>
      <c r="CV658" s="333"/>
      <c r="CW658" s="333"/>
      <c r="CX658" s="333"/>
      <c r="CY658" s="333"/>
    </row>
    <row r="659" spans="1:103" x14ac:dyDescent="0.25">
      <c r="A659" s="333"/>
      <c r="B659" s="333"/>
      <c r="C659" s="333"/>
      <c r="D659" s="334"/>
      <c r="E659" s="333"/>
      <c r="F659" s="333"/>
      <c r="G659" s="333"/>
      <c r="H659" s="333"/>
      <c r="I659" s="333"/>
      <c r="J659" s="333"/>
      <c r="K659" s="333"/>
      <c r="L659" s="335"/>
      <c r="M659" s="335"/>
      <c r="N659" s="335"/>
      <c r="O659" s="335"/>
      <c r="P659" s="335"/>
      <c r="Q659" s="335"/>
      <c r="R659" s="335"/>
      <c r="S659" s="335"/>
      <c r="T659" s="335"/>
      <c r="U659" s="360"/>
      <c r="V659" s="360"/>
      <c r="W659" s="360"/>
      <c r="X659" s="333"/>
      <c r="Y659" s="333"/>
      <c r="Z659" s="333"/>
      <c r="AA659" s="333"/>
      <c r="AB659" s="333"/>
      <c r="AC659" s="333"/>
      <c r="AD659" s="333"/>
      <c r="AE659" s="333"/>
      <c r="AF659" s="333"/>
      <c r="AG659" s="333"/>
      <c r="AH659" s="361"/>
      <c r="AI659" s="361"/>
      <c r="AJ659" s="333"/>
      <c r="AK659" s="333"/>
      <c r="AL659" s="333"/>
      <c r="AM659" s="333"/>
      <c r="AN659" s="333"/>
      <c r="AO659" s="333"/>
      <c r="AP659" s="333"/>
      <c r="AQ659" s="333"/>
      <c r="AR659" s="333"/>
      <c r="AS659" s="333"/>
      <c r="AT659" s="333"/>
      <c r="AU659" s="333"/>
      <c r="AV659" s="333"/>
      <c r="AW659" s="333"/>
      <c r="AX659" s="335"/>
      <c r="AY659" s="335"/>
      <c r="AZ659" s="335"/>
      <c r="BA659" s="333"/>
      <c r="BB659" s="333"/>
      <c r="BC659" s="333"/>
      <c r="BD659" s="333"/>
      <c r="BE659" s="333"/>
      <c r="BF659" s="333"/>
      <c r="BG659" s="333"/>
      <c r="BH659" s="333"/>
      <c r="BI659" s="333"/>
      <c r="BJ659" s="333"/>
      <c r="BK659" s="333"/>
      <c r="BL659" s="362"/>
      <c r="BM659" s="333"/>
      <c r="BN659" s="333"/>
      <c r="BO659" s="333"/>
      <c r="BP659" s="333"/>
      <c r="BQ659" s="333"/>
      <c r="BR659" s="333"/>
      <c r="BS659" s="333"/>
      <c r="BT659" s="333"/>
      <c r="BU659" s="333"/>
      <c r="BV659" s="333"/>
      <c r="BW659" s="333"/>
      <c r="BX659" s="333"/>
      <c r="BY659" s="333"/>
      <c r="BZ659" s="333"/>
      <c r="CA659" s="333"/>
      <c r="CB659" s="333"/>
      <c r="CC659" s="333"/>
      <c r="CD659" s="333"/>
      <c r="CE659" s="333"/>
      <c r="CF659" s="333"/>
      <c r="CG659" s="333"/>
      <c r="CH659" s="333"/>
      <c r="CI659" s="333"/>
      <c r="CJ659" s="333"/>
      <c r="CK659" s="333"/>
      <c r="CL659" s="333"/>
      <c r="CM659" s="333"/>
      <c r="CN659" s="333"/>
      <c r="CO659" s="333"/>
      <c r="CP659" s="333"/>
      <c r="CQ659" s="333"/>
      <c r="CR659" s="333"/>
      <c r="CS659" s="333"/>
      <c r="CT659" s="333"/>
      <c r="CU659" s="333"/>
      <c r="CV659" s="333"/>
      <c r="CW659" s="333"/>
      <c r="CX659" s="333"/>
      <c r="CY659" s="333"/>
    </row>
    <row r="660" spans="1:103" x14ac:dyDescent="0.25">
      <c r="A660" s="333"/>
      <c r="B660" s="333"/>
      <c r="C660" s="333"/>
      <c r="D660" s="334"/>
      <c r="E660" s="333"/>
      <c r="F660" s="333"/>
      <c r="G660" s="333"/>
      <c r="H660" s="333"/>
      <c r="I660" s="333"/>
      <c r="J660" s="333"/>
      <c r="K660" s="333"/>
      <c r="L660" s="335"/>
      <c r="M660" s="335"/>
      <c r="N660" s="335"/>
      <c r="O660" s="335"/>
      <c r="P660" s="335"/>
      <c r="Q660" s="335"/>
      <c r="R660" s="335"/>
      <c r="S660" s="335"/>
      <c r="T660" s="335"/>
      <c r="U660" s="360"/>
      <c r="V660" s="360"/>
      <c r="W660" s="360"/>
      <c r="X660" s="333"/>
      <c r="Y660" s="333"/>
      <c r="Z660" s="333"/>
      <c r="AA660" s="333"/>
      <c r="AB660" s="333"/>
      <c r="AC660" s="333"/>
      <c r="AD660" s="333"/>
      <c r="AE660" s="333"/>
      <c r="AF660" s="333"/>
      <c r="AG660" s="333"/>
      <c r="AH660" s="361"/>
      <c r="AI660" s="361"/>
      <c r="AJ660" s="333"/>
      <c r="AK660" s="333"/>
      <c r="AL660" s="333"/>
      <c r="AM660" s="333"/>
      <c r="AN660" s="333"/>
      <c r="AO660" s="333"/>
      <c r="AP660" s="333"/>
      <c r="AQ660" s="333"/>
      <c r="AR660" s="333"/>
      <c r="AS660" s="333"/>
      <c r="AT660" s="333"/>
      <c r="AU660" s="333"/>
      <c r="AV660" s="333"/>
      <c r="AW660" s="333"/>
      <c r="AX660" s="335"/>
      <c r="AY660" s="335"/>
      <c r="AZ660" s="335"/>
      <c r="BA660" s="333"/>
      <c r="BB660" s="333"/>
      <c r="BC660" s="333"/>
      <c r="BD660" s="333"/>
      <c r="BE660" s="333"/>
      <c r="BF660" s="333"/>
      <c r="BG660" s="333"/>
      <c r="BH660" s="333"/>
      <c r="BI660" s="333"/>
      <c r="BJ660" s="333"/>
      <c r="BK660" s="333"/>
      <c r="BL660" s="362"/>
      <c r="BM660" s="333"/>
      <c r="BN660" s="333"/>
      <c r="BO660" s="333"/>
      <c r="BP660" s="333"/>
      <c r="BQ660" s="333"/>
      <c r="BR660" s="333"/>
      <c r="BS660" s="333"/>
      <c r="BT660" s="333"/>
      <c r="BU660" s="333"/>
      <c r="BV660" s="333"/>
      <c r="BW660" s="333"/>
      <c r="BX660" s="333"/>
      <c r="BY660" s="333"/>
      <c r="BZ660" s="333"/>
      <c r="CA660" s="333"/>
      <c r="CB660" s="333"/>
      <c r="CC660" s="333"/>
      <c r="CD660" s="333"/>
      <c r="CE660" s="333"/>
      <c r="CF660" s="333"/>
      <c r="CG660" s="333"/>
      <c r="CH660" s="333"/>
      <c r="CI660" s="333"/>
      <c r="CJ660" s="333"/>
      <c r="CK660" s="333"/>
      <c r="CL660" s="333"/>
      <c r="CM660" s="333"/>
      <c r="CN660" s="333"/>
      <c r="CO660" s="333"/>
      <c r="CP660" s="333"/>
      <c r="CQ660" s="333"/>
      <c r="CR660" s="333"/>
      <c r="CS660" s="333"/>
      <c r="CT660" s="333"/>
      <c r="CU660" s="333"/>
      <c r="CV660" s="333"/>
      <c r="CW660" s="333"/>
      <c r="CX660" s="333"/>
      <c r="CY660" s="333"/>
    </row>
    <row r="661" spans="1:103" x14ac:dyDescent="0.25">
      <c r="A661" s="333"/>
      <c r="B661" s="333"/>
      <c r="C661" s="333"/>
      <c r="D661" s="334"/>
      <c r="E661" s="333"/>
      <c r="F661" s="333"/>
      <c r="G661" s="333"/>
      <c r="H661" s="333"/>
      <c r="I661" s="333"/>
      <c r="J661" s="333"/>
      <c r="K661" s="333"/>
      <c r="L661" s="335"/>
      <c r="M661" s="335"/>
      <c r="N661" s="335"/>
      <c r="O661" s="335"/>
      <c r="P661" s="335"/>
      <c r="Q661" s="335"/>
      <c r="R661" s="335"/>
      <c r="S661" s="335"/>
      <c r="T661" s="335"/>
      <c r="U661" s="360"/>
      <c r="V661" s="360"/>
      <c r="W661" s="360"/>
      <c r="X661" s="333"/>
      <c r="Y661" s="333"/>
      <c r="Z661" s="333"/>
      <c r="AA661" s="333"/>
      <c r="AB661" s="333"/>
      <c r="AC661" s="333"/>
      <c r="AD661" s="333"/>
      <c r="AE661" s="333"/>
      <c r="AF661" s="333"/>
      <c r="AG661" s="333"/>
      <c r="AH661" s="361"/>
      <c r="AI661" s="361"/>
      <c r="AJ661" s="333"/>
      <c r="AK661" s="333"/>
      <c r="AL661" s="333"/>
      <c r="AM661" s="333"/>
      <c r="AN661" s="333"/>
      <c r="AO661" s="333"/>
      <c r="AP661" s="333"/>
      <c r="AQ661" s="333"/>
      <c r="AR661" s="333"/>
      <c r="AS661" s="333"/>
      <c r="AT661" s="333"/>
      <c r="AU661" s="333"/>
      <c r="AV661" s="333"/>
      <c r="AW661" s="333"/>
      <c r="AX661" s="335"/>
      <c r="AY661" s="335"/>
      <c r="AZ661" s="335"/>
      <c r="BA661" s="333"/>
      <c r="BB661" s="333"/>
      <c r="BC661" s="333"/>
      <c r="BD661" s="333"/>
      <c r="BE661" s="333"/>
      <c r="BF661" s="333"/>
      <c r="BG661" s="333"/>
      <c r="BH661" s="333"/>
      <c r="BI661" s="333"/>
      <c r="BJ661" s="333"/>
      <c r="BK661" s="333"/>
      <c r="BL661" s="362"/>
      <c r="BM661" s="333"/>
      <c r="BN661" s="333"/>
      <c r="BO661" s="333"/>
      <c r="BP661" s="333"/>
      <c r="BQ661" s="333"/>
      <c r="BR661" s="333"/>
      <c r="BS661" s="333"/>
      <c r="BT661" s="333"/>
      <c r="BU661" s="333"/>
      <c r="BV661" s="333"/>
      <c r="BW661" s="333"/>
      <c r="BX661" s="333"/>
      <c r="BY661" s="333"/>
      <c r="BZ661" s="333"/>
      <c r="CA661" s="333"/>
      <c r="CB661" s="333"/>
      <c r="CC661" s="333"/>
      <c r="CD661" s="333"/>
      <c r="CE661" s="333"/>
      <c r="CF661" s="333"/>
      <c r="CG661" s="333"/>
      <c r="CH661" s="333"/>
      <c r="CI661" s="333"/>
      <c r="CJ661" s="333"/>
      <c r="CK661" s="333"/>
      <c r="CL661" s="333"/>
      <c r="CM661" s="333"/>
      <c r="CN661" s="333"/>
      <c r="CO661" s="333"/>
      <c r="CP661" s="333"/>
      <c r="CQ661" s="333"/>
      <c r="CR661" s="333"/>
      <c r="CS661" s="333"/>
      <c r="CT661" s="333"/>
      <c r="CU661" s="333"/>
      <c r="CV661" s="333"/>
      <c r="CW661" s="333"/>
      <c r="CX661" s="333"/>
      <c r="CY661" s="333"/>
    </row>
    <row r="662" spans="1:103" x14ac:dyDescent="0.25">
      <c r="A662" s="333"/>
      <c r="B662" s="333"/>
      <c r="C662" s="333"/>
      <c r="D662" s="334"/>
      <c r="E662" s="333"/>
      <c r="F662" s="333"/>
      <c r="G662" s="333"/>
      <c r="H662" s="333"/>
      <c r="I662" s="333"/>
      <c r="J662" s="333"/>
      <c r="K662" s="333"/>
      <c r="L662" s="335"/>
      <c r="M662" s="335"/>
      <c r="N662" s="335"/>
      <c r="O662" s="335"/>
      <c r="P662" s="335"/>
      <c r="Q662" s="335"/>
      <c r="R662" s="335"/>
      <c r="S662" s="335"/>
      <c r="T662" s="335"/>
      <c r="U662" s="360"/>
      <c r="V662" s="360"/>
      <c r="W662" s="360"/>
      <c r="X662" s="333"/>
      <c r="Y662" s="333"/>
      <c r="Z662" s="333"/>
      <c r="AA662" s="333"/>
      <c r="AB662" s="333"/>
      <c r="AC662" s="333"/>
      <c r="AD662" s="333"/>
      <c r="AE662" s="333"/>
      <c r="AF662" s="333"/>
      <c r="AG662" s="333"/>
      <c r="AH662" s="361"/>
      <c r="AI662" s="361"/>
      <c r="AJ662" s="333"/>
      <c r="AK662" s="333"/>
      <c r="AL662" s="333"/>
      <c r="AM662" s="333"/>
      <c r="AN662" s="333"/>
      <c r="AO662" s="333"/>
      <c r="AP662" s="333"/>
      <c r="AQ662" s="333"/>
      <c r="AR662" s="333"/>
      <c r="AS662" s="333"/>
      <c r="AT662" s="333"/>
      <c r="AU662" s="333"/>
      <c r="AV662" s="333"/>
      <c r="AW662" s="333"/>
      <c r="AX662" s="335"/>
      <c r="AY662" s="335"/>
      <c r="AZ662" s="335"/>
      <c r="BA662" s="333"/>
      <c r="BB662" s="333"/>
      <c r="BC662" s="333"/>
      <c r="BD662" s="333"/>
      <c r="BE662" s="333"/>
      <c r="BF662" s="333"/>
      <c r="BG662" s="333"/>
      <c r="BH662" s="333"/>
      <c r="BI662" s="333"/>
      <c r="BJ662" s="333"/>
      <c r="BK662" s="333"/>
      <c r="BL662" s="362"/>
      <c r="BM662" s="333"/>
      <c r="BN662" s="333"/>
      <c r="BO662" s="333"/>
      <c r="BP662" s="333"/>
      <c r="BQ662" s="333"/>
      <c r="BR662" s="333"/>
      <c r="BS662" s="333"/>
      <c r="BT662" s="333"/>
      <c r="BU662" s="333"/>
      <c r="BV662" s="333"/>
      <c r="BW662" s="333"/>
      <c r="BX662" s="333"/>
      <c r="BY662" s="333"/>
      <c r="BZ662" s="333"/>
      <c r="CA662" s="333"/>
      <c r="CB662" s="333"/>
      <c r="CC662" s="333"/>
      <c r="CD662" s="333"/>
      <c r="CE662" s="333"/>
      <c r="CF662" s="333"/>
      <c r="CG662" s="333"/>
      <c r="CH662" s="333"/>
      <c r="CI662" s="333"/>
      <c r="CJ662" s="333"/>
      <c r="CK662" s="333"/>
      <c r="CL662" s="333"/>
      <c r="CM662" s="333"/>
      <c r="CN662" s="333"/>
      <c r="CO662" s="333"/>
      <c r="CP662" s="333"/>
      <c r="CQ662" s="333"/>
      <c r="CR662" s="333"/>
      <c r="CS662" s="333"/>
      <c r="CT662" s="333"/>
      <c r="CU662" s="333"/>
      <c r="CV662" s="333"/>
      <c r="CW662" s="333"/>
      <c r="CX662" s="333"/>
      <c r="CY662" s="333"/>
    </row>
    <row r="663" spans="1:103" x14ac:dyDescent="0.25">
      <c r="A663" s="333"/>
      <c r="B663" s="333"/>
      <c r="C663" s="333"/>
      <c r="D663" s="334"/>
      <c r="E663" s="333"/>
      <c r="F663" s="333"/>
      <c r="G663" s="333"/>
      <c r="H663" s="333"/>
      <c r="I663" s="333"/>
      <c r="J663" s="333"/>
      <c r="K663" s="333"/>
      <c r="L663" s="335"/>
      <c r="M663" s="335"/>
      <c r="N663" s="335"/>
      <c r="O663" s="335"/>
      <c r="P663" s="335"/>
      <c r="Q663" s="335"/>
      <c r="R663" s="335"/>
      <c r="S663" s="335"/>
      <c r="T663" s="335"/>
      <c r="U663" s="360"/>
      <c r="V663" s="360"/>
      <c r="W663" s="360"/>
      <c r="X663" s="333"/>
      <c r="Y663" s="333"/>
      <c r="Z663" s="333"/>
      <c r="AA663" s="333"/>
      <c r="AB663" s="333"/>
      <c r="AC663" s="333"/>
      <c r="AD663" s="333"/>
      <c r="AE663" s="333"/>
      <c r="AF663" s="333"/>
      <c r="AG663" s="333"/>
      <c r="AH663" s="361"/>
      <c r="AI663" s="361"/>
      <c r="AJ663" s="333"/>
      <c r="AK663" s="333"/>
      <c r="AL663" s="333"/>
      <c r="AM663" s="333"/>
      <c r="AN663" s="333"/>
      <c r="AO663" s="333"/>
      <c r="AP663" s="333"/>
      <c r="AQ663" s="333"/>
      <c r="AR663" s="333"/>
      <c r="AS663" s="333"/>
      <c r="AT663" s="333"/>
      <c r="AU663" s="333"/>
      <c r="AV663" s="333"/>
      <c r="AW663" s="333"/>
      <c r="AX663" s="335"/>
      <c r="AY663" s="335"/>
      <c r="AZ663" s="335"/>
      <c r="BA663" s="333"/>
      <c r="BB663" s="333"/>
      <c r="BC663" s="333"/>
      <c r="BD663" s="333"/>
      <c r="BE663" s="333"/>
      <c r="BF663" s="333"/>
      <c r="BG663" s="333"/>
      <c r="BH663" s="333"/>
      <c r="BI663" s="333"/>
      <c r="BJ663" s="333"/>
      <c r="BK663" s="333"/>
      <c r="BL663" s="362"/>
      <c r="BM663" s="333"/>
      <c r="BN663" s="333"/>
      <c r="BO663" s="333"/>
      <c r="BP663" s="333"/>
      <c r="BQ663" s="333"/>
      <c r="BR663" s="333"/>
      <c r="BS663" s="333"/>
      <c r="BT663" s="333"/>
      <c r="BU663" s="333"/>
      <c r="BV663" s="333"/>
      <c r="BW663" s="333"/>
      <c r="BX663" s="333"/>
      <c r="BY663" s="333"/>
      <c r="BZ663" s="333"/>
      <c r="CA663" s="333"/>
      <c r="CB663" s="333"/>
      <c r="CC663" s="333"/>
      <c r="CD663" s="333"/>
      <c r="CE663" s="333"/>
      <c r="CF663" s="333"/>
      <c r="CG663" s="333"/>
      <c r="CH663" s="333"/>
      <c r="CI663" s="333"/>
      <c r="CJ663" s="333"/>
      <c r="CK663" s="333"/>
      <c r="CL663" s="333"/>
      <c r="CM663" s="333"/>
      <c r="CN663" s="333"/>
      <c r="CO663" s="333"/>
      <c r="CP663" s="333"/>
      <c r="CQ663" s="333"/>
      <c r="CR663" s="333"/>
      <c r="CS663" s="333"/>
      <c r="CT663" s="333"/>
      <c r="CU663" s="333"/>
      <c r="CV663" s="333"/>
      <c r="CW663" s="333"/>
      <c r="CX663" s="333"/>
      <c r="CY663" s="333"/>
    </row>
    <row r="664" spans="1:103" x14ac:dyDescent="0.25">
      <c r="A664" s="333"/>
      <c r="B664" s="333"/>
      <c r="C664" s="333"/>
      <c r="D664" s="334"/>
      <c r="E664" s="333"/>
      <c r="F664" s="333"/>
      <c r="G664" s="333"/>
      <c r="H664" s="333"/>
      <c r="I664" s="333"/>
      <c r="J664" s="333"/>
      <c r="K664" s="333"/>
      <c r="L664" s="335"/>
      <c r="M664" s="335"/>
      <c r="N664" s="335"/>
      <c r="O664" s="335"/>
      <c r="P664" s="335"/>
      <c r="Q664" s="335"/>
      <c r="R664" s="335"/>
      <c r="S664" s="335"/>
      <c r="T664" s="335"/>
      <c r="U664" s="360"/>
      <c r="V664" s="360"/>
      <c r="W664" s="360"/>
      <c r="X664" s="333"/>
      <c r="Y664" s="333"/>
      <c r="Z664" s="333"/>
      <c r="AA664" s="333"/>
      <c r="AB664" s="333"/>
      <c r="AC664" s="333"/>
      <c r="AD664" s="333"/>
      <c r="AE664" s="333"/>
      <c r="AF664" s="333"/>
      <c r="AG664" s="333"/>
      <c r="AH664" s="361"/>
      <c r="AI664" s="361"/>
      <c r="AJ664" s="333"/>
      <c r="AK664" s="333"/>
      <c r="AL664" s="333"/>
      <c r="AM664" s="333"/>
      <c r="AN664" s="333"/>
      <c r="AO664" s="333"/>
      <c r="AP664" s="333"/>
      <c r="AQ664" s="333"/>
      <c r="AR664" s="333"/>
      <c r="AS664" s="333"/>
      <c r="AT664" s="333"/>
      <c r="AU664" s="333"/>
      <c r="AV664" s="333"/>
      <c r="AW664" s="333"/>
      <c r="AX664" s="335"/>
      <c r="AY664" s="335"/>
      <c r="AZ664" s="335"/>
      <c r="BA664" s="333"/>
      <c r="BB664" s="333"/>
      <c r="BC664" s="333"/>
      <c r="BD664" s="333"/>
      <c r="BE664" s="333"/>
      <c r="BF664" s="333"/>
      <c r="BG664" s="333"/>
      <c r="BH664" s="333"/>
      <c r="BI664" s="333"/>
      <c r="BJ664" s="333"/>
      <c r="BK664" s="333"/>
      <c r="BL664" s="362"/>
      <c r="BM664" s="333"/>
      <c r="BN664" s="333"/>
      <c r="BO664" s="333"/>
      <c r="BP664" s="333"/>
      <c r="BQ664" s="333"/>
      <c r="BR664" s="333"/>
      <c r="BS664" s="333"/>
      <c r="BT664" s="333"/>
      <c r="BU664" s="333"/>
      <c r="BV664" s="333"/>
      <c r="BW664" s="333"/>
      <c r="BX664" s="333"/>
      <c r="BY664" s="333"/>
      <c r="BZ664" s="333"/>
      <c r="CA664" s="333"/>
      <c r="CB664" s="333"/>
      <c r="CC664" s="333"/>
      <c r="CD664" s="333"/>
      <c r="CE664" s="333"/>
      <c r="CF664" s="333"/>
      <c r="CG664" s="333"/>
      <c r="CH664" s="333"/>
      <c r="CI664" s="333"/>
      <c r="CJ664" s="333"/>
      <c r="CK664" s="333"/>
      <c r="CL664" s="333"/>
      <c r="CM664" s="333"/>
      <c r="CN664" s="333"/>
      <c r="CO664" s="333"/>
      <c r="CP664" s="333"/>
      <c r="CQ664" s="333"/>
      <c r="CR664" s="333"/>
      <c r="CS664" s="333"/>
      <c r="CT664" s="333"/>
      <c r="CU664" s="333"/>
      <c r="CV664" s="333"/>
      <c r="CW664" s="333"/>
      <c r="CX664" s="333"/>
      <c r="CY664" s="333"/>
    </row>
  </sheetData>
  <sheetProtection algorithmName="SHA-512" hashValue="zUvSyA+iNdbwj9/mr+ZzPzIlPVqxlvL0IEBrcQmAAOn8VulmSyB5Dy278zVmyn27dVfJOu/3PilBR275v3ewbw==" saltValue="ls69gqLuLAyWagwKx0oqZw==" spinCount="100000" sheet="1" objects="1" scenarios="1" selectLockedCells="1" autoFilter="0"/>
  <autoFilter ref="C23:C523">
    <filterColumn colId="0">
      <filters>
        <filter val="5"/>
      </filters>
    </filterColumn>
  </autoFilter>
  <mergeCells count="61">
    <mergeCell ref="BC24:BC523"/>
    <mergeCell ref="BD24:BD523"/>
    <mergeCell ref="BF22:BF23"/>
    <mergeCell ref="N21:N23"/>
    <mergeCell ref="AY22:AY23"/>
    <mergeCell ref="AX22:AX23"/>
    <mergeCell ref="AB20:AB23"/>
    <mergeCell ref="O21:O23"/>
    <mergeCell ref="P21:P23"/>
    <mergeCell ref="R21:R23"/>
    <mergeCell ref="S21:S23"/>
    <mergeCell ref="Q22:Q23"/>
    <mergeCell ref="T21:T23"/>
    <mergeCell ref="T20:U20"/>
    <mergeCell ref="U21:U23"/>
    <mergeCell ref="V20:W20"/>
    <mergeCell ref="BQ22:BQ23"/>
    <mergeCell ref="CG20:CG23"/>
    <mergeCell ref="BJ21:BL21"/>
    <mergeCell ref="BE20:BL20"/>
    <mergeCell ref="BF21:BI21"/>
    <mergeCell ref="BG22:BG23"/>
    <mergeCell ref="BI22:BI23"/>
    <mergeCell ref="BH22:BH23"/>
    <mergeCell ref="BE22:BE23"/>
    <mergeCell ref="DG540:DH540"/>
    <mergeCell ref="DA540:DC540"/>
    <mergeCell ref="DD540:DF540"/>
    <mergeCell ref="BJ22:BJ23"/>
    <mergeCell ref="BK22:BK23"/>
    <mergeCell ref="BL22:BL23"/>
    <mergeCell ref="CJ20:CJ23"/>
    <mergeCell ref="CK20:CK23"/>
    <mergeCell ref="CL20:CL23"/>
    <mergeCell ref="CI20:CI23"/>
    <mergeCell ref="CM20:CM23"/>
    <mergeCell ref="CN20:CN23"/>
    <mergeCell ref="CO20:CO23"/>
    <mergeCell ref="CP20:CP23"/>
    <mergeCell ref="CQ20:CQ23"/>
    <mergeCell ref="CH20:CH23"/>
    <mergeCell ref="D530:F530"/>
    <mergeCell ref="E18:H18"/>
    <mergeCell ref="K21:K23"/>
    <mergeCell ref="Q20:S20"/>
    <mergeCell ref="N20:P20"/>
    <mergeCell ref="I20:I23"/>
    <mergeCell ref="J20:J23"/>
    <mergeCell ref="L22:M23"/>
    <mergeCell ref="F20:F22"/>
    <mergeCell ref="G20:G22"/>
    <mergeCell ref="L20:M20"/>
    <mergeCell ref="W21:W23"/>
    <mergeCell ref="E11:N11"/>
    <mergeCell ref="E10:N10"/>
    <mergeCell ref="E527:S527"/>
    <mergeCell ref="P10:R10"/>
    <mergeCell ref="E20:E22"/>
    <mergeCell ref="P11:R11"/>
    <mergeCell ref="H20:H22"/>
    <mergeCell ref="V21:V23"/>
  </mergeCells>
  <phoneticPr fontId="3" type="noConversion"/>
  <conditionalFormatting sqref="T539">
    <cfRule type="expression" dxfId="49" priority="147" stopIfTrue="1">
      <formula>$AN$25</formula>
    </cfRule>
  </conditionalFormatting>
  <conditionalFormatting sqref="K526">
    <cfRule type="cellIs" dxfId="48" priority="151" stopIfTrue="1" operator="equal">
      <formula>$K$577</formula>
    </cfRule>
  </conditionalFormatting>
  <conditionalFormatting sqref="C20:D23">
    <cfRule type="expression" dxfId="47" priority="161" stopIfTrue="1">
      <formula>RowsPreferredOne&lt;&gt;RowsShownOne</formula>
    </cfRule>
  </conditionalFormatting>
  <conditionalFormatting sqref="Q18:X18">
    <cfRule type="expression" dxfId="46" priority="450" stopIfTrue="1">
      <formula>$P$18&lt;&gt;""</formula>
    </cfRule>
  </conditionalFormatting>
  <conditionalFormatting sqref="V525">
    <cfRule type="expression" dxfId="45" priority="136" stopIfTrue="1">
      <formula>AND(P566,$L$595&gt;0,$U$591=TRUE)</formula>
    </cfRule>
    <cfRule type="expression" dxfId="44" priority="137" stopIfTrue="1">
      <formula>AND($L$595&gt;0,$U$594=TRUE,P566)</formula>
    </cfRule>
  </conditionalFormatting>
  <conditionalFormatting sqref="G24:G523">
    <cfRule type="expression" dxfId="43" priority="134">
      <formula>G24&lt;2*PI()*(F24/PI())^0.5</formula>
    </cfRule>
  </conditionalFormatting>
  <conditionalFormatting sqref="N24:N523">
    <cfRule type="expression" dxfId="42" priority="129">
      <formula>OR(DK24&lt;&gt;"OK",DL24&lt;&gt;"OK")</formula>
    </cfRule>
  </conditionalFormatting>
  <conditionalFormatting sqref="Q24:Q523">
    <cfRule type="expression" dxfId="41" priority="127">
      <formula>OR(DS24&lt;&gt;"OK",DT24&lt;&gt;"OK")</formula>
    </cfRule>
  </conditionalFormatting>
  <conditionalFormatting sqref="S11:X11">
    <cfRule type="expression" dxfId="40" priority="122" stopIfTrue="1">
      <formula>$S$11&lt;&gt;""</formula>
    </cfRule>
  </conditionalFormatting>
  <conditionalFormatting sqref="D24:D523">
    <cfRule type="expression" dxfId="39" priority="121">
      <formula>ISBLANK(E24)</formula>
    </cfRule>
  </conditionalFormatting>
  <conditionalFormatting sqref="I18">
    <cfRule type="cellIs" dxfId="38" priority="120" operator="lessThan">
      <formula>RowsFilledOne</formula>
    </cfRule>
  </conditionalFormatting>
  <conditionalFormatting sqref="W527">
    <cfRule type="expression" dxfId="37" priority="148" stopIfTrue="1">
      <formula>AND(P566,$L$595&gt;0,$U$591=TRUE)</formula>
    </cfRule>
    <cfRule type="expression" dxfId="36" priority="149" stopIfTrue="1">
      <formula>AND($L$595&gt;0,$U$594=TRUE,P566)</formula>
    </cfRule>
    <cfRule type="expression" dxfId="35" priority="150" stopIfTrue="1">
      <formula>($L$595=0)</formula>
    </cfRule>
  </conditionalFormatting>
  <conditionalFormatting sqref="E527:S527">
    <cfRule type="expression" dxfId="34" priority="111">
      <formula>$E$527&lt;&gt;""</formula>
    </cfRule>
  </conditionalFormatting>
  <conditionalFormatting sqref="L24:M523">
    <cfRule type="expression" dxfId="33" priority="107" stopIfTrue="1">
      <formula>$L24/$M24&gt;1.5</formula>
    </cfRule>
    <cfRule type="expression" dxfId="32" priority="108" stopIfTrue="1">
      <formula>$L24/$M24&gt;1.25</formula>
    </cfRule>
    <cfRule type="expression" dxfId="31" priority="109" stopIfTrue="1">
      <formula>$L24/$M24&gt;1.1</formula>
    </cfRule>
    <cfRule type="expression" dxfId="30" priority="110" stopIfTrue="1">
      <formula>$L24/$M24&gt;=1</formula>
    </cfRule>
  </conditionalFormatting>
  <conditionalFormatting sqref="S24:S523">
    <cfRule type="expression" dxfId="29" priority="112">
      <formula>OR(AND(S24&lt;0,$Q24=FixedDim),AND($Q24=FixedDim,S24=""))</formula>
    </cfRule>
    <cfRule type="expression" dxfId="28" priority="113">
      <formula>AND(Q24=FixedDim,S24&gt;=0, S24&lt;=1)</formula>
    </cfRule>
  </conditionalFormatting>
  <conditionalFormatting sqref="P24:P523">
    <cfRule type="expression" dxfId="27" priority="114">
      <formula>OR(AND(P24&lt;0,$N24=FixedDim),AND(N24=FixedDim,P24=""))</formula>
    </cfRule>
    <cfRule type="expression" dxfId="26" priority="115">
      <formula>AND(N24=FixedDim,P24&gt;=0, P24&lt;=1)</formula>
    </cfRule>
  </conditionalFormatting>
  <conditionalFormatting sqref="R24:R523">
    <cfRule type="expression" dxfId="25" priority="125" stopIfTrue="1">
      <formula>AND(OR(Q24=ProgDim),R24&gt;=0.75,R24&lt;1)</formula>
    </cfRule>
    <cfRule type="expression" dxfId="24" priority="132" stopIfTrue="1">
      <formula>OR(AND(OR(Q24=ProgDim),R24=0),AND(OR(Q24&lt;&gt;ProgDim),R24&gt;0))</formula>
    </cfRule>
  </conditionalFormatting>
  <conditionalFormatting sqref="O24:O523">
    <cfRule type="expression" dxfId="23" priority="130" stopIfTrue="1">
      <formula>AND(OR(N24=ProgDim),O24&gt;=0.75,O24&lt;1)</formula>
    </cfRule>
    <cfRule type="expression" dxfId="22" priority="152" stopIfTrue="1">
      <formula>OR(AND(OR(N24=ProgDim),O24=0),AND(OR(N24&lt;&gt;ProgDim),O24&gt;0))</formula>
    </cfRule>
  </conditionalFormatting>
  <conditionalFormatting sqref="W24:W523">
    <cfRule type="expression" dxfId="21" priority="144" stopIfTrue="1">
      <formula>BJ24</formula>
    </cfRule>
    <cfRule type="expression" dxfId="20" priority="145" stopIfTrue="1">
      <formula>BK24</formula>
    </cfRule>
    <cfRule type="expression" dxfId="19" priority="146" stopIfTrue="1">
      <formula>BL24</formula>
    </cfRule>
  </conditionalFormatting>
  <conditionalFormatting sqref="V24:V523">
    <cfRule type="expression" dxfId="18" priority="480" stopIfTrue="1">
      <formula>BG24</formula>
    </cfRule>
    <cfRule type="expression" dxfId="17" priority="481" stopIfTrue="1">
      <formula>BH24</formula>
    </cfRule>
    <cfRule type="expression" dxfId="16" priority="482" stopIfTrue="1">
      <formula>BI24</formula>
    </cfRule>
    <cfRule type="expression" dxfId="15" priority="483" stopIfTrue="1">
      <formula>BF24</formula>
    </cfRule>
    <cfRule type="expression" dxfId="14" priority="484" stopIfTrue="1">
      <formula>BL24</formula>
    </cfRule>
  </conditionalFormatting>
  <conditionalFormatting sqref="J18">
    <cfRule type="expression" dxfId="13" priority="527" stopIfTrue="1">
      <formula>$BV$16&gt;$BT$21</formula>
    </cfRule>
    <cfRule type="expression" dxfId="12" priority="528" stopIfTrue="1">
      <formula>$BV$16=$BT$21</formula>
    </cfRule>
    <cfRule type="expression" dxfId="11" priority="529" stopIfTrue="1">
      <formula>$BV$16&lt;$BT$21</formula>
    </cfRule>
  </conditionalFormatting>
  <conditionalFormatting sqref="E23">
    <cfRule type="expression" dxfId="10" priority="2" stopIfTrue="1">
      <formula>$J$99</formula>
    </cfRule>
    <cfRule type="expression" dxfId="9" priority="3" stopIfTrue="1">
      <formula>NOT($J$99)</formula>
    </cfRule>
  </conditionalFormatting>
  <conditionalFormatting sqref="H23">
    <cfRule type="expression" dxfId="8" priority="6" stopIfTrue="1">
      <formula>$J$99</formula>
    </cfRule>
    <cfRule type="expression" dxfId="7" priority="7" stopIfTrue="1">
      <formula>NOT($J$99)</formula>
    </cfRule>
  </conditionalFormatting>
  <conditionalFormatting sqref="F23">
    <cfRule type="expression" dxfId="6" priority="8" stopIfTrue="1">
      <formula>$J$99</formula>
    </cfRule>
    <cfRule type="expression" dxfId="5" priority="9" stopIfTrue="1">
      <formula>NOT($J$99)</formula>
    </cfRule>
  </conditionalFormatting>
  <conditionalFormatting sqref="Q20:S21 Q22:Q23 S22:S23">
    <cfRule type="expression" dxfId="4" priority="10" stopIfTrue="1">
      <formula>$J$108="Green"</formula>
    </cfRule>
    <cfRule type="expression" dxfId="3" priority="11" stopIfTrue="1">
      <formula>$J$109="Red"</formula>
    </cfRule>
  </conditionalFormatting>
  <conditionalFormatting sqref="G23">
    <cfRule type="expression" dxfId="2" priority="4" stopIfTrue="1">
      <formula>$J$99</formula>
    </cfRule>
    <cfRule type="expression" dxfId="1" priority="5" stopIfTrue="1">
      <formula>NOT($J$99)</formula>
    </cfRule>
  </conditionalFormatting>
  <conditionalFormatting sqref="E24:F523 I24:J523">
    <cfRule type="expression" dxfId="0" priority="1">
      <formula>$AO24=TRUE</formula>
    </cfRule>
  </conditionalFormatting>
  <dataValidations xWindow="475" yWindow="396" count="21">
    <dataValidation type="custom" errorStyle="warning" allowBlank="1" showInputMessage="1" showErrorMessage="1" errorTitle="Perimeter of the space" error="The input enter for the perimeter of space is greater than the floor area of the space. Please note that there are only a few situations where this can occur." sqref="G524:G525">
      <formula1>G524&lt;F524</formula1>
    </dataValidation>
    <dataValidation type="custom" errorStyle="warning" allowBlank="1" showInputMessage="1" showErrorMessage="1" errorTitle="Perimeter of the space" error="The attempted input is less than the smallest feasible perimeterfor the nominated area. It is very unlikely to be correct." prompt="Perimeter of the enclosed space at floor level" sqref="G24:G523">
      <formula1>G24&gt;=2*PI()*(F24/PI())^0.5</formula1>
    </dataValidation>
    <dataValidation type="list" allowBlank="1" showInputMessage="1" showErrorMessage="1" sqref="P11">
      <formula1>$Z$558:$Z$567</formula1>
    </dataValidation>
    <dataValidation type="list" allowBlank="1" showInputMessage="1" showErrorMessage="1" sqref="CX540:DG540 CN540:CO540">
      <formula1>$CQ$539:$CQ$583</formula1>
    </dataValidation>
    <dataValidation operator="greaterThanOrEqual" showErrorMessage="1" errorTitle="Fixed Dimming Percentage" error="Adjustment Factor (l) Fixed dimming must be selected to use this cell._x000a_At least 75% of the floor area must be controlled by fixed dimmers for the application of this Adjustment Factor" promptTitle="Fixed Dimming Percentage" prompt="For the Fixed dimming adjustment factor select '(k) Fixed dimming' from the Adjustment Factor drop down menu then enter the percentage of floor area which is controled by the fixed dimmer." sqref="M524:M525"/>
    <dataValidation operator="lessThan" showErrorMessage="1" errorTitle="Fixed Dimming Percentage" error="Check the following inputs:_x000a_-Adjustment Factor (l) Fixed dimming must be selected to use this cell._x000a_-Floor area controlled is equal to or greater than 75%._x000a_-The percentage of power controlled is no greater than 95%. " promptTitle="Fixed Dimming Percentage" prompt="For the Fixed dimming adjustment factor select '(l) Fixed dimming' from the Adjustment Factor drop down menu then enter the percentage of full power to which the dimmer is set. For all other adjustment factors disregard this column." sqref="N524:N525"/>
    <dataValidation operator="greaterThanOrEqual" showErrorMessage="1" errorTitle="Design Lumen Depreciation Factor" error="Adjustment Factor (k) Additional lumen depreciation factor must be selected to use this cell._x000a_Design Lumen Depreciation Factor must be above 0.8 but not greater than 1" promptTitle="Design Lumen Depreciation Factor" prompt="If the design lumen depreciation factor is above the default settings. I.e 0.8 or 0.9 select '(k) Additional lumen depreciation factor' from the Adjustment factor drop down menu then enter the design lumen depreciation factor in this column." sqref="O524:O525 U524:U525"/>
    <dataValidation allowBlank="1" showErrorMessage="1" promptTitle="Adjustment Factor 2" prompt="If two illumination power density adjustment factors are used please ensure that the adjustment factors compliment each other. I.e not using two of the same adjustment factor." sqref="P524:P525"/>
    <dataValidation type="list" allowBlank="1" showInputMessage="1" showErrorMessage="1" sqref="J24:J523">
      <formula1>ValidLocationsOne</formula1>
    </dataValidation>
    <dataValidation type="list" allowBlank="1" showInputMessage="1" showErrorMessage="1" sqref="K24:K525">
      <formula1>$G$539:$G$580</formula1>
    </dataValidation>
    <dataValidation type="whole" allowBlank="1" showErrorMessage="1" errorTitle="Unsuitable number" error="Enter a number no smaller than the number of rows with data already present and no larger than 100." sqref="I18">
      <formula1>RowsFilledOne</formula1>
      <formula2>500</formula2>
    </dataValidation>
    <dataValidation type="list" allowBlank="1" showInputMessage="1" showErrorMessage="1" sqref="Q24:Q523 N24:N523">
      <formula1>IF($J24=$G$548, ValidControlsAll,ValidControlsPart)</formula1>
    </dataValidation>
    <dataValidation type="whole" errorStyle="information" operator="lessThanOrEqual" allowBlank="1" errorTitle="Room Aspect Ratio" error="To use the Room Aspect Ratio adjustment factor enter values in the 'Perimeter of the space' and 'Floor to ceiling height' columns. Otherwise move to the 'Design Illumination Power Load' column." sqref="F24:F523">
      <formula1>1</formula1>
    </dataValidation>
    <dataValidation type="custom" operator="greaterThanOrEqual" showInputMessage="1" showErrorMessage="1" errorTitle="Invalid % of floor area" error="Adjustment Factor (d) must be selected to use this cell._x000a_At least 75% of the floor area must be controlled by dimmers to use this Adjustment Factor._x000a__x000a_Click Cancel and start again. (Do NOT click Retry.)" promptTitle="% of floor area dimmed" prompt="Applies only when the 'd) Programmable dimming system' Adjustment Factor is selected (at left) and where at least 75% of the floor area is controlled by programmable dimmers." sqref="R24:R523 O24:O523">
      <formula1>IF(OR(N24=ProgDim),AND(O24&gt;=0.75,O24&lt;=1),"")</formula1>
    </dataValidation>
    <dataValidation type="custom" operator="lessThan" showInputMessage="1" showErrorMessage="1" errorTitle="Invalid illuminance turndown" error="Adjustment Factor '(e) Fixed dimming' must be selected to use this cell._x000a__x000a_Click Cancel and start again. (Do NOT click Retry.) " promptTitle="Illuminance Turndown" prompt="Applies only when the Adjustment Factor '(e) Fixed dimming' has been selected (at left). _x000a_Enter the illuminance turndown for the fixed dimming._x000a__x000a_For all other Adjustment Factors, disregard this cell." sqref="P24:P523">
      <formula1>AND(N24=FixedDim,P24&gt;=0,P24&lt;=1)</formula1>
    </dataValidation>
    <dataValidation type="custom" operator="lessThan" showInputMessage="1" showErrorMessage="1" errorTitle="Invalid illuminance turndown" error="Adjustment Factor '(e) Fixed dimming' must be selected to use this cell._x000a__x000a_Click Cancel and start again. (Do NOT click Retry.) _x000a_" promptTitle="Illuminance Turndown" prompt="Applies only when the Adjustment Factor '(e) Fixed dimming' has been selected (at left). _x000a_Enter the illuminance turndown for the fixed dimming._x000a__x000a_For all other Adjustment Factors, disregard this cell." sqref="S24:S523">
      <formula1>AND(Q24=FixedDim,S24&gt;=0,S24&lt;=1)</formula1>
    </dataValidation>
    <dataValidation allowBlank="1" showInputMessage="1" showErrorMessage="1" promptTitle="Fixed Dimming Percentage" prompt="If the Fixed dimming illumination power density adjustment factor is used enter the percentage of full power to which the dimmer is set. For all other adjustment factors disregard this column." sqref="S536"/>
    <dataValidation type="decimal" operator="greaterThanOrEqual" allowBlank="1" showInputMessage="1" showErrorMessage="1" errorTitle="Design Lumen Depreciation Factor" error="Design Lumen Depreciation Factor must be above 0.8." promptTitle="Design Lumen Depreciation Factor" prompt="If a Dynamic dimming system is designed to have a design lumen depreciation factor above the default settings. I.e 0.8 or 0.9 (Refer to Table J6.2c for more details). Enter the design lumen depreciation factor in this column.  " sqref="T536">
      <formula1>0.8</formula1>
    </dataValidation>
    <dataValidation operator="greaterThanOrEqual" showErrorMessage="1" errorTitle="Fixed Dimming Percentage" error="Check the following inputs:_x000a_-Adjustment Factor (l) Fixed dimming must be selected to use this cell._x000a_-Floor area controlled is equal to or greater than 75%._x000a_-The percentage of power controlled is no greater than 95%. " promptTitle="Fixed Dimming Percentage" prompt="For the Fixed dimming adjustment factor select '(l) Fixed dimming' from the Adjustment Factor drop down menu then enter the percentage of full power to which the dimmer is set. For all other adjustment factors disregard this column." sqref="T524"/>
    <dataValidation type="decimal" operator="greaterThanOrEqual" allowBlank="1" showInputMessage="1" showErrorMessage="1" sqref="L24:L523">
      <formula1>0</formula1>
    </dataValidation>
    <dataValidation showErrorMessage="1" errorTitle="Fixed Dimming Percentage" error="Adjustment Factor (l) Fixed dimming must be selected to use this cell._x000a_At least 75% of the floor area must be controlled by fixed dimmers for the application of this Adjustment Factor" promptTitle="Fixed Dimming Percentage" prompt="For the Fixed dimming adjustment factor select '(l) Fixed dimming' from the Adjustment Factor drop down menu then enter the percentage of floor area which is controled by the fixed dimmer." sqref="Q525 U525 Q524:S524"/>
  </dataValidations>
  <pageMargins left="0.25" right="0.25" top="0.75" bottom="0.75" header="0.3" footer="0.3"/>
  <pageSetup paperSize="9"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475" yWindow="396" count="1">
        <x14:dataValidation type="list" operator="lessThan" allowBlank="1" showInputMessage="1" showErrorMessage="1" errorTitle="Invalid Colour Range" error="Please use the drop down list to select your colour range._x000a__x000a_Click Cancel and start again. (Do NOT click Retry.) _x000a_" promptTitle="Light Colour Adjustment Factor" prompt="Select the colour range, if applicable to this lighting. _x000a_If your colour is outside the ranges listed, leave this cell blank.">
          <x14:formula1>
            <xm:f>'Adjustment factors'!$R$27:$R$29</xm:f>
          </x14:formula1>
          <xm:sqref>T24:U523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H52"/>
  <sheetViews>
    <sheetView showGridLines="0" showRowColHeaders="0" zoomScale="80" zoomScaleNormal="80" workbookViewId="0">
      <selection activeCell="M2" sqref="M2"/>
    </sheetView>
  </sheetViews>
  <sheetFormatPr defaultColWidth="8.81640625" defaultRowHeight="12.5" x14ac:dyDescent="0.25"/>
  <cols>
    <col min="2" max="2" width="10.7265625" customWidth="1"/>
    <col min="3" max="3" width="28.26953125" customWidth="1"/>
    <col min="4" max="4" width="4" customWidth="1"/>
    <col min="12" max="12" width="14.1796875" customWidth="1"/>
    <col min="13" max="13" width="13.7265625" customWidth="1"/>
    <col min="14" max="14" width="27" customWidth="1"/>
    <col min="15" max="15" width="8.81640625" customWidth="1"/>
    <col min="16" max="16" width="97.7265625" hidden="1" customWidth="1"/>
    <col min="17" max="17" width="3.7265625" style="244" hidden="1" customWidth="1"/>
    <col min="18" max="18" width="33.81640625" hidden="1" customWidth="1"/>
    <col min="19" max="19" width="6.7265625" hidden="1" customWidth="1"/>
    <col min="20" max="20" width="8.1796875" hidden="1" customWidth="1"/>
    <col min="21" max="21" width="45.7265625" hidden="1" customWidth="1"/>
    <col min="22" max="22" width="47.453125" hidden="1" customWidth="1"/>
    <col min="23" max="23" width="7" hidden="1" customWidth="1"/>
    <col min="24" max="24" width="28.54296875" hidden="1" customWidth="1"/>
    <col min="25" max="25" width="2" hidden="1" customWidth="1"/>
    <col min="26" max="26" width="8.81640625" hidden="1" customWidth="1"/>
    <col min="27" max="27" width="32.26953125" hidden="1" customWidth="1"/>
    <col min="28" max="28" width="3.7265625" hidden="1" customWidth="1"/>
    <col min="29" max="29" width="34.7265625" hidden="1" customWidth="1"/>
    <col min="30" max="30" width="6.7265625" hidden="1" customWidth="1"/>
    <col min="31" max="31" width="8.1796875" hidden="1" customWidth="1"/>
    <col min="32" max="32" width="7.26953125" hidden="1" customWidth="1"/>
  </cols>
  <sheetData>
    <row r="1" spans="1:31" ht="167.15" customHeight="1" x14ac:dyDescent="0.3">
      <c r="A1" s="622"/>
      <c r="B1" s="622"/>
      <c r="C1" s="622"/>
      <c r="D1" s="622"/>
      <c r="E1" s="622"/>
      <c r="F1" s="622"/>
      <c r="G1" s="622"/>
      <c r="H1" s="622"/>
      <c r="I1" s="622"/>
      <c r="J1" s="622"/>
      <c r="K1" s="622"/>
      <c r="L1" s="622"/>
      <c r="M1" s="622"/>
      <c r="N1" s="622"/>
      <c r="O1" s="622"/>
      <c r="P1" s="173" t="s">
        <v>298</v>
      </c>
      <c r="Q1" s="173"/>
    </row>
    <row r="2" spans="1:31" ht="40" customHeight="1" x14ac:dyDescent="0.3">
      <c r="A2" s="736"/>
      <c r="B2" s="736"/>
      <c r="C2" s="736"/>
      <c r="D2" s="736"/>
      <c r="E2" s="736"/>
      <c r="F2" s="736"/>
      <c r="G2" s="736"/>
      <c r="H2" s="736"/>
      <c r="I2" s="736"/>
      <c r="J2" s="736"/>
      <c r="K2" s="736"/>
      <c r="L2" s="736"/>
      <c r="M2" s="736"/>
      <c r="N2" s="968" t="s">
        <v>515</v>
      </c>
      <c r="O2" s="968"/>
      <c r="P2" s="174" t="s">
        <v>307</v>
      </c>
      <c r="Q2" s="174"/>
    </row>
    <row r="3" spans="1:31" ht="13" hidden="1" x14ac:dyDescent="0.3">
      <c r="A3" s="422"/>
      <c r="B3" s="422"/>
      <c r="C3" s="422"/>
      <c r="D3" s="422"/>
      <c r="E3" s="422"/>
      <c r="F3" s="422"/>
      <c r="G3" s="422"/>
      <c r="H3" s="422"/>
      <c r="I3" s="422"/>
      <c r="J3" s="422"/>
      <c r="K3" s="422"/>
      <c r="L3" s="422"/>
      <c r="M3" s="422"/>
      <c r="N3" s="422"/>
      <c r="O3" s="422"/>
      <c r="P3" s="174" t="s">
        <v>374</v>
      </c>
      <c r="Q3" s="174"/>
    </row>
    <row r="4" spans="1:31" ht="13" hidden="1" x14ac:dyDescent="0.3">
      <c r="A4" s="422"/>
      <c r="B4" s="422"/>
      <c r="C4" s="422"/>
      <c r="D4" s="422"/>
      <c r="E4" s="422"/>
      <c r="F4" s="422"/>
      <c r="G4" s="422"/>
      <c r="H4" s="422"/>
      <c r="I4" s="422"/>
      <c r="J4" s="422"/>
      <c r="K4" s="422"/>
      <c r="L4" s="422"/>
      <c r="M4" s="422"/>
      <c r="N4" s="422"/>
      <c r="O4" s="422"/>
      <c r="P4" s="174" t="s">
        <v>375</v>
      </c>
      <c r="Q4" s="174"/>
    </row>
    <row r="5" spans="1:31" ht="17.5" hidden="1" x14ac:dyDescent="0.35">
      <c r="A5" s="422"/>
      <c r="B5" s="545"/>
      <c r="C5" s="545"/>
      <c r="D5" s="1003" t="s">
        <v>471</v>
      </c>
      <c r="E5" s="1003"/>
      <c r="F5" s="1003"/>
      <c r="G5" s="1003"/>
      <c r="H5" s="1003"/>
      <c r="I5" s="1003"/>
      <c r="J5" s="1003"/>
      <c r="K5" s="1003"/>
      <c r="L5" s="1003"/>
      <c r="M5" s="545"/>
      <c r="N5" s="545"/>
      <c r="O5" s="422"/>
      <c r="P5" s="174" t="s">
        <v>302</v>
      </c>
      <c r="Q5" s="174"/>
    </row>
    <row r="6" spans="1:31" ht="17.5" hidden="1" x14ac:dyDescent="0.35">
      <c r="A6" s="422"/>
      <c r="B6" s="545"/>
      <c r="C6" s="545"/>
      <c r="D6" s="546"/>
      <c r="E6" s="546"/>
      <c r="F6" s="546"/>
      <c r="G6" s="546"/>
      <c r="H6" s="546"/>
      <c r="I6" s="546"/>
      <c r="J6" s="546"/>
      <c r="K6" s="546"/>
      <c r="L6" s="546"/>
      <c r="M6" s="545"/>
      <c r="N6" s="545"/>
      <c r="O6" s="422"/>
      <c r="P6" s="174" t="s">
        <v>376</v>
      </c>
      <c r="Q6" s="174"/>
    </row>
    <row r="7" spans="1:31" ht="25.5" customHeight="1" x14ac:dyDescent="0.35">
      <c r="A7" s="422"/>
      <c r="B7" s="545"/>
      <c r="C7" s="545"/>
      <c r="D7" s="545"/>
      <c r="E7" s="545"/>
      <c r="F7" s="545"/>
      <c r="G7" s="545"/>
      <c r="H7" s="545"/>
      <c r="I7" s="545"/>
      <c r="J7" s="545"/>
      <c r="K7" s="545"/>
      <c r="L7" s="545"/>
      <c r="M7" s="545"/>
      <c r="N7" s="545"/>
      <c r="O7" s="422"/>
    </row>
    <row r="8" spans="1:31" ht="41.25" customHeight="1" x14ac:dyDescent="0.35">
      <c r="A8" s="422"/>
      <c r="B8" s="702"/>
      <c r="C8" s="969" t="s">
        <v>516</v>
      </c>
      <c r="D8" s="970"/>
      <c r="E8" s="970"/>
      <c r="F8" s="970"/>
      <c r="G8" s="970"/>
      <c r="H8" s="970"/>
      <c r="I8" s="970"/>
      <c r="J8" s="970"/>
      <c r="K8" s="970"/>
      <c r="L8" s="970"/>
      <c r="M8" s="970"/>
      <c r="N8" s="971"/>
      <c r="O8" s="703"/>
    </row>
    <row r="9" spans="1:31" ht="17.5" x14ac:dyDescent="0.35">
      <c r="A9" s="422"/>
      <c r="B9" s="545"/>
      <c r="C9" s="983" t="s">
        <v>15</v>
      </c>
      <c r="D9" s="989" t="s">
        <v>16</v>
      </c>
      <c r="E9" s="990"/>
      <c r="F9" s="990"/>
      <c r="G9" s="990"/>
      <c r="H9" s="990"/>
      <c r="I9" s="990"/>
      <c r="J9" s="990"/>
      <c r="K9" s="990"/>
      <c r="L9" s="991"/>
      <c r="M9" s="991"/>
      <c r="N9" s="986" t="s">
        <v>17</v>
      </c>
      <c r="O9" s="422"/>
      <c r="V9" t="s">
        <v>481</v>
      </c>
      <c r="W9" t="b">
        <f>FALSE</f>
        <v>0</v>
      </c>
    </row>
    <row r="10" spans="1:31" ht="18" thickBot="1" x14ac:dyDescent="0.4">
      <c r="A10" s="422"/>
      <c r="B10" s="545"/>
      <c r="C10" s="984"/>
      <c r="D10" s="992"/>
      <c r="E10" s="826"/>
      <c r="F10" s="826"/>
      <c r="G10" s="826"/>
      <c r="H10" s="826"/>
      <c r="I10" s="826"/>
      <c r="J10" s="826"/>
      <c r="K10" s="826"/>
      <c r="L10" s="823"/>
      <c r="M10" s="823"/>
      <c r="N10" s="987"/>
      <c r="O10" s="703"/>
      <c r="P10" s="223" t="s">
        <v>470</v>
      </c>
      <c r="V10" s="251" t="s">
        <v>390</v>
      </c>
      <c r="W10" s="252"/>
      <c r="X10" s="251" t="s">
        <v>391</v>
      </c>
      <c r="Y10" s="260"/>
      <c r="AA10" t="s">
        <v>475</v>
      </c>
    </row>
    <row r="11" spans="1:31" ht="33" customHeight="1" x14ac:dyDescent="0.35">
      <c r="A11" s="422"/>
      <c r="B11" s="545"/>
      <c r="C11" s="985"/>
      <c r="D11" s="993"/>
      <c r="E11" s="994"/>
      <c r="F11" s="994"/>
      <c r="G11" s="994"/>
      <c r="H11" s="994"/>
      <c r="I11" s="994"/>
      <c r="J11" s="994"/>
      <c r="K11" s="994"/>
      <c r="L11" s="995"/>
      <c r="M11" s="995"/>
      <c r="N11" s="988"/>
      <c r="O11" s="422"/>
      <c r="P11" s="262"/>
      <c r="Q11" s="263"/>
      <c r="R11" s="264" t="s">
        <v>296</v>
      </c>
      <c r="S11" s="264" t="s">
        <v>297</v>
      </c>
      <c r="T11" s="265" t="s">
        <v>303</v>
      </c>
      <c r="V11" s="259" t="s">
        <v>389</v>
      </c>
      <c r="W11" s="253">
        <f>ClassificationTwo</f>
        <v>0</v>
      </c>
      <c r="X11" s="259" t="s">
        <v>389</v>
      </c>
      <c r="Y11" s="254">
        <f>ClassificationOne</f>
        <v>0</v>
      </c>
      <c r="AA11" s="262"/>
      <c r="AB11" s="263"/>
      <c r="AC11" s="264" t="s">
        <v>296</v>
      </c>
      <c r="AD11" s="264" t="s">
        <v>297</v>
      </c>
      <c r="AE11" s="265" t="s">
        <v>303</v>
      </c>
    </row>
    <row r="12" spans="1:31" ht="33" customHeight="1" x14ac:dyDescent="0.35">
      <c r="A12" s="422"/>
      <c r="B12" s="545"/>
      <c r="C12" s="1015" t="s">
        <v>14</v>
      </c>
      <c r="D12" s="711" t="s">
        <v>70</v>
      </c>
      <c r="E12" s="972" t="s">
        <v>417</v>
      </c>
      <c r="F12" s="972"/>
      <c r="G12" s="972"/>
      <c r="H12" s="972"/>
      <c r="I12" s="972"/>
      <c r="J12" s="972"/>
      <c r="K12" s="972"/>
      <c r="L12" s="972"/>
      <c r="M12" s="972"/>
      <c r="N12" s="678">
        <v>0.4</v>
      </c>
      <c r="O12" s="422"/>
      <c r="P12" s="266">
        <v>1</v>
      </c>
      <c r="Q12" s="267" t="s">
        <v>377</v>
      </c>
      <c r="R12" s="175" t="s">
        <v>446</v>
      </c>
      <c r="S12" s="268">
        <v>0.4</v>
      </c>
      <c r="T12" s="269" t="b">
        <v>1</v>
      </c>
      <c r="U12" s="174"/>
      <c r="V12" s="255" t="str">
        <f>IF($W$9,$AC$12,IF(W11="Class 6",$R$12,"a)NA for this Class"))</f>
        <v>a)NA for this Class</v>
      </c>
      <c r="W12" s="253"/>
      <c r="X12" s="255" t="str">
        <f>IF(Y11="Class 6",$R$12,"a)NA for this Class")</f>
        <v>a)NA for this Class</v>
      </c>
      <c r="Y12" s="254"/>
      <c r="AA12" s="266">
        <v>1</v>
      </c>
      <c r="AB12" s="267" t="s">
        <v>377</v>
      </c>
      <c r="AC12" s="175" t="s">
        <v>472</v>
      </c>
      <c r="AD12" s="268">
        <v>0.7</v>
      </c>
      <c r="AE12" s="269" t="b">
        <v>1</v>
      </c>
    </row>
    <row r="13" spans="1:31" ht="22.5" customHeight="1" x14ac:dyDescent="0.35">
      <c r="A13" s="422"/>
      <c r="B13" s="545"/>
      <c r="C13" s="1016"/>
      <c r="D13" s="1007" t="s">
        <v>71</v>
      </c>
      <c r="E13" s="998" t="s">
        <v>575</v>
      </c>
      <c r="F13" s="1004"/>
      <c r="G13" s="1004"/>
      <c r="H13" s="1004"/>
      <c r="I13" s="1004"/>
      <c r="J13" s="1004"/>
      <c r="K13" s="1004"/>
      <c r="L13" s="1004"/>
      <c r="M13" s="1004"/>
      <c r="N13" s="1008">
        <v>0.6</v>
      </c>
      <c r="O13" s="422"/>
      <c r="P13" s="266">
        <v>2</v>
      </c>
      <c r="Q13" s="267" t="s">
        <v>378</v>
      </c>
      <c r="R13" s="175" t="s">
        <v>392</v>
      </c>
      <c r="S13" s="268">
        <v>0.6</v>
      </c>
      <c r="T13" s="269" t="b">
        <v>1</v>
      </c>
      <c r="U13" s="244"/>
      <c r="V13" s="255" t="str">
        <f t="shared" ref="V13:V19" si="0">IF($W$9,$AC13,$R13)</f>
        <v>b)Motion detector</v>
      </c>
      <c r="W13" s="253"/>
      <c r="X13" s="255" t="str">
        <f>$R$13</f>
        <v>b)Motion detector</v>
      </c>
      <c r="Y13" s="254"/>
      <c r="AA13" s="266">
        <v>2</v>
      </c>
      <c r="AB13" s="267" t="s">
        <v>378</v>
      </c>
      <c r="AC13" s="175" t="s">
        <v>392</v>
      </c>
      <c r="AD13" s="268">
        <v>0.9</v>
      </c>
      <c r="AE13" s="269" t="b">
        <v>1</v>
      </c>
    </row>
    <row r="14" spans="1:31" ht="13.5" customHeight="1" x14ac:dyDescent="0.35">
      <c r="A14" s="422"/>
      <c r="B14" s="545"/>
      <c r="C14" s="1016"/>
      <c r="D14" s="1007"/>
      <c r="E14" s="1004"/>
      <c r="F14" s="1004"/>
      <c r="G14" s="1004"/>
      <c r="H14" s="1004"/>
      <c r="I14" s="1004"/>
      <c r="J14" s="1004"/>
      <c r="K14" s="1004"/>
      <c r="L14" s="1004"/>
      <c r="M14" s="1004"/>
      <c r="N14" s="1008"/>
      <c r="O14" s="422"/>
      <c r="P14" s="266">
        <v>3</v>
      </c>
      <c r="Q14" s="267" t="s">
        <v>379</v>
      </c>
      <c r="R14" s="175" t="s">
        <v>393</v>
      </c>
      <c r="S14" s="268">
        <v>0.7</v>
      </c>
      <c r="T14" s="269" t="b">
        <v>1</v>
      </c>
      <c r="U14" s="244"/>
      <c r="V14" s="255" t="str">
        <f t="shared" si="0"/>
        <v>c)Motion detector</v>
      </c>
      <c r="W14" s="253"/>
      <c r="X14" s="255" t="str">
        <f>$R$14</f>
        <v>c)Motion detector</v>
      </c>
      <c r="Y14" s="254"/>
      <c r="AA14" s="266">
        <v>3</v>
      </c>
      <c r="AB14" s="267" t="s">
        <v>379</v>
      </c>
      <c r="AC14" s="175" t="s">
        <v>393</v>
      </c>
      <c r="AD14" s="268">
        <v>0.7</v>
      </c>
      <c r="AE14" s="269" t="b">
        <v>1</v>
      </c>
    </row>
    <row r="15" spans="1:31" ht="17.5" x14ac:dyDescent="0.35">
      <c r="A15" s="422"/>
      <c r="B15" s="547"/>
      <c r="C15" s="1016"/>
      <c r="D15" s="1007" t="s">
        <v>76</v>
      </c>
      <c r="E15" s="998" t="s">
        <v>576</v>
      </c>
      <c r="F15" s="1004"/>
      <c r="G15" s="1004"/>
      <c r="H15" s="1004"/>
      <c r="I15" s="1004"/>
      <c r="J15" s="1004"/>
      <c r="K15" s="1004"/>
      <c r="L15" s="1004"/>
      <c r="M15" s="1004"/>
      <c r="N15" s="1008">
        <v>0.7</v>
      </c>
      <c r="O15" s="422"/>
      <c r="P15" s="266">
        <v>4</v>
      </c>
      <c r="Q15" s="267" t="s">
        <v>380</v>
      </c>
      <c r="R15" s="175" t="s">
        <v>447</v>
      </c>
      <c r="S15" s="268">
        <v>0.85</v>
      </c>
      <c r="T15" s="269" t="b">
        <v>0</v>
      </c>
      <c r="U15" s="244"/>
      <c r="V15" s="255" t="str">
        <f t="shared" si="0"/>
        <v>d)Programmable dimming system</v>
      </c>
      <c r="W15" s="253"/>
      <c r="X15" s="255" t="str">
        <f>$R$15</f>
        <v>d)Programmable dimming system</v>
      </c>
      <c r="Y15" s="254"/>
      <c r="AA15" s="266">
        <v>4</v>
      </c>
      <c r="AB15" s="267" t="s">
        <v>380</v>
      </c>
      <c r="AC15" s="175" t="s">
        <v>473</v>
      </c>
      <c r="AD15" s="268">
        <v>0.55000000000000004</v>
      </c>
      <c r="AE15" s="269" t="b">
        <v>1</v>
      </c>
    </row>
    <row r="16" spans="1:31" ht="17.5" x14ac:dyDescent="0.35">
      <c r="A16" s="422"/>
      <c r="B16" s="547"/>
      <c r="C16" s="1016"/>
      <c r="D16" s="1007"/>
      <c r="E16" s="1004"/>
      <c r="F16" s="1004"/>
      <c r="G16" s="1004"/>
      <c r="H16" s="1004"/>
      <c r="I16" s="1004"/>
      <c r="J16" s="1004"/>
      <c r="K16" s="1004"/>
      <c r="L16" s="1004"/>
      <c r="M16" s="1004"/>
      <c r="N16" s="1008"/>
      <c r="O16" s="422"/>
      <c r="P16" s="266">
        <v>5</v>
      </c>
      <c r="Q16" s="267" t="s">
        <v>381</v>
      </c>
      <c r="R16" s="175" t="s">
        <v>448</v>
      </c>
      <c r="S16" s="268">
        <v>0.5</v>
      </c>
      <c r="T16" s="269" t="b">
        <v>0</v>
      </c>
      <c r="U16" s="174"/>
      <c r="V16" s="255" t="str">
        <f t="shared" si="0"/>
        <v>e)Fixed dimming</v>
      </c>
      <c r="W16" s="253"/>
      <c r="X16" s="255" t="str">
        <f>$R$16</f>
        <v>e)Fixed dimming</v>
      </c>
      <c r="Y16" s="254"/>
      <c r="AA16" s="266">
        <v>5</v>
      </c>
      <c r="AB16" s="267" t="s">
        <v>381</v>
      </c>
      <c r="AC16" s="175" t="s">
        <v>474</v>
      </c>
      <c r="AD16" s="268">
        <v>0.85</v>
      </c>
      <c r="AE16" s="269" t="b">
        <v>1</v>
      </c>
    </row>
    <row r="17" spans="1:31" ht="12.75" customHeight="1" x14ac:dyDescent="0.35">
      <c r="A17" s="422"/>
      <c r="B17" s="547"/>
      <c r="C17" s="1014" t="s">
        <v>121</v>
      </c>
      <c r="D17" s="982" t="s">
        <v>418</v>
      </c>
      <c r="E17" s="998" t="s">
        <v>419</v>
      </c>
      <c r="F17" s="998"/>
      <c r="G17" s="998"/>
      <c r="H17" s="998"/>
      <c r="I17" s="998"/>
      <c r="J17" s="998"/>
      <c r="K17" s="998"/>
      <c r="L17" s="998"/>
      <c r="M17" s="998"/>
      <c r="N17" s="1005">
        <v>0.85</v>
      </c>
      <c r="O17" s="422"/>
      <c r="P17" s="266">
        <v>6</v>
      </c>
      <c r="Q17" s="267" t="s">
        <v>382</v>
      </c>
      <c r="R17" s="175" t="s">
        <v>449</v>
      </c>
      <c r="S17" s="268">
        <v>0.85</v>
      </c>
      <c r="T17" s="269" t="b">
        <v>1</v>
      </c>
      <c r="U17" s="244"/>
      <c r="V17" s="255" t="str">
        <f t="shared" si="0"/>
        <v>f)Lumen depreciation dimming</v>
      </c>
      <c r="W17" s="253"/>
      <c r="X17" s="255" t="str">
        <f>$R$17</f>
        <v>f)Lumen depreciation dimming</v>
      </c>
      <c r="Y17" s="254"/>
      <c r="AA17" s="266">
        <v>6</v>
      </c>
      <c r="AB17" s="267" t="s">
        <v>382</v>
      </c>
      <c r="AC17" s="175" t="s">
        <v>476</v>
      </c>
      <c r="AD17" s="268">
        <v>0.85</v>
      </c>
      <c r="AE17" s="269" t="b">
        <v>1</v>
      </c>
    </row>
    <row r="18" spans="1:31" ht="17.5" x14ac:dyDescent="0.35">
      <c r="A18" s="422"/>
      <c r="B18" s="547"/>
      <c r="C18" s="1014"/>
      <c r="D18" s="982"/>
      <c r="E18" s="998"/>
      <c r="F18" s="998"/>
      <c r="G18" s="998"/>
      <c r="H18" s="998"/>
      <c r="I18" s="998"/>
      <c r="J18" s="998"/>
      <c r="K18" s="998"/>
      <c r="L18" s="998"/>
      <c r="M18" s="998"/>
      <c r="N18" s="1005"/>
      <c r="O18" s="422"/>
      <c r="P18" s="266">
        <v>7</v>
      </c>
      <c r="Q18" s="267" t="s">
        <v>383</v>
      </c>
      <c r="R18" s="175" t="s">
        <v>450</v>
      </c>
      <c r="S18" s="268">
        <v>0.4</v>
      </c>
      <c r="T18" s="269" t="b">
        <v>1</v>
      </c>
      <c r="U18" s="244"/>
      <c r="V18" s="255" t="str">
        <f t="shared" si="0"/>
        <v>g)Two stage sensor</v>
      </c>
      <c r="W18" s="253"/>
      <c r="X18" s="255" t="str">
        <f>$R$18</f>
        <v>g)Two stage sensor</v>
      </c>
      <c r="Y18" s="254"/>
      <c r="AA18" s="266">
        <v>7</v>
      </c>
      <c r="AB18" s="267" t="s">
        <v>383</v>
      </c>
      <c r="AC18" s="175" t="s">
        <v>477</v>
      </c>
      <c r="AD18" s="268">
        <v>0.9</v>
      </c>
      <c r="AE18" s="269" t="b">
        <v>1</v>
      </c>
    </row>
    <row r="19" spans="1:31" ht="30.75" customHeight="1" x14ac:dyDescent="0.35">
      <c r="A19" s="422"/>
      <c r="B19" s="547"/>
      <c r="C19" s="1014"/>
      <c r="D19" s="982"/>
      <c r="E19" s="998"/>
      <c r="F19" s="998"/>
      <c r="G19" s="998"/>
      <c r="H19" s="998"/>
      <c r="I19" s="998"/>
      <c r="J19" s="998"/>
      <c r="K19" s="998"/>
      <c r="L19" s="998"/>
      <c r="M19" s="998"/>
      <c r="N19" s="1005"/>
      <c r="O19" s="422"/>
      <c r="P19" s="266">
        <v>8</v>
      </c>
      <c r="Q19" s="267" t="s">
        <v>384</v>
      </c>
      <c r="R19" s="175" t="s">
        <v>451</v>
      </c>
      <c r="S19" s="268">
        <v>0.7</v>
      </c>
      <c r="T19" s="269" t="b">
        <v>1</v>
      </c>
      <c r="U19" s="174"/>
      <c r="V19" s="255" t="str">
        <f t="shared" si="0"/>
        <v>h)Two stage sensor</v>
      </c>
      <c r="W19" s="253"/>
      <c r="X19" s="255" t="str">
        <f>$R$19</f>
        <v>h)Two stage sensor</v>
      </c>
      <c r="Y19" s="254"/>
      <c r="AA19" s="266">
        <v>8</v>
      </c>
      <c r="AB19" s="267" t="s">
        <v>384</v>
      </c>
      <c r="AC19" s="175" t="s">
        <v>478</v>
      </c>
      <c r="AD19" s="268">
        <v>0.8</v>
      </c>
      <c r="AE19" s="269" t="b">
        <v>1</v>
      </c>
    </row>
    <row r="20" spans="1:31" ht="25.5" customHeight="1" x14ac:dyDescent="0.35">
      <c r="A20" s="422"/>
      <c r="B20" s="547"/>
      <c r="C20" s="1002" t="s">
        <v>420</v>
      </c>
      <c r="D20" s="1007" t="s">
        <v>421</v>
      </c>
      <c r="E20" s="998" t="s">
        <v>422</v>
      </c>
      <c r="F20" s="998"/>
      <c r="G20" s="998"/>
      <c r="H20" s="998"/>
      <c r="I20" s="998"/>
      <c r="J20" s="998"/>
      <c r="K20" s="998"/>
      <c r="L20" s="998"/>
      <c r="M20" s="998"/>
      <c r="N20" s="1006" t="s">
        <v>469</v>
      </c>
      <c r="O20" s="428"/>
      <c r="P20" s="266">
        <v>9</v>
      </c>
      <c r="Q20" s="267" t="s">
        <v>385</v>
      </c>
      <c r="R20" s="175" t="s">
        <v>452</v>
      </c>
      <c r="S20" s="268">
        <v>0.5</v>
      </c>
      <c r="T20" s="269" t="b">
        <v>1</v>
      </c>
      <c r="U20" s="174"/>
      <c r="V20" s="255" t="str">
        <f>IF(W9,AC20,IF(COUNTIF(Class_5_to_9b_List,W$11)&gt;0,$R20,"i)NA for this Class"))</f>
        <v>i)NA for this Class</v>
      </c>
      <c r="W20" s="253"/>
      <c r="X20" s="255" t="str">
        <f>IF(COUNTIF(Class_5_to_9b_List,Y$11)&gt;0,$R20,"i)NA for this Class")</f>
        <v>i)NA for this Class</v>
      </c>
      <c r="Y20" s="254"/>
      <c r="AA20" s="266">
        <v>9</v>
      </c>
      <c r="AB20" s="267" t="s">
        <v>385</v>
      </c>
      <c r="AC20" s="188" t="s">
        <v>479</v>
      </c>
      <c r="AD20" s="268"/>
      <c r="AE20" s="270" t="b">
        <v>0</v>
      </c>
    </row>
    <row r="21" spans="1:31" ht="26.25" customHeight="1" x14ac:dyDescent="0.35">
      <c r="A21" s="422"/>
      <c r="B21" s="547"/>
      <c r="C21" s="1002"/>
      <c r="D21" s="1007"/>
      <c r="E21" s="998"/>
      <c r="F21" s="998"/>
      <c r="G21" s="998"/>
      <c r="H21" s="998"/>
      <c r="I21" s="998"/>
      <c r="J21" s="998"/>
      <c r="K21" s="998"/>
      <c r="L21" s="998"/>
      <c r="M21" s="998"/>
      <c r="N21" s="1006"/>
      <c r="O21" s="422"/>
      <c r="P21" s="266">
        <v>10</v>
      </c>
      <c r="Q21" s="267" t="s">
        <v>387</v>
      </c>
      <c r="R21" s="188" t="s">
        <v>453</v>
      </c>
      <c r="S21" s="268">
        <v>0.75</v>
      </c>
      <c r="T21" s="270" t="b">
        <v>1</v>
      </c>
      <c r="U21" s="174"/>
      <c r="V21" s="255" t="str">
        <f>IF(W9,AC21,IF(COUNTIF(Class_3_9a_9c_List,W$11)&gt;0,$R$21,"j)NA for this Class"))</f>
        <v>j)NA for this Class</v>
      </c>
      <c r="W21" s="253"/>
      <c r="X21" s="255" t="str">
        <f>IF(COUNTIF(Class_3_9a_9c_List,Y$11)&gt;0,$R$21,"j)NA for this Class")</f>
        <v>j)NA for this Class</v>
      </c>
      <c r="Y21" s="254"/>
      <c r="AA21" s="266">
        <v>10</v>
      </c>
      <c r="AB21" s="267" t="s">
        <v>387</v>
      </c>
      <c r="AC21" s="188" t="s">
        <v>480</v>
      </c>
      <c r="AD21" s="268"/>
      <c r="AE21" s="270" t="b">
        <v>0</v>
      </c>
    </row>
    <row r="22" spans="1:31" ht="19.5" customHeight="1" x14ac:dyDescent="0.35">
      <c r="A22" s="422"/>
      <c r="B22" s="545"/>
      <c r="C22" s="1002"/>
      <c r="D22" s="1007"/>
      <c r="E22" s="998"/>
      <c r="F22" s="998"/>
      <c r="G22" s="998"/>
      <c r="H22" s="998"/>
      <c r="I22" s="998"/>
      <c r="J22" s="998"/>
      <c r="K22" s="998"/>
      <c r="L22" s="998"/>
      <c r="M22" s="998"/>
      <c r="N22" s="1006"/>
      <c r="O22" s="422"/>
      <c r="P22" s="266">
        <v>11</v>
      </c>
      <c r="Q22" s="267" t="s">
        <v>386</v>
      </c>
      <c r="R22" s="188" t="s">
        <v>454</v>
      </c>
      <c r="S22" s="268">
        <v>0.6</v>
      </c>
      <c r="T22" s="270" t="b">
        <v>1</v>
      </c>
      <c r="U22" s="174"/>
      <c r="V22" s="255" t="str">
        <f>IF(W9,AC22,IF(COUNTIF(Class_5_to_9b_List,W$11)&gt;0,$R$22,"k)NA for this Class"))</f>
        <v>k)NA for this Class</v>
      </c>
      <c r="W22" s="253"/>
      <c r="X22" s="255" t="str">
        <f>IF(COUNTIF(Class_5_to_9b_List,Y$11)&gt;0,$R$22,"k)NA for this Class")</f>
        <v>k)NA for this Class</v>
      </c>
      <c r="Y22" s="254"/>
      <c r="AA22" s="266">
        <v>11</v>
      </c>
      <c r="AB22" s="267" t="s">
        <v>386</v>
      </c>
      <c r="AC22" s="175" t="s">
        <v>454</v>
      </c>
      <c r="AD22" s="268">
        <v>0.5</v>
      </c>
      <c r="AE22" s="269" t="b">
        <v>1</v>
      </c>
    </row>
    <row r="23" spans="1:31" ht="120.75" customHeight="1" x14ac:dyDescent="0.35">
      <c r="A23" s="422"/>
      <c r="B23" s="545"/>
      <c r="C23" s="1002"/>
      <c r="D23" s="1007"/>
      <c r="E23" s="998"/>
      <c r="F23" s="998"/>
      <c r="G23" s="998"/>
      <c r="H23" s="998"/>
      <c r="I23" s="998"/>
      <c r="J23" s="998"/>
      <c r="K23" s="998"/>
      <c r="L23" s="998"/>
      <c r="M23" s="998"/>
      <c r="N23" s="1006"/>
      <c r="O23" s="422"/>
      <c r="P23" s="266">
        <v>12</v>
      </c>
      <c r="Q23" s="267" t="s">
        <v>388</v>
      </c>
      <c r="R23" s="175" t="s">
        <v>394</v>
      </c>
      <c r="S23" s="268">
        <v>0.8</v>
      </c>
      <c r="T23" s="269" t="b">
        <v>1</v>
      </c>
      <c r="V23" s="255" t="str">
        <f>IF(W9,AC23,IF(COUNTIF(Class_3_9a_9c_List,W$11)&gt;0,$R$23,"l)NA for this Class"))</f>
        <v>l)NA for this Class</v>
      </c>
      <c r="W23" s="253"/>
      <c r="X23" s="255" t="str">
        <f>IF(COUNTIF(Class_3_9a_9c_List,Y$11)&gt;0,$R$23,"l)NA for this Class")</f>
        <v>l)NA for this Class</v>
      </c>
      <c r="Y23" s="254"/>
      <c r="AA23" s="266">
        <v>12</v>
      </c>
      <c r="AB23" s="267" t="s">
        <v>388</v>
      </c>
      <c r="AC23" s="175" t="s">
        <v>394</v>
      </c>
      <c r="AD23" s="268">
        <v>0.6</v>
      </c>
      <c r="AE23" s="269" t="b">
        <v>1</v>
      </c>
    </row>
    <row r="24" spans="1:31" ht="102" customHeight="1" thickBot="1" x14ac:dyDescent="0.4">
      <c r="A24" s="422"/>
      <c r="B24" s="545"/>
      <c r="C24" s="730" t="s">
        <v>423</v>
      </c>
      <c r="D24" s="710" t="s">
        <v>74</v>
      </c>
      <c r="E24" s="998" t="s">
        <v>424</v>
      </c>
      <c r="F24" s="998"/>
      <c r="G24" s="998"/>
      <c r="H24" s="998"/>
      <c r="I24" s="998"/>
      <c r="J24" s="998"/>
      <c r="K24" s="998"/>
      <c r="L24" s="998"/>
      <c r="M24" s="998"/>
      <c r="N24" s="679">
        <v>0.85</v>
      </c>
      <c r="O24" s="422"/>
      <c r="P24" s="271">
        <v>13</v>
      </c>
      <c r="Q24" s="272"/>
      <c r="R24" s="273">
        <v>0</v>
      </c>
      <c r="S24" s="274"/>
      <c r="T24" s="275" t="b">
        <v>0</v>
      </c>
      <c r="U24" t="s">
        <v>455</v>
      </c>
      <c r="V24" s="256"/>
      <c r="W24" s="257"/>
      <c r="X24" s="258"/>
      <c r="Y24" s="261"/>
      <c r="AA24" s="271">
        <v>13</v>
      </c>
      <c r="AB24" s="272"/>
      <c r="AC24" s="273">
        <v>0</v>
      </c>
      <c r="AD24" s="274"/>
      <c r="AE24" s="275" t="b">
        <v>1</v>
      </c>
    </row>
    <row r="25" spans="1:31" ht="28" customHeight="1" x14ac:dyDescent="0.35">
      <c r="A25" s="422"/>
      <c r="B25" s="545"/>
      <c r="C25" s="1014" t="s">
        <v>425</v>
      </c>
      <c r="D25" s="709" t="s">
        <v>72</v>
      </c>
      <c r="E25" s="982" t="s">
        <v>426</v>
      </c>
      <c r="F25" s="982"/>
      <c r="G25" s="982"/>
      <c r="H25" s="982"/>
      <c r="I25" s="982"/>
      <c r="J25" s="982"/>
      <c r="K25" s="982"/>
      <c r="L25" s="982"/>
      <c r="M25" s="982"/>
      <c r="N25" s="680">
        <v>0.4</v>
      </c>
      <c r="O25" s="422"/>
      <c r="P25" t="s">
        <v>465</v>
      </c>
      <c r="R25" s="248"/>
      <c r="V25" s="250"/>
      <c r="W25" s="250"/>
      <c r="X25" s="250"/>
      <c r="Y25" s="250"/>
    </row>
    <row r="26" spans="1:31" ht="151.5" customHeight="1" x14ac:dyDescent="0.35">
      <c r="A26" s="422"/>
      <c r="B26" s="545"/>
      <c r="C26" s="1014"/>
      <c r="D26" s="709" t="s">
        <v>73</v>
      </c>
      <c r="E26" s="982" t="s">
        <v>427</v>
      </c>
      <c r="F26" s="982"/>
      <c r="G26" s="982"/>
      <c r="H26" s="982"/>
      <c r="I26" s="982"/>
      <c r="J26" s="982"/>
      <c r="K26" s="982"/>
      <c r="L26" s="982"/>
      <c r="M26" s="982"/>
      <c r="N26" s="680">
        <v>0.7</v>
      </c>
      <c r="O26" s="422"/>
      <c r="P26" s="294"/>
      <c r="Q26" s="295"/>
      <c r="R26" s="295" t="s">
        <v>296</v>
      </c>
      <c r="S26" s="296" t="s">
        <v>297</v>
      </c>
      <c r="V26" s="250" t="s">
        <v>456</v>
      </c>
      <c r="W26" s="250"/>
      <c r="X26" s="250"/>
      <c r="Y26" s="250"/>
    </row>
    <row r="27" spans="1:31" ht="78" customHeight="1" x14ac:dyDescent="0.35">
      <c r="A27" s="422"/>
      <c r="B27" s="545"/>
      <c r="C27" s="1014" t="s">
        <v>428</v>
      </c>
      <c r="D27" s="709" t="s">
        <v>77</v>
      </c>
      <c r="E27" s="998" t="s">
        <v>458</v>
      </c>
      <c r="F27" s="998"/>
      <c r="G27" s="998"/>
      <c r="H27" s="998"/>
      <c r="I27" s="998"/>
      <c r="J27" s="998"/>
      <c r="K27" s="998"/>
      <c r="L27" s="998"/>
      <c r="M27" s="998"/>
      <c r="N27" s="680">
        <v>0.5</v>
      </c>
      <c r="O27" s="422"/>
      <c r="P27" s="289">
        <v>1</v>
      </c>
      <c r="Q27" s="1" t="s">
        <v>377</v>
      </c>
      <c r="R27" s="1" t="s">
        <v>462</v>
      </c>
      <c r="S27" s="290">
        <v>0.9</v>
      </c>
      <c r="V27" s="305" t="s">
        <v>558</v>
      </c>
      <c r="W27" s="303"/>
      <c r="X27" s="304" t="s">
        <v>459</v>
      </c>
      <c r="Y27" s="249"/>
    </row>
    <row r="28" spans="1:31" ht="63" customHeight="1" x14ac:dyDescent="0.35">
      <c r="A28" s="422"/>
      <c r="B28" s="545"/>
      <c r="C28" s="1014"/>
      <c r="D28" s="709" t="s">
        <v>429</v>
      </c>
      <c r="E28" s="998" t="s">
        <v>430</v>
      </c>
      <c r="F28" s="998"/>
      <c r="G28" s="998"/>
      <c r="H28" s="998"/>
      <c r="I28" s="998"/>
      <c r="J28" s="998"/>
      <c r="K28" s="998"/>
      <c r="L28" s="998"/>
      <c r="M28" s="998"/>
      <c r="N28" s="681">
        <v>0.75</v>
      </c>
      <c r="O28" s="422"/>
      <c r="P28" s="289">
        <v>2</v>
      </c>
      <c r="Q28" s="1" t="s">
        <v>378</v>
      </c>
      <c r="R28" s="1" t="s">
        <v>463</v>
      </c>
      <c r="S28" s="290">
        <v>0.8</v>
      </c>
      <c r="V28" s="306" t="s">
        <v>86</v>
      </c>
      <c r="W28" s="299"/>
      <c r="X28" s="300" t="s">
        <v>84</v>
      </c>
      <c r="Y28" s="249"/>
    </row>
    <row r="29" spans="1:31" ht="46.5" customHeight="1" x14ac:dyDescent="0.35">
      <c r="A29" s="422"/>
      <c r="B29" s="545"/>
      <c r="C29" s="1014"/>
      <c r="D29" s="709" t="s">
        <v>199</v>
      </c>
      <c r="E29" s="998" t="s">
        <v>431</v>
      </c>
      <c r="F29" s="998"/>
      <c r="G29" s="998"/>
      <c r="H29" s="998"/>
      <c r="I29" s="998"/>
      <c r="J29" s="998"/>
      <c r="K29" s="998"/>
      <c r="L29" s="998"/>
      <c r="M29" s="998"/>
      <c r="N29" s="679">
        <v>0.6</v>
      </c>
      <c r="O29" s="422"/>
      <c r="P29" s="289">
        <v>3</v>
      </c>
      <c r="Q29" s="1" t="s">
        <v>379</v>
      </c>
      <c r="R29" s="1" t="s">
        <v>464</v>
      </c>
      <c r="S29" s="290">
        <v>1.1000000000000001</v>
      </c>
      <c r="V29" s="306" t="s">
        <v>87</v>
      </c>
      <c r="W29" s="299"/>
      <c r="X29" s="300" t="s">
        <v>91</v>
      </c>
      <c r="Y29" s="249"/>
    </row>
    <row r="30" spans="1:31" ht="39" customHeight="1" x14ac:dyDescent="0.35">
      <c r="A30" s="422"/>
      <c r="B30" s="545"/>
      <c r="C30" s="1014"/>
      <c r="D30" s="709" t="s">
        <v>432</v>
      </c>
      <c r="E30" s="998" t="s">
        <v>433</v>
      </c>
      <c r="F30" s="998"/>
      <c r="G30" s="998"/>
      <c r="H30" s="998"/>
      <c r="I30" s="998"/>
      <c r="J30" s="998"/>
      <c r="K30" s="998"/>
      <c r="L30" s="998"/>
      <c r="M30" s="998"/>
      <c r="N30" s="679">
        <v>0.8</v>
      </c>
      <c r="O30" s="422"/>
      <c r="P30" s="291">
        <v>4</v>
      </c>
      <c r="Q30" s="292" t="s">
        <v>380</v>
      </c>
      <c r="R30" s="292">
        <v>0</v>
      </c>
      <c r="S30" s="293"/>
      <c r="V30" s="306" t="s">
        <v>457</v>
      </c>
      <c r="W30" s="1"/>
      <c r="X30" s="300" t="s">
        <v>89</v>
      </c>
    </row>
    <row r="31" spans="1:31" ht="18" x14ac:dyDescent="0.4">
      <c r="A31" s="422"/>
      <c r="B31" s="545"/>
      <c r="C31" s="999"/>
      <c r="D31" s="708"/>
      <c r="E31" s="682"/>
      <c r="F31" s="682"/>
      <c r="G31" s="682"/>
      <c r="H31" s="682"/>
      <c r="I31" s="682"/>
      <c r="J31" s="682"/>
      <c r="K31" s="682"/>
      <c r="L31" s="682"/>
      <c r="M31" s="682"/>
      <c r="N31" s="683"/>
      <c r="O31" s="422"/>
      <c r="V31" s="306" t="s">
        <v>88</v>
      </c>
      <c r="W31" s="1"/>
      <c r="X31" s="290"/>
    </row>
    <row r="32" spans="1:31" ht="13.5" customHeight="1" x14ac:dyDescent="0.4">
      <c r="A32" s="422"/>
      <c r="B32" s="545"/>
      <c r="C32" s="1000"/>
      <c r="D32" s="684" t="s">
        <v>309</v>
      </c>
      <c r="E32" s="685"/>
      <c r="F32" s="685"/>
      <c r="G32" s="685"/>
      <c r="H32" s="685"/>
      <c r="I32" s="685"/>
      <c r="J32" s="685"/>
      <c r="K32" s="685"/>
      <c r="L32" s="685"/>
      <c r="M32" s="685"/>
      <c r="N32" s="686"/>
      <c r="O32" s="422"/>
      <c r="V32" s="306" t="s">
        <v>89</v>
      </c>
      <c r="W32" s="1"/>
      <c r="X32" s="290"/>
    </row>
    <row r="33" spans="1:34" ht="38.25" customHeight="1" x14ac:dyDescent="0.35">
      <c r="A33" s="422"/>
      <c r="B33" s="545"/>
      <c r="C33" s="1000"/>
      <c r="D33" s="687" t="s">
        <v>122</v>
      </c>
      <c r="E33" s="996" t="s">
        <v>434</v>
      </c>
      <c r="F33" s="996"/>
      <c r="G33" s="996"/>
      <c r="H33" s="996"/>
      <c r="I33" s="996"/>
      <c r="J33" s="996"/>
      <c r="K33" s="996"/>
      <c r="L33" s="996"/>
      <c r="M33" s="996"/>
      <c r="N33" s="997"/>
      <c r="O33" s="422"/>
      <c r="V33" s="619" t="s">
        <v>90</v>
      </c>
      <c r="W33" s="301"/>
      <c r="X33" s="302"/>
    </row>
    <row r="34" spans="1:34" ht="51" customHeight="1" x14ac:dyDescent="0.35">
      <c r="A34" s="422"/>
      <c r="B34" s="545"/>
      <c r="C34" s="1000"/>
      <c r="D34" s="687"/>
      <c r="E34" s="996" t="s">
        <v>435</v>
      </c>
      <c r="F34" s="996"/>
      <c r="G34" s="996"/>
      <c r="H34" s="996"/>
      <c r="I34" s="996"/>
      <c r="J34" s="996"/>
      <c r="K34" s="996"/>
      <c r="L34" s="996"/>
      <c r="M34" s="996"/>
      <c r="N34" s="997"/>
      <c r="O34" s="422"/>
      <c r="P34" s="1"/>
      <c r="Q34" s="1"/>
      <c r="V34" s="618" t="s">
        <v>92</v>
      </c>
    </row>
    <row r="35" spans="1:34" ht="18" x14ac:dyDescent="0.35">
      <c r="A35" s="422"/>
      <c r="B35" s="545"/>
      <c r="C35" s="1000"/>
      <c r="D35" s="687" t="s">
        <v>123</v>
      </c>
      <c r="E35" s="996" t="s">
        <v>436</v>
      </c>
      <c r="F35" s="996"/>
      <c r="G35" s="996"/>
      <c r="H35" s="996"/>
      <c r="I35" s="996"/>
      <c r="J35" s="996"/>
      <c r="K35" s="996"/>
      <c r="L35" s="996"/>
      <c r="M35" s="996"/>
      <c r="N35" s="997"/>
      <c r="O35" s="422"/>
      <c r="V35" s="620" t="s">
        <v>93</v>
      </c>
    </row>
    <row r="36" spans="1:34" ht="18" x14ac:dyDescent="0.35">
      <c r="A36" s="422"/>
      <c r="B36" s="547"/>
      <c r="C36" s="1000"/>
      <c r="D36" s="687" t="s">
        <v>124</v>
      </c>
      <c r="E36" s="996" t="s">
        <v>437</v>
      </c>
      <c r="F36" s="996"/>
      <c r="G36" s="996"/>
      <c r="H36" s="996"/>
      <c r="I36" s="996"/>
      <c r="J36" s="996"/>
      <c r="K36" s="996"/>
      <c r="L36" s="996"/>
      <c r="M36" s="996"/>
      <c r="N36" s="997"/>
      <c r="O36" s="422"/>
    </row>
    <row r="37" spans="1:34" ht="61.5" customHeight="1" x14ac:dyDescent="0.35">
      <c r="A37" s="422"/>
      <c r="B37" s="547"/>
      <c r="C37" s="1001"/>
      <c r="D37" s="688" t="s">
        <v>125</v>
      </c>
      <c r="E37" s="1012" t="s">
        <v>438</v>
      </c>
      <c r="F37" s="1012"/>
      <c r="G37" s="1012"/>
      <c r="H37" s="1012"/>
      <c r="I37" s="1012"/>
      <c r="J37" s="1012"/>
      <c r="K37" s="1012"/>
      <c r="L37" s="1012"/>
      <c r="M37" s="1012"/>
      <c r="N37" s="1013"/>
      <c r="O37" s="422"/>
    </row>
    <row r="38" spans="1:34" ht="13" x14ac:dyDescent="0.3">
      <c r="A38" s="422"/>
      <c r="B38" s="428"/>
      <c r="C38" s="689"/>
      <c r="D38" s="689"/>
      <c r="E38" s="689"/>
      <c r="F38" s="689"/>
      <c r="G38" s="689"/>
      <c r="H38" s="689"/>
      <c r="I38" s="689"/>
      <c r="J38" s="689"/>
      <c r="K38" s="689"/>
      <c r="L38" s="689"/>
      <c r="M38" s="689"/>
      <c r="N38" s="690"/>
      <c r="O38" s="422"/>
      <c r="AA38" s="244"/>
      <c r="AB38" s="244"/>
      <c r="AC38" s="244"/>
      <c r="AD38" s="244"/>
      <c r="AE38" s="244"/>
    </row>
    <row r="39" spans="1:34" ht="13" x14ac:dyDescent="0.3">
      <c r="A39" s="422"/>
      <c r="B39" s="422"/>
      <c r="C39" s="691"/>
      <c r="D39" s="692"/>
      <c r="E39" s="692"/>
      <c r="F39" s="692"/>
      <c r="G39" s="692"/>
      <c r="H39" s="692"/>
      <c r="I39" s="692"/>
      <c r="J39" s="692"/>
      <c r="K39" s="692"/>
      <c r="L39" s="692"/>
      <c r="M39" s="692"/>
      <c r="N39" s="693"/>
      <c r="O39" s="422"/>
    </row>
    <row r="40" spans="1:34" ht="13" x14ac:dyDescent="0.3">
      <c r="A40" s="422"/>
      <c r="B40" s="422"/>
      <c r="C40" s="692"/>
      <c r="D40" s="692"/>
      <c r="E40" s="692"/>
      <c r="F40" s="692"/>
      <c r="G40" s="692"/>
      <c r="H40" s="692"/>
      <c r="I40" s="692"/>
      <c r="J40" s="692"/>
      <c r="K40" s="692"/>
      <c r="L40" s="692"/>
      <c r="M40" s="692"/>
      <c r="N40" s="693"/>
      <c r="O40" s="422"/>
    </row>
    <row r="41" spans="1:34" ht="37.5" customHeight="1" x14ac:dyDescent="0.25">
      <c r="A41" s="422"/>
      <c r="B41" s="422"/>
      <c r="C41" s="1009" t="s">
        <v>577</v>
      </c>
      <c r="D41" s="1010"/>
      <c r="E41" s="1010"/>
      <c r="F41" s="1010"/>
      <c r="G41" s="1010"/>
      <c r="H41" s="1010"/>
      <c r="I41" s="1010"/>
      <c r="J41" s="1010"/>
      <c r="K41" s="1010"/>
      <c r="L41" s="1010"/>
      <c r="M41" s="1010"/>
      <c r="N41" s="1011"/>
      <c r="O41" s="422"/>
    </row>
    <row r="42" spans="1:34" x14ac:dyDescent="0.25">
      <c r="A42" s="422"/>
      <c r="B42" s="422"/>
      <c r="C42" s="973" t="s">
        <v>445</v>
      </c>
      <c r="D42" s="975" t="s">
        <v>16</v>
      </c>
      <c r="E42" s="975"/>
      <c r="F42" s="975"/>
      <c r="G42" s="975"/>
      <c r="H42" s="975"/>
      <c r="I42" s="975"/>
      <c r="J42" s="975"/>
      <c r="K42" s="975"/>
      <c r="L42" s="976"/>
      <c r="M42" s="976"/>
      <c r="N42" s="975" t="s">
        <v>17</v>
      </c>
      <c r="O42" s="422"/>
    </row>
    <row r="43" spans="1:34" x14ac:dyDescent="0.25">
      <c r="A43" s="422"/>
      <c r="B43" s="422"/>
      <c r="C43" s="973"/>
      <c r="D43" s="977"/>
      <c r="E43" s="977"/>
      <c r="F43" s="977"/>
      <c r="G43" s="977"/>
      <c r="H43" s="977"/>
      <c r="I43" s="977"/>
      <c r="J43" s="977"/>
      <c r="K43" s="977"/>
      <c r="L43" s="978"/>
      <c r="M43" s="978"/>
      <c r="N43" s="977"/>
      <c r="O43" s="428"/>
    </row>
    <row r="44" spans="1:34" ht="69" customHeight="1" x14ac:dyDescent="0.25">
      <c r="A44" s="422"/>
      <c r="B44" s="422"/>
      <c r="C44" s="974"/>
      <c r="D44" s="979"/>
      <c r="E44" s="979"/>
      <c r="F44" s="979"/>
      <c r="G44" s="979"/>
      <c r="H44" s="979"/>
      <c r="I44" s="979"/>
      <c r="J44" s="979"/>
      <c r="K44" s="979"/>
      <c r="L44" s="980"/>
      <c r="M44" s="980"/>
      <c r="N44" s="979"/>
      <c r="O44" s="422"/>
    </row>
    <row r="45" spans="1:34" ht="36" x14ac:dyDescent="0.25">
      <c r="A45" s="422"/>
      <c r="B45" s="422"/>
      <c r="C45" s="731" t="s">
        <v>439</v>
      </c>
      <c r="D45" s="701" t="s">
        <v>70</v>
      </c>
      <c r="E45" s="981" t="s">
        <v>440</v>
      </c>
      <c r="F45" s="981"/>
      <c r="G45" s="981"/>
      <c r="H45" s="981"/>
      <c r="I45" s="981"/>
      <c r="J45" s="981"/>
      <c r="K45" s="981"/>
      <c r="L45" s="981"/>
      <c r="M45" s="981"/>
      <c r="N45" s="700">
        <v>0.9</v>
      </c>
      <c r="O45" s="422"/>
      <c r="AH45" s="85"/>
    </row>
    <row r="46" spans="1:34" ht="54" x14ac:dyDescent="0.25">
      <c r="A46" s="422"/>
      <c r="B46" s="422"/>
      <c r="C46" s="730" t="s">
        <v>468</v>
      </c>
      <c r="D46" s="704" t="s">
        <v>71</v>
      </c>
      <c r="E46" s="982" t="s">
        <v>441</v>
      </c>
      <c r="F46" s="982"/>
      <c r="G46" s="982"/>
      <c r="H46" s="982"/>
      <c r="I46" s="982"/>
      <c r="J46" s="982"/>
      <c r="K46" s="982"/>
      <c r="L46" s="982"/>
      <c r="M46" s="982"/>
      <c r="N46" s="679">
        <v>0.8</v>
      </c>
      <c r="O46" s="422"/>
      <c r="AH46" s="85"/>
    </row>
    <row r="47" spans="1:34" ht="36" x14ac:dyDescent="0.25">
      <c r="A47" s="422"/>
      <c r="B47" s="422"/>
      <c r="C47" s="730" t="s">
        <v>442</v>
      </c>
      <c r="D47" s="704" t="s">
        <v>76</v>
      </c>
      <c r="E47" s="972" t="s">
        <v>443</v>
      </c>
      <c r="F47" s="972"/>
      <c r="G47" s="972"/>
      <c r="H47" s="972"/>
      <c r="I47" s="972"/>
      <c r="J47" s="972"/>
      <c r="K47" s="972"/>
      <c r="L47" s="972"/>
      <c r="M47" s="972"/>
      <c r="N47" s="679">
        <v>1.1000000000000001</v>
      </c>
      <c r="O47" s="422"/>
    </row>
    <row r="48" spans="1:34" ht="18" x14ac:dyDescent="0.4">
      <c r="A48" s="422"/>
      <c r="B48" s="422"/>
      <c r="C48" s="732"/>
      <c r="D48" s="705"/>
      <c r="E48" s="694"/>
      <c r="F48" s="694"/>
      <c r="G48" s="694"/>
      <c r="H48" s="694"/>
      <c r="I48" s="694"/>
      <c r="J48" s="694"/>
      <c r="K48" s="694"/>
      <c r="L48" s="694"/>
      <c r="M48" s="694"/>
      <c r="N48" s="695"/>
      <c r="O48" s="422"/>
    </row>
    <row r="49" spans="1:15" ht="18" x14ac:dyDescent="0.4">
      <c r="A49" s="422"/>
      <c r="B49" s="422"/>
      <c r="C49" s="733"/>
      <c r="D49" s="706" t="s">
        <v>467</v>
      </c>
      <c r="E49" s="696"/>
      <c r="F49" s="696"/>
      <c r="G49" s="696"/>
      <c r="H49" s="696"/>
      <c r="I49" s="696"/>
      <c r="J49" s="696"/>
      <c r="K49" s="696"/>
      <c r="L49" s="696"/>
      <c r="M49" s="696"/>
      <c r="N49" s="697"/>
      <c r="O49" s="422"/>
    </row>
    <row r="50" spans="1:15" ht="18" x14ac:dyDescent="0.4">
      <c r="A50" s="422"/>
      <c r="B50" s="422"/>
      <c r="C50" s="734"/>
      <c r="D50" s="707" t="s">
        <v>122</v>
      </c>
      <c r="E50" s="698" t="s">
        <v>444</v>
      </c>
      <c r="F50" s="698"/>
      <c r="G50" s="698"/>
      <c r="H50" s="698"/>
      <c r="I50" s="698"/>
      <c r="J50" s="698"/>
      <c r="K50" s="698"/>
      <c r="L50" s="698"/>
      <c r="M50" s="698"/>
      <c r="N50" s="699"/>
      <c r="O50" s="422"/>
    </row>
    <row r="51" spans="1:15" x14ac:dyDescent="0.25">
      <c r="A51" s="422"/>
      <c r="B51" s="422"/>
      <c r="C51" s="422"/>
      <c r="D51" s="422"/>
      <c r="E51" s="422"/>
      <c r="F51" s="422"/>
      <c r="G51" s="422"/>
      <c r="H51" s="422"/>
      <c r="I51" s="422"/>
      <c r="J51" s="422"/>
      <c r="K51" s="422"/>
      <c r="L51" s="422"/>
      <c r="M51" s="422"/>
      <c r="N51" s="422"/>
      <c r="O51" s="422"/>
    </row>
    <row r="52" spans="1:15" x14ac:dyDescent="0.25">
      <c r="A52" s="422"/>
      <c r="B52" s="422"/>
      <c r="C52" s="422"/>
      <c r="D52" s="422"/>
      <c r="E52" s="422"/>
      <c r="F52" s="422"/>
      <c r="G52" s="422"/>
      <c r="H52" s="422"/>
      <c r="I52" s="422"/>
      <c r="J52" s="422"/>
      <c r="K52" s="422"/>
      <c r="L52" s="422"/>
      <c r="M52" s="422"/>
      <c r="N52" s="422"/>
      <c r="O52" s="422"/>
    </row>
  </sheetData>
  <sheetProtection algorithmName="SHA-512" hashValue="5gSYw9hrPRSPctXJLy/kXshbxdg4QjSii9SpVS9mPyshb/wMTFe2Z7QxDdWLICFPXAiBpKNnQPwuurrg5dw8Rg==" saltValue="TVpZ94eLaPd+ZiyvTRFgGA==" spinCount="100000" sheet="1" objects="1" scenarios="1" selectLockedCells="1"/>
  <mergeCells count="44">
    <mergeCell ref="C41:N41"/>
    <mergeCell ref="E12:M12"/>
    <mergeCell ref="E36:N36"/>
    <mergeCell ref="E37:N37"/>
    <mergeCell ref="C27:C30"/>
    <mergeCell ref="E29:M29"/>
    <mergeCell ref="C12:C16"/>
    <mergeCell ref="C17:C19"/>
    <mergeCell ref="E26:M26"/>
    <mergeCell ref="E28:M28"/>
    <mergeCell ref="E24:M24"/>
    <mergeCell ref="C25:C26"/>
    <mergeCell ref="D5:L5"/>
    <mergeCell ref="E34:N34"/>
    <mergeCell ref="E13:M14"/>
    <mergeCell ref="E15:M16"/>
    <mergeCell ref="N17:N19"/>
    <mergeCell ref="N20:N23"/>
    <mergeCell ref="E20:M23"/>
    <mergeCell ref="D20:D23"/>
    <mergeCell ref="N13:N14"/>
    <mergeCell ref="N15:N16"/>
    <mergeCell ref="D15:D16"/>
    <mergeCell ref="D13:D14"/>
    <mergeCell ref="E30:M30"/>
    <mergeCell ref="E17:M19"/>
    <mergeCell ref="D17:D19"/>
    <mergeCell ref="E25:M25"/>
    <mergeCell ref="N2:O2"/>
    <mergeCell ref="C8:N8"/>
    <mergeCell ref="E47:M47"/>
    <mergeCell ref="C42:C44"/>
    <mergeCell ref="D42:M44"/>
    <mergeCell ref="N42:N44"/>
    <mergeCell ref="E45:M45"/>
    <mergeCell ref="E46:M46"/>
    <mergeCell ref="C9:C11"/>
    <mergeCell ref="N9:N11"/>
    <mergeCell ref="D9:M11"/>
    <mergeCell ref="E33:N33"/>
    <mergeCell ref="E27:M27"/>
    <mergeCell ref="C31:C37"/>
    <mergeCell ref="E35:N35"/>
    <mergeCell ref="C20:C23"/>
  </mergeCells>
  <phoneticPr fontId="3" type="noConversion"/>
  <pageMargins left="0.25" right="0.25" top="0.75" bottom="0.75" header="0.3" footer="0.3"/>
  <pageSetup paperSize="9" scale="41" orientation="portrait" r:id="rId1"/>
  <headerFooter alignWithMargins="0"/>
  <ignoredErrors>
    <ignoredError sqref="D33"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V95"/>
  <sheetViews>
    <sheetView showGridLines="0" zoomScale="70" zoomScaleNormal="70" workbookViewId="0">
      <selection activeCell="M25" sqref="M25"/>
    </sheetView>
  </sheetViews>
  <sheetFormatPr defaultColWidth="8.81640625" defaultRowHeight="12.5" x14ac:dyDescent="0.25"/>
  <cols>
    <col min="1" max="1" width="22.7265625" customWidth="1"/>
    <col min="2" max="2" width="12.81640625" customWidth="1"/>
    <col min="3" max="3" width="12.1796875" customWidth="1"/>
    <col min="6" max="6" width="6" customWidth="1"/>
    <col min="8" max="8" width="8" customWidth="1"/>
    <col min="9" max="10" width="12.26953125" customWidth="1"/>
    <col min="11" max="11" width="12.1796875" customWidth="1"/>
    <col min="12" max="12" width="9.54296875" customWidth="1"/>
    <col min="13" max="13" width="12" customWidth="1"/>
    <col min="14" max="14" width="7.81640625" customWidth="1"/>
    <col min="15" max="15" width="19.7265625" customWidth="1"/>
    <col min="16" max="16" width="21.453125" customWidth="1"/>
    <col min="17" max="17" width="16.26953125" customWidth="1"/>
    <col min="18" max="18" width="17.453125" customWidth="1"/>
    <col min="19" max="19" width="22.1796875" customWidth="1"/>
  </cols>
  <sheetData>
    <row r="1" spans="1:22" ht="167.15" customHeight="1" x14ac:dyDescent="0.25">
      <c r="A1" s="736"/>
      <c r="B1" s="735"/>
      <c r="C1" s="735"/>
      <c r="D1" s="735"/>
      <c r="E1" s="735"/>
      <c r="F1" s="735"/>
      <c r="G1" s="735"/>
      <c r="H1" s="735"/>
      <c r="I1" s="735"/>
      <c r="J1" s="735"/>
      <c r="K1" s="735"/>
      <c r="L1" s="735"/>
      <c r="M1" s="736"/>
      <c r="N1" s="736"/>
      <c r="O1" s="736"/>
      <c r="P1" s="736"/>
      <c r="Q1" s="736"/>
      <c r="R1" s="736"/>
      <c r="S1" s="736"/>
      <c r="T1" s="85"/>
      <c r="U1" s="85"/>
      <c r="V1" s="85"/>
    </row>
    <row r="2" spans="1:22" ht="40" customHeight="1" x14ac:dyDescent="0.25">
      <c r="A2" s="736"/>
      <c r="B2" s="736"/>
      <c r="C2" s="736"/>
      <c r="D2" s="736"/>
      <c r="E2" s="736"/>
      <c r="F2" s="736"/>
      <c r="G2" s="736"/>
      <c r="H2" s="736"/>
      <c r="I2" s="736"/>
      <c r="J2" s="736"/>
      <c r="K2" s="736"/>
      <c r="L2" s="736"/>
      <c r="M2" s="736"/>
      <c r="N2" s="736"/>
      <c r="O2" s="736"/>
      <c r="P2" s="736"/>
      <c r="Q2" s="736"/>
      <c r="R2" s="736"/>
      <c r="S2" s="746" t="s">
        <v>515</v>
      </c>
    </row>
    <row r="3" spans="1:22" x14ac:dyDescent="0.25">
      <c r="A3" s="422"/>
      <c r="B3" s="422"/>
      <c r="C3" s="422"/>
      <c r="D3" s="422"/>
      <c r="E3" s="422"/>
      <c r="F3" s="422"/>
      <c r="G3" s="422"/>
      <c r="H3" s="422"/>
      <c r="I3" s="422"/>
      <c r="J3" s="422"/>
      <c r="K3" s="422"/>
      <c r="L3" s="422"/>
      <c r="M3" s="422"/>
      <c r="N3" s="422"/>
      <c r="O3" s="422"/>
      <c r="P3" s="422"/>
      <c r="Q3" s="422"/>
      <c r="R3" s="422"/>
      <c r="S3" s="422"/>
    </row>
    <row r="4" spans="1:22" ht="17.5" x14ac:dyDescent="0.35">
      <c r="A4" s="545"/>
      <c r="B4" s="545"/>
      <c r="C4" s="545"/>
      <c r="D4" s="545"/>
      <c r="E4" s="545"/>
      <c r="F4" s="545"/>
      <c r="G4" s="545"/>
      <c r="H4" s="545"/>
      <c r="I4" s="545"/>
      <c r="J4" s="545"/>
      <c r="K4" s="545"/>
      <c r="L4" s="545"/>
      <c r="M4" s="545"/>
      <c r="N4" s="545"/>
      <c r="O4" s="545"/>
      <c r="P4" s="545"/>
      <c r="Q4" s="545"/>
      <c r="R4" s="545"/>
      <c r="S4" s="422"/>
    </row>
    <row r="5" spans="1:22" ht="17.5" x14ac:dyDescent="0.35">
      <c r="A5" s="545"/>
      <c r="B5" s="545"/>
      <c r="C5" s="545"/>
      <c r="D5" s="545"/>
      <c r="E5" s="545"/>
      <c r="F5" s="545"/>
      <c r="G5" s="545"/>
      <c r="H5" s="545"/>
      <c r="I5" s="545"/>
      <c r="J5" s="545"/>
      <c r="K5" s="545"/>
      <c r="L5" s="545"/>
      <c r="M5" s="545"/>
      <c r="N5" s="545"/>
      <c r="O5" s="545"/>
      <c r="P5" s="545"/>
      <c r="Q5" s="545"/>
      <c r="R5" s="545"/>
      <c r="S5" s="422"/>
    </row>
    <row r="6" spans="1:22" ht="17.5" x14ac:dyDescent="0.35">
      <c r="A6" s="545"/>
      <c r="B6" s="545"/>
      <c r="C6" s="545"/>
      <c r="D6" s="545"/>
      <c r="E6" s="545"/>
      <c r="F6" s="545"/>
      <c r="G6" s="545"/>
      <c r="H6" s="545"/>
      <c r="I6" s="545"/>
      <c r="J6" s="545"/>
      <c r="K6" s="545"/>
      <c r="L6" s="545"/>
      <c r="M6" s="545"/>
      <c r="N6" s="545"/>
      <c r="O6" s="545"/>
      <c r="P6" s="545"/>
      <c r="Q6" s="545"/>
      <c r="R6" s="545"/>
      <c r="S6" s="422"/>
    </row>
    <row r="7" spans="1:22" ht="17.5" x14ac:dyDescent="0.35">
      <c r="A7" s="545"/>
      <c r="B7" s="545"/>
      <c r="C7" s="545"/>
      <c r="D7" s="545"/>
      <c r="E7" s="545"/>
      <c r="F7" s="545"/>
      <c r="G7" s="545"/>
      <c r="H7" s="545"/>
      <c r="I7" s="545"/>
      <c r="J7" s="545"/>
      <c r="K7" s="545"/>
      <c r="L7" s="545"/>
      <c r="M7" s="545"/>
      <c r="N7" s="545"/>
      <c r="O7" s="545"/>
      <c r="P7" s="545"/>
      <c r="Q7" s="545"/>
      <c r="R7" s="545"/>
      <c r="S7" s="422"/>
    </row>
    <row r="8" spans="1:22" ht="12" customHeight="1" x14ac:dyDescent="0.35">
      <c r="A8" s="545"/>
      <c r="B8" s="545"/>
      <c r="C8" s="545"/>
      <c r="D8" s="545"/>
      <c r="E8" s="545"/>
      <c r="F8" s="545"/>
      <c r="G8" s="545"/>
      <c r="H8" s="545"/>
      <c r="I8" s="545"/>
      <c r="J8" s="545"/>
      <c r="K8" s="545"/>
      <c r="L8" s="545"/>
      <c r="M8" s="545"/>
      <c r="N8" s="545"/>
      <c r="O8" s="545"/>
      <c r="P8" s="545"/>
      <c r="Q8" s="545"/>
      <c r="R8" s="545"/>
      <c r="S8" s="422"/>
    </row>
    <row r="9" spans="1:22" ht="17.5" x14ac:dyDescent="0.35">
      <c r="A9" s="545"/>
      <c r="B9" s="545"/>
      <c r="C9" s="545"/>
      <c r="D9" s="545"/>
      <c r="E9" s="545"/>
      <c r="F9" s="545"/>
      <c r="G9" s="545"/>
      <c r="H9" s="545"/>
      <c r="I9" s="545"/>
      <c r="J9" s="545"/>
      <c r="K9" s="545"/>
      <c r="L9" s="545"/>
      <c r="M9" s="545"/>
      <c r="N9" s="545"/>
      <c r="O9" s="545"/>
      <c r="P9" s="545"/>
      <c r="Q9" s="545"/>
      <c r="R9" s="545"/>
      <c r="S9" s="422"/>
    </row>
    <row r="10" spans="1:22" ht="17.5" x14ac:dyDescent="0.35">
      <c r="A10" s="545"/>
      <c r="B10" s="545"/>
      <c r="C10" s="545"/>
      <c r="D10" s="545"/>
      <c r="E10" s="545"/>
      <c r="F10" s="545"/>
      <c r="G10" s="545"/>
      <c r="H10" s="545"/>
      <c r="I10" s="545"/>
      <c r="J10" s="545"/>
      <c r="K10" s="545"/>
      <c r="L10" s="545"/>
      <c r="M10" s="545"/>
      <c r="N10" s="545"/>
      <c r="O10" s="545"/>
      <c r="P10" s="545"/>
      <c r="Q10" s="545"/>
      <c r="R10" s="545"/>
      <c r="S10" s="422"/>
    </row>
    <row r="11" spans="1:22" ht="17.5" x14ac:dyDescent="0.35">
      <c r="A11" s="545"/>
      <c r="B11" s="545"/>
      <c r="C11" s="545"/>
      <c r="D11" s="545"/>
      <c r="E11" s="545"/>
      <c r="F11" s="545"/>
      <c r="G11" s="545"/>
      <c r="H11" s="545"/>
      <c r="I11" s="545"/>
      <c r="J11" s="545"/>
      <c r="K11" s="545"/>
      <c r="L11" s="545"/>
      <c r="M11" s="545"/>
      <c r="N11" s="545"/>
      <c r="O11" s="545"/>
      <c r="P11" s="545"/>
      <c r="Q11" s="545"/>
      <c r="R11" s="545"/>
      <c r="S11" s="422"/>
    </row>
    <row r="12" spans="1:22" ht="18" x14ac:dyDescent="0.4">
      <c r="A12" s="545"/>
      <c r="B12" s="1017"/>
      <c r="C12" s="1018"/>
      <c r="D12" s="1018"/>
      <c r="E12" s="1018"/>
      <c r="F12" s="1018"/>
      <c r="G12" s="1018"/>
      <c r="H12" s="1018"/>
      <c r="I12" s="1018"/>
      <c r="J12" s="1018"/>
      <c r="K12" s="1018"/>
      <c r="L12" s="1018"/>
      <c r="M12" s="1018"/>
      <c r="N12" s="1018"/>
      <c r="O12" s="1018"/>
      <c r="P12" s="1018"/>
      <c r="Q12" s="1018"/>
      <c r="R12" s="545"/>
      <c r="S12" s="422"/>
    </row>
    <row r="13" spans="1:22" ht="17.5" x14ac:dyDescent="0.35">
      <c r="A13" s="545"/>
      <c r="B13" s="545"/>
      <c r="C13" s="545"/>
      <c r="D13" s="545"/>
      <c r="E13" s="545"/>
      <c r="F13" s="547"/>
      <c r="G13" s="547"/>
      <c r="H13" s="547"/>
      <c r="I13" s="547"/>
      <c r="J13" s="547"/>
      <c r="K13" s="547"/>
      <c r="L13" s="547"/>
      <c r="M13" s="547"/>
      <c r="N13" s="547"/>
      <c r="O13" s="545"/>
      <c r="P13" s="545"/>
      <c r="Q13" s="545"/>
      <c r="R13" s="545"/>
      <c r="S13" s="422"/>
    </row>
    <row r="14" spans="1:22" ht="17.5" x14ac:dyDescent="0.35">
      <c r="A14" s="545"/>
      <c r="B14" s="545"/>
      <c r="C14" s="545"/>
      <c r="D14" s="545"/>
      <c r="E14" s="545"/>
      <c r="F14" s="547"/>
      <c r="G14" s="547"/>
      <c r="H14" s="547"/>
      <c r="I14" s="547"/>
      <c r="J14" s="712"/>
      <c r="K14" s="547"/>
      <c r="L14" s="547"/>
      <c r="M14" s="547"/>
      <c r="N14" s="547"/>
      <c r="O14" s="547"/>
      <c r="P14" s="545"/>
      <c r="Q14" s="545"/>
      <c r="R14" s="545"/>
      <c r="S14" s="422"/>
    </row>
    <row r="15" spans="1:22" ht="17.5" x14ac:dyDescent="0.35">
      <c r="A15" s="545"/>
      <c r="B15" s="547"/>
      <c r="C15" s="545"/>
      <c r="D15" s="545"/>
      <c r="E15" s="545"/>
      <c r="F15" s="551"/>
      <c r="G15" s="552"/>
      <c r="H15" s="552"/>
      <c r="I15" s="552"/>
      <c r="J15" s="552"/>
      <c r="K15" s="552"/>
      <c r="L15" s="552"/>
      <c r="M15" s="552"/>
      <c r="N15" s="553"/>
      <c r="O15" s="545"/>
      <c r="P15" s="545"/>
      <c r="Q15" s="545"/>
      <c r="R15" s="545"/>
      <c r="S15" s="422"/>
    </row>
    <row r="16" spans="1:22" ht="17.5" x14ac:dyDescent="0.35">
      <c r="A16" s="545"/>
      <c r="B16" s="547"/>
      <c r="C16" s="545"/>
      <c r="D16" s="545"/>
      <c r="E16" s="545"/>
      <c r="F16" s="551"/>
      <c r="G16" s="552"/>
      <c r="H16" s="552"/>
      <c r="I16" s="552"/>
      <c r="J16" s="552"/>
      <c r="K16" s="552"/>
      <c r="L16" s="552"/>
      <c r="M16" s="552"/>
      <c r="N16" s="553"/>
      <c r="O16" s="545"/>
      <c r="P16" s="545"/>
      <c r="Q16" s="545"/>
      <c r="R16" s="545"/>
      <c r="S16" s="422"/>
    </row>
    <row r="17" spans="1:48" ht="17.5" x14ac:dyDescent="0.35">
      <c r="A17" s="545"/>
      <c r="B17" s="545"/>
      <c r="C17" s="545"/>
      <c r="D17" s="545"/>
      <c r="E17" s="545"/>
      <c r="F17" s="551"/>
      <c r="G17" s="552"/>
      <c r="H17" s="552" t="s">
        <v>119</v>
      </c>
      <c r="I17" s="552"/>
      <c r="J17" s="552"/>
      <c r="K17" s="552"/>
      <c r="L17" s="552"/>
      <c r="M17" s="552"/>
      <c r="N17" s="553"/>
      <c r="O17" s="545"/>
      <c r="P17" s="545"/>
      <c r="Q17" s="545"/>
      <c r="R17" s="545"/>
      <c r="S17" s="422"/>
    </row>
    <row r="18" spans="1:48" ht="17.5" x14ac:dyDescent="0.35">
      <c r="A18" s="545"/>
      <c r="B18" s="545"/>
      <c r="C18" s="545"/>
      <c r="D18" s="545"/>
      <c r="E18" s="545"/>
      <c r="F18" s="551"/>
      <c r="G18" s="552"/>
      <c r="H18" s="552"/>
      <c r="I18" s="552"/>
      <c r="J18" s="552"/>
      <c r="K18" s="552"/>
      <c r="L18" s="552"/>
      <c r="M18" s="552"/>
      <c r="N18" s="553"/>
      <c r="O18" s="545"/>
      <c r="P18" s="545"/>
      <c r="Q18" s="545"/>
      <c r="R18" s="545"/>
      <c r="S18" s="422"/>
    </row>
    <row r="19" spans="1:48" ht="17.5" x14ac:dyDescent="0.35">
      <c r="A19" s="547"/>
      <c r="B19" s="547"/>
      <c r="C19" s="547"/>
      <c r="D19" s="547"/>
      <c r="E19" s="547"/>
      <c r="F19" s="551"/>
      <c r="G19" s="552"/>
      <c r="H19" s="552"/>
      <c r="I19" s="552"/>
      <c r="J19" s="552"/>
      <c r="K19" s="552"/>
      <c r="L19" s="552"/>
      <c r="M19" s="552"/>
      <c r="N19" s="553"/>
      <c r="O19" s="547"/>
      <c r="P19" s="547"/>
      <c r="Q19" s="547"/>
      <c r="R19" s="547"/>
      <c r="S19" s="428"/>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ht="17.5" x14ac:dyDescent="0.35">
      <c r="A20" s="547"/>
      <c r="B20" s="547"/>
      <c r="C20" s="547"/>
      <c r="D20" s="547"/>
      <c r="E20" s="547"/>
      <c r="F20" s="554"/>
      <c r="G20" s="490"/>
      <c r="H20" s="490"/>
      <c r="I20" s="490"/>
      <c r="J20" s="490"/>
      <c r="K20" s="490"/>
      <c r="L20" s="490"/>
      <c r="M20" s="490"/>
      <c r="N20" s="555"/>
      <c r="O20" s="547"/>
      <c r="P20" s="547"/>
      <c r="Q20" s="547"/>
      <c r="R20" s="547"/>
      <c r="S20" s="428"/>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ht="17.5" x14ac:dyDescent="0.35">
      <c r="A21" s="547"/>
      <c r="B21" s="547"/>
      <c r="C21" s="547"/>
      <c r="D21" s="547"/>
      <c r="E21" s="547"/>
      <c r="F21" s="554"/>
      <c r="G21" s="490"/>
      <c r="H21" s="490"/>
      <c r="I21" s="490"/>
      <c r="J21" s="490"/>
      <c r="K21" s="490"/>
      <c r="L21" s="490"/>
      <c r="M21" s="490"/>
      <c r="N21" s="555"/>
      <c r="O21" s="547"/>
      <c r="P21" s="547"/>
      <c r="Q21" s="547"/>
      <c r="R21" s="547"/>
      <c r="S21" s="428"/>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17.5" x14ac:dyDescent="0.35">
      <c r="A22" s="547"/>
      <c r="B22" s="547"/>
      <c r="C22" s="547"/>
      <c r="D22" s="547"/>
      <c r="E22" s="547"/>
      <c r="F22" s="554"/>
      <c r="G22" s="490"/>
      <c r="H22" s="490"/>
      <c r="I22" s="490"/>
      <c r="J22" s="490"/>
      <c r="K22" s="490"/>
      <c r="L22" s="490"/>
      <c r="M22" s="490"/>
      <c r="N22" s="555"/>
      <c r="O22" s="547"/>
      <c r="P22" s="547"/>
      <c r="Q22" s="547"/>
      <c r="R22" s="547"/>
      <c r="S22" s="428"/>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12.75" customHeight="1" x14ac:dyDescent="0.25">
      <c r="A23" s="1021"/>
      <c r="B23" s="1021"/>
      <c r="C23" s="870"/>
      <c r="D23" s="870"/>
      <c r="E23" s="1021"/>
      <c r="F23" s="556"/>
      <c r="G23" s="1019"/>
      <c r="H23" s="1019"/>
      <c r="I23" s="1019"/>
      <c r="J23" s="1019"/>
      <c r="K23" s="557"/>
      <c r="L23" s="713"/>
      <c r="M23" s="713" t="s">
        <v>39</v>
      </c>
      <c r="N23" s="714"/>
      <c r="O23" s="1021"/>
      <c r="P23" s="1021"/>
      <c r="Q23" s="1023"/>
      <c r="R23" s="1023"/>
      <c r="S23" s="104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ht="12" customHeight="1" x14ac:dyDescent="0.35">
      <c r="A24" s="1022"/>
      <c r="B24" s="1022"/>
      <c r="C24" s="1022"/>
      <c r="D24" s="1022"/>
      <c r="E24" s="1022"/>
      <c r="F24" s="558"/>
      <c r="G24" s="1020"/>
      <c r="H24" s="559"/>
      <c r="I24" s="559"/>
      <c r="J24" s="559"/>
      <c r="K24" s="559"/>
      <c r="L24" s="559"/>
      <c r="M24" s="559"/>
      <c r="N24" s="560"/>
      <c r="O24" s="1022"/>
      <c r="P24" s="1022"/>
      <c r="Q24" s="1022"/>
      <c r="R24" s="1022"/>
      <c r="S24" s="1042"/>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ht="35" customHeight="1" x14ac:dyDescent="0.35">
      <c r="A25" s="547"/>
      <c r="B25" s="547"/>
      <c r="C25" s="547"/>
      <c r="D25" s="547"/>
      <c r="E25" s="547"/>
      <c r="F25" s="554"/>
      <c r="G25" s="1028" t="s">
        <v>19</v>
      </c>
      <c r="H25" s="1029"/>
      <c r="I25" s="1029"/>
      <c r="J25" s="1029"/>
      <c r="K25" s="1029"/>
      <c r="L25" s="1030"/>
      <c r="M25" s="598"/>
      <c r="N25" s="555"/>
      <c r="O25" s="547"/>
      <c r="P25" s="547"/>
      <c r="Q25" s="547"/>
      <c r="R25" s="547"/>
      <c r="S25" s="428"/>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ht="17.5" x14ac:dyDescent="0.35">
      <c r="A26" s="547"/>
      <c r="B26" s="547"/>
      <c r="C26" s="547"/>
      <c r="D26" s="547"/>
      <c r="E26" s="547"/>
      <c r="F26" s="554"/>
      <c r="G26" s="493"/>
      <c r="H26" s="493"/>
      <c r="I26" s="561"/>
      <c r="J26" s="561"/>
      <c r="K26" s="493"/>
      <c r="L26" s="562"/>
      <c r="M26" s="563"/>
      <c r="N26" s="555"/>
      <c r="O26" s="547"/>
      <c r="P26" s="547"/>
      <c r="Q26" s="547"/>
      <c r="R26" s="547"/>
      <c r="S26" s="428"/>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ht="17.5" x14ac:dyDescent="0.35">
      <c r="A27" s="547"/>
      <c r="B27" s="547"/>
      <c r="C27" s="547"/>
      <c r="D27" s="547"/>
      <c r="E27" s="547"/>
      <c r="F27" s="554"/>
      <c r="G27" s="493"/>
      <c r="H27" s="493"/>
      <c r="I27" s="561"/>
      <c r="J27" s="561"/>
      <c r="K27" s="493"/>
      <c r="L27" s="562"/>
      <c r="M27" s="563"/>
      <c r="N27" s="555"/>
      <c r="O27" s="547"/>
      <c r="P27" s="547"/>
      <c r="Q27" s="547"/>
      <c r="R27" s="547"/>
      <c r="S27" s="428"/>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ht="49.5" customHeight="1" x14ac:dyDescent="0.35">
      <c r="A28" s="547"/>
      <c r="B28" s="547"/>
      <c r="C28" s="547"/>
      <c r="D28" s="547"/>
      <c r="E28" s="547"/>
      <c r="F28" s="554"/>
      <c r="G28" s="1002" t="s">
        <v>21</v>
      </c>
      <c r="H28" s="1031"/>
      <c r="I28" s="1031"/>
      <c r="J28" s="1031"/>
      <c r="K28" s="1031"/>
      <c r="L28" s="1032"/>
      <c r="M28" s="599"/>
      <c r="N28" s="555"/>
      <c r="O28" s="547"/>
      <c r="P28" s="547"/>
      <c r="Q28" s="547"/>
      <c r="R28" s="547"/>
      <c r="S28" s="428"/>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ht="17.5" x14ac:dyDescent="0.35">
      <c r="A29" s="547"/>
      <c r="B29" s="547"/>
      <c r="C29" s="547"/>
      <c r="D29" s="547"/>
      <c r="E29" s="547"/>
      <c r="F29" s="554"/>
      <c r="G29" s="493"/>
      <c r="H29" s="493"/>
      <c r="I29" s="561"/>
      <c r="J29" s="561"/>
      <c r="K29" s="493"/>
      <c r="L29" s="562"/>
      <c r="M29" s="563"/>
      <c r="N29" s="555"/>
      <c r="O29" s="547"/>
      <c r="P29" s="547"/>
      <c r="Q29" s="547"/>
      <c r="R29" s="547"/>
      <c r="S29" s="428"/>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ht="17.5" x14ac:dyDescent="0.35">
      <c r="A30" s="547"/>
      <c r="B30" s="547"/>
      <c r="C30" s="547"/>
      <c r="D30" s="547"/>
      <c r="E30" s="547"/>
      <c r="F30" s="554"/>
      <c r="G30" s="493"/>
      <c r="H30" s="493"/>
      <c r="I30" s="561"/>
      <c r="J30" s="561"/>
      <c r="K30" s="493"/>
      <c r="L30" s="562"/>
      <c r="M30" s="563"/>
      <c r="N30" s="555"/>
      <c r="O30" s="547"/>
      <c r="P30" s="547"/>
      <c r="Q30" s="547"/>
      <c r="R30" s="547"/>
      <c r="S30" s="428"/>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ht="35.15" customHeight="1" x14ac:dyDescent="0.35">
      <c r="A31" s="547"/>
      <c r="B31" s="547"/>
      <c r="C31" s="547"/>
      <c r="D31" s="547"/>
      <c r="E31" s="547"/>
      <c r="F31" s="554"/>
      <c r="G31" s="1028" t="s">
        <v>22</v>
      </c>
      <c r="H31" s="1033"/>
      <c r="I31" s="1033"/>
      <c r="J31" s="1033"/>
      <c r="K31" s="1033"/>
      <c r="L31" s="1034"/>
      <c r="M31" s="598"/>
      <c r="N31" s="555"/>
      <c r="O31" s="547"/>
      <c r="P31" s="547"/>
      <c r="Q31" s="547"/>
      <c r="R31" s="547"/>
      <c r="S31" s="428"/>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ht="17.5" x14ac:dyDescent="0.35">
      <c r="A32" s="547"/>
      <c r="B32" s="547"/>
      <c r="C32" s="547"/>
      <c r="D32" s="547"/>
      <c r="E32" s="547"/>
      <c r="F32" s="554"/>
      <c r="G32" s="490"/>
      <c r="H32" s="490"/>
      <c r="I32" s="562"/>
      <c r="J32" s="562"/>
      <c r="K32" s="490"/>
      <c r="L32" s="562"/>
      <c r="M32" s="563"/>
      <c r="N32" s="555"/>
      <c r="O32" s="547"/>
      <c r="P32" s="547"/>
      <c r="Q32" s="547"/>
      <c r="R32" s="547"/>
      <c r="S32" s="428"/>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ht="17.5" x14ac:dyDescent="0.35">
      <c r="A33" s="547"/>
      <c r="B33" s="547"/>
      <c r="C33" s="547"/>
      <c r="D33" s="547"/>
      <c r="E33" s="547"/>
      <c r="F33" s="554"/>
      <c r="G33" s="490"/>
      <c r="H33" s="490"/>
      <c r="I33" s="562"/>
      <c r="J33" s="562"/>
      <c r="K33" s="490"/>
      <c r="L33" s="562"/>
      <c r="M33" s="563"/>
      <c r="N33" s="555"/>
      <c r="O33" s="547"/>
      <c r="P33" s="547"/>
      <c r="Q33" s="547"/>
      <c r="R33" s="547"/>
      <c r="S33" s="428"/>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ht="17.5" x14ac:dyDescent="0.35">
      <c r="A34" s="547"/>
      <c r="B34" s="547"/>
      <c r="C34" s="547"/>
      <c r="D34" s="547"/>
      <c r="E34" s="547"/>
      <c r="F34" s="554"/>
      <c r="G34" s="490"/>
      <c r="H34" s="490"/>
      <c r="I34" s="562"/>
      <c r="J34" s="562"/>
      <c r="K34" s="490"/>
      <c r="L34" s="562"/>
      <c r="M34" s="563"/>
      <c r="N34" s="555"/>
      <c r="O34" s="547"/>
      <c r="P34" s="547"/>
      <c r="Q34" s="547"/>
      <c r="R34" s="547"/>
      <c r="S34" s="428"/>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ht="17.5" x14ac:dyDescent="0.35">
      <c r="A35" s="547"/>
      <c r="B35" s="547"/>
      <c r="C35" s="547"/>
      <c r="D35" s="547"/>
      <c r="E35" s="547"/>
      <c r="F35" s="554"/>
      <c r="G35" s="490"/>
      <c r="H35" s="490"/>
      <c r="I35" s="562"/>
      <c r="J35" s="562"/>
      <c r="K35" s="490"/>
      <c r="L35" s="562"/>
      <c r="M35" s="563"/>
      <c r="N35" s="555"/>
      <c r="O35" s="547"/>
      <c r="P35" s="547"/>
      <c r="Q35" s="547"/>
      <c r="R35" s="547"/>
      <c r="S35" s="428"/>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ht="17.5" x14ac:dyDescent="0.35">
      <c r="A36" s="547"/>
      <c r="B36" s="547"/>
      <c r="C36" s="547"/>
      <c r="D36" s="547"/>
      <c r="E36" s="547"/>
      <c r="F36" s="554"/>
      <c r="G36" s="490"/>
      <c r="H36" s="490"/>
      <c r="I36" s="562"/>
      <c r="J36" s="562"/>
      <c r="K36" s="490"/>
      <c r="L36" s="562"/>
      <c r="M36" s="563"/>
      <c r="N36" s="555"/>
      <c r="O36" s="547"/>
      <c r="P36" s="547"/>
      <c r="Q36" s="547"/>
      <c r="R36" s="547"/>
      <c r="S36" s="428"/>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ht="17.5" x14ac:dyDescent="0.35">
      <c r="A37" s="547"/>
      <c r="B37" s="547"/>
      <c r="C37" s="547"/>
      <c r="D37" s="547"/>
      <c r="E37" s="547"/>
      <c r="F37" s="554"/>
      <c r="G37" s="490"/>
      <c r="H37" s="490"/>
      <c r="I37" s="562"/>
      <c r="J37" s="562"/>
      <c r="K37" s="490"/>
      <c r="L37" s="562"/>
      <c r="M37" s="563"/>
      <c r="N37" s="555"/>
      <c r="O37" s="547"/>
      <c r="P37" s="547"/>
      <c r="Q37" s="547"/>
      <c r="R37" s="547"/>
      <c r="S37" s="428"/>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ht="15" customHeight="1" x14ac:dyDescent="0.35">
      <c r="A38" s="547"/>
      <c r="B38" s="547"/>
      <c r="C38" s="547"/>
      <c r="D38" s="547"/>
      <c r="E38" s="547"/>
      <c r="F38" s="554"/>
      <c r="G38" s="1035" t="s">
        <v>578</v>
      </c>
      <c r="H38" s="1036"/>
      <c r="I38" s="1036"/>
      <c r="J38" s="1036"/>
      <c r="K38" s="1036"/>
      <c r="L38" s="1037"/>
      <c r="M38" s="1026">
        <f>((M25*((M28*100)/2)+M31*(100-((M28*100)/2)))/100)</f>
        <v>0</v>
      </c>
      <c r="N38" s="555"/>
      <c r="O38" s="547"/>
      <c r="P38" s="547"/>
      <c r="Q38" s="547"/>
      <c r="R38" s="547"/>
      <c r="S38" s="428"/>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ht="51" customHeight="1" x14ac:dyDescent="0.35">
      <c r="A39" s="547"/>
      <c r="B39" s="547"/>
      <c r="C39" s="547"/>
      <c r="D39" s="547"/>
      <c r="E39" s="547"/>
      <c r="F39" s="554"/>
      <c r="G39" s="1038"/>
      <c r="H39" s="1039"/>
      <c r="I39" s="1039"/>
      <c r="J39" s="1039"/>
      <c r="K39" s="1039"/>
      <c r="L39" s="1040"/>
      <c r="M39" s="1027"/>
      <c r="N39" s="555"/>
      <c r="O39" s="547"/>
      <c r="P39" s="547"/>
      <c r="Q39" s="547"/>
      <c r="R39" s="547"/>
      <c r="S39" s="428"/>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ht="36" customHeight="1" x14ac:dyDescent="0.35">
      <c r="A40" s="547"/>
      <c r="B40" s="547"/>
      <c r="C40" s="547"/>
      <c r="D40" s="547"/>
      <c r="E40" s="547"/>
      <c r="F40" s="554"/>
      <c r="G40" s="564"/>
      <c r="H40" s="564"/>
      <c r="I40" s="564"/>
      <c r="J40" s="564"/>
      <c r="K40" s="564"/>
      <c r="L40" s="564"/>
      <c r="M40" s="562"/>
      <c r="N40" s="555"/>
      <c r="O40" s="547"/>
      <c r="P40" s="547"/>
      <c r="Q40" s="547"/>
      <c r="R40" s="547"/>
      <c r="S40" s="428"/>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ht="9.75" customHeight="1" x14ac:dyDescent="0.35">
      <c r="A41" s="547"/>
      <c r="B41" s="547"/>
      <c r="C41" s="547"/>
      <c r="D41" s="547"/>
      <c r="E41" s="547"/>
      <c r="F41" s="554"/>
      <c r="G41" s="490"/>
      <c r="H41" s="490"/>
      <c r="I41" s="562"/>
      <c r="J41" s="562"/>
      <c r="K41" s="490"/>
      <c r="L41" s="562"/>
      <c r="M41" s="562"/>
      <c r="N41" s="555"/>
      <c r="O41" s="547"/>
      <c r="P41" s="547"/>
      <c r="Q41" s="547"/>
      <c r="R41" s="547"/>
      <c r="S41" s="428"/>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ht="6" customHeight="1" x14ac:dyDescent="0.35">
      <c r="A42" s="547"/>
      <c r="B42" s="547"/>
      <c r="C42" s="547"/>
      <c r="D42" s="547"/>
      <c r="E42" s="547"/>
      <c r="F42" s="554"/>
      <c r="G42" s="490"/>
      <c r="H42" s="490"/>
      <c r="I42" s="562"/>
      <c r="J42" s="562"/>
      <c r="K42" s="490"/>
      <c r="L42" s="562"/>
      <c r="M42" s="562"/>
      <c r="N42" s="555"/>
      <c r="O42" s="547"/>
      <c r="P42" s="547"/>
      <c r="Q42" s="547"/>
      <c r="R42" s="547"/>
      <c r="S42" s="428"/>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ht="18" x14ac:dyDescent="0.4">
      <c r="A43" s="547"/>
      <c r="B43" s="547"/>
      <c r="C43" s="547"/>
      <c r="D43" s="547"/>
      <c r="E43" s="547"/>
      <c r="F43" s="554"/>
      <c r="G43" s="685" t="s">
        <v>38</v>
      </c>
      <c r="H43" s="548"/>
      <c r="I43" s="548"/>
      <c r="J43" s="548"/>
      <c r="K43" s="548"/>
      <c r="L43" s="548"/>
      <c r="M43" s="548"/>
      <c r="N43" s="555"/>
      <c r="O43" s="547"/>
      <c r="P43" s="547"/>
      <c r="Q43" s="547"/>
      <c r="R43" s="547"/>
      <c r="S43" s="428"/>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ht="17.5" x14ac:dyDescent="0.35">
      <c r="A44" s="547"/>
      <c r="B44" s="547"/>
      <c r="C44" s="547"/>
      <c r="D44" s="547"/>
      <c r="E44" s="547"/>
      <c r="F44" s="554"/>
      <c r="G44" s="548"/>
      <c r="H44" s="548"/>
      <c r="I44" s="548"/>
      <c r="J44" s="548"/>
      <c r="K44" s="548"/>
      <c r="L44" s="548"/>
      <c r="M44" s="548"/>
      <c r="N44" s="555"/>
      <c r="O44" s="547"/>
      <c r="P44" s="547"/>
      <c r="Q44" s="547"/>
      <c r="R44" s="547"/>
      <c r="S44" s="428"/>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8" x14ac:dyDescent="0.4">
      <c r="A45" s="547"/>
      <c r="B45" s="547"/>
      <c r="C45" s="547"/>
      <c r="D45" s="547"/>
      <c r="E45" s="547"/>
      <c r="F45" s="554"/>
      <c r="G45" s="548"/>
      <c r="H45" s="685" t="s">
        <v>20</v>
      </c>
      <c r="I45" s="548"/>
      <c r="J45" s="548"/>
      <c r="K45" s="548"/>
      <c r="L45" s="548"/>
      <c r="M45" s="548"/>
      <c r="N45" s="555"/>
      <c r="O45" s="547"/>
      <c r="P45" s="547"/>
      <c r="Q45" s="547"/>
      <c r="R45" s="547"/>
      <c r="S45" s="428"/>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7.5" x14ac:dyDescent="0.35">
      <c r="A46" s="547"/>
      <c r="B46" s="547"/>
      <c r="C46" s="547"/>
      <c r="D46" s="547"/>
      <c r="E46" s="547"/>
      <c r="F46" s="554"/>
      <c r="G46" s="548"/>
      <c r="H46" s="548"/>
      <c r="I46" s="548"/>
      <c r="J46" s="548"/>
      <c r="K46" s="548"/>
      <c r="L46" s="548"/>
      <c r="M46" s="548"/>
      <c r="N46" s="555"/>
      <c r="O46" s="547"/>
      <c r="P46" s="547"/>
      <c r="Q46" s="547"/>
      <c r="R46" s="547"/>
      <c r="S46" s="428"/>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7.5" x14ac:dyDescent="0.35">
      <c r="A47" s="547"/>
      <c r="B47" s="547"/>
      <c r="C47" s="547"/>
      <c r="D47" s="547"/>
      <c r="E47" s="547"/>
      <c r="F47" s="554"/>
      <c r="G47" s="1024" t="s">
        <v>582</v>
      </c>
      <c r="H47" s="1025"/>
      <c r="I47" s="1025"/>
      <c r="J47" s="1025"/>
      <c r="K47" s="1025"/>
      <c r="L47" s="1025"/>
      <c r="M47" s="1025"/>
      <c r="N47" s="555"/>
      <c r="O47" s="547"/>
      <c r="P47" s="547"/>
      <c r="Q47" s="547"/>
      <c r="R47" s="547"/>
      <c r="S47" s="428"/>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7.5" x14ac:dyDescent="0.35">
      <c r="A48" s="547"/>
      <c r="B48" s="547"/>
      <c r="C48" s="547"/>
      <c r="D48" s="547"/>
      <c r="E48" s="547"/>
      <c r="F48" s="554"/>
      <c r="G48" s="1025"/>
      <c r="H48" s="1025"/>
      <c r="I48" s="1025"/>
      <c r="J48" s="1025"/>
      <c r="K48" s="1025"/>
      <c r="L48" s="1025"/>
      <c r="M48" s="1025"/>
      <c r="N48" s="555"/>
      <c r="O48" s="547"/>
      <c r="P48" s="547"/>
      <c r="Q48" s="547"/>
      <c r="R48" s="547"/>
      <c r="S48" s="428"/>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ht="17.5" x14ac:dyDescent="0.35">
      <c r="A49" s="547"/>
      <c r="B49" s="547"/>
      <c r="C49" s="547"/>
      <c r="D49" s="547"/>
      <c r="E49" s="547"/>
      <c r="F49" s="554"/>
      <c r="G49" s="1025"/>
      <c r="H49" s="1025"/>
      <c r="I49" s="1025"/>
      <c r="J49" s="1025"/>
      <c r="K49" s="1025"/>
      <c r="L49" s="1025"/>
      <c r="M49" s="1025"/>
      <c r="N49" s="555"/>
      <c r="O49" s="547"/>
      <c r="P49" s="547"/>
      <c r="Q49" s="547"/>
      <c r="R49" s="547"/>
      <c r="S49" s="428"/>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7.5" x14ac:dyDescent="0.35">
      <c r="A50" s="547"/>
      <c r="B50" s="547"/>
      <c r="C50" s="547"/>
      <c r="D50" s="547"/>
      <c r="E50" s="547"/>
      <c r="F50" s="554"/>
      <c r="G50" s="1025"/>
      <c r="H50" s="1025"/>
      <c r="I50" s="1025"/>
      <c r="J50" s="1025"/>
      <c r="K50" s="1025"/>
      <c r="L50" s="1025"/>
      <c r="M50" s="1025"/>
      <c r="N50" s="555"/>
      <c r="O50" s="547"/>
      <c r="P50" s="547"/>
      <c r="Q50" s="547"/>
      <c r="R50" s="547"/>
      <c r="S50" s="428"/>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7.5" x14ac:dyDescent="0.35">
      <c r="A51" s="547"/>
      <c r="B51" s="547"/>
      <c r="C51" s="547"/>
      <c r="D51" s="547"/>
      <c r="E51" s="547"/>
      <c r="F51" s="554"/>
      <c r="G51" s="490"/>
      <c r="H51" s="490"/>
      <c r="I51" s="562"/>
      <c r="J51" s="562"/>
      <c r="K51" s="490"/>
      <c r="L51" s="562"/>
      <c r="M51" s="562"/>
      <c r="N51" s="555"/>
      <c r="O51" s="547"/>
      <c r="P51" s="547"/>
      <c r="Q51" s="547"/>
      <c r="R51" s="547"/>
      <c r="S51" s="428"/>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7.5" x14ac:dyDescent="0.35">
      <c r="A52" s="547"/>
      <c r="B52" s="547"/>
      <c r="C52" s="547"/>
      <c r="D52" s="547"/>
      <c r="E52" s="547"/>
      <c r="F52" s="565"/>
      <c r="G52" s="566"/>
      <c r="H52" s="566"/>
      <c r="I52" s="567"/>
      <c r="J52" s="567"/>
      <c r="K52" s="566"/>
      <c r="L52" s="567"/>
      <c r="M52" s="567"/>
      <c r="N52" s="568"/>
      <c r="O52" s="547"/>
      <c r="P52" s="547"/>
      <c r="Q52" s="547"/>
      <c r="R52" s="547"/>
      <c r="S52" s="428"/>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7.5" x14ac:dyDescent="0.35">
      <c r="A53" s="547"/>
      <c r="B53" s="547"/>
      <c r="C53" s="547"/>
      <c r="D53" s="547"/>
      <c r="E53" s="547"/>
      <c r="F53" s="547"/>
      <c r="G53" s="547"/>
      <c r="H53" s="547"/>
      <c r="I53" s="569"/>
      <c r="J53" s="569"/>
      <c r="K53" s="547"/>
      <c r="L53" s="569"/>
      <c r="M53" s="569"/>
      <c r="N53" s="547"/>
      <c r="O53" s="547"/>
      <c r="P53" s="547"/>
      <c r="Q53" s="547"/>
      <c r="R53" s="547"/>
      <c r="S53" s="428"/>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7.5" x14ac:dyDescent="0.35">
      <c r="A54" s="547"/>
      <c r="B54" s="547"/>
      <c r="C54" s="547"/>
      <c r="D54" s="547"/>
      <c r="E54" s="547"/>
      <c r="F54" s="547"/>
      <c r="G54" s="547"/>
      <c r="H54" s="547"/>
      <c r="I54" s="569"/>
      <c r="J54" s="569"/>
      <c r="K54" s="547"/>
      <c r="L54" s="569"/>
      <c r="M54" s="569"/>
      <c r="N54" s="547"/>
      <c r="O54" s="547"/>
      <c r="P54" s="547"/>
      <c r="Q54" s="547"/>
      <c r="R54" s="547"/>
      <c r="S54" s="428"/>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7.5" x14ac:dyDescent="0.35">
      <c r="A55" s="547"/>
      <c r="B55" s="547"/>
      <c r="C55" s="547"/>
      <c r="D55" s="547"/>
      <c r="E55" s="547"/>
      <c r="F55" s="547"/>
      <c r="G55" s="547"/>
      <c r="H55" s="547"/>
      <c r="I55" s="569"/>
      <c r="J55" s="569"/>
      <c r="K55" s="547"/>
      <c r="L55" s="569"/>
      <c r="M55" s="569"/>
      <c r="N55" s="547"/>
      <c r="O55" s="547"/>
      <c r="P55" s="547"/>
      <c r="Q55" s="547"/>
      <c r="R55" s="547"/>
      <c r="S55" s="428"/>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ht="17.5" x14ac:dyDescent="0.35">
      <c r="A56" s="547"/>
      <c r="B56" s="547"/>
      <c r="C56" s="547"/>
      <c r="D56" s="547"/>
      <c r="E56" s="547"/>
      <c r="F56" s="547"/>
      <c r="G56" s="547"/>
      <c r="H56" s="547"/>
      <c r="I56" s="569"/>
      <c r="J56" s="569"/>
      <c r="K56" s="547"/>
      <c r="L56" s="547"/>
      <c r="M56" s="547"/>
      <c r="N56" s="547"/>
      <c r="O56" s="547"/>
      <c r="P56" s="547"/>
      <c r="Q56" s="547"/>
      <c r="R56" s="547"/>
      <c r="S56" s="428"/>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ht="17.5" x14ac:dyDescent="0.35">
      <c r="A57" s="547"/>
      <c r="B57" s="547"/>
      <c r="C57" s="547"/>
      <c r="D57" s="547"/>
      <c r="E57" s="547"/>
      <c r="F57" s="547"/>
      <c r="G57" s="547"/>
      <c r="H57" s="547"/>
      <c r="I57" s="547"/>
      <c r="J57" s="547"/>
      <c r="K57" s="547"/>
      <c r="L57" s="547"/>
      <c r="M57" s="547"/>
      <c r="N57" s="547"/>
      <c r="O57" s="547"/>
      <c r="P57" s="547"/>
      <c r="Q57" s="547"/>
      <c r="R57" s="547"/>
      <c r="S57" s="428"/>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ht="17.5" x14ac:dyDescent="0.35">
      <c r="A58" s="547"/>
      <c r="B58" s="547"/>
      <c r="C58" s="547"/>
      <c r="D58" s="547"/>
      <c r="E58" s="547"/>
      <c r="F58" s="547"/>
      <c r="G58" s="547"/>
      <c r="H58" s="547"/>
      <c r="I58" s="547"/>
      <c r="J58" s="547"/>
      <c r="K58" s="547"/>
      <c r="L58" s="547"/>
      <c r="M58" s="547"/>
      <c r="N58" s="547"/>
      <c r="O58" s="547"/>
      <c r="P58" s="547"/>
      <c r="Q58" s="547"/>
      <c r="R58" s="547"/>
      <c r="S58" s="428"/>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ht="17.5" x14ac:dyDescent="0.35">
      <c r="A59" s="547"/>
      <c r="B59" s="547"/>
      <c r="C59" s="547"/>
      <c r="D59" s="547"/>
      <c r="E59" s="547"/>
      <c r="F59" s="547"/>
      <c r="G59" s="547"/>
      <c r="H59" s="547"/>
      <c r="I59" s="547"/>
      <c r="J59" s="547"/>
      <c r="K59" s="547"/>
      <c r="L59" s="547"/>
      <c r="M59" s="547"/>
      <c r="N59" s="547"/>
      <c r="O59" s="547"/>
      <c r="P59" s="547"/>
      <c r="Q59" s="547"/>
      <c r="R59" s="547"/>
      <c r="S59" s="428"/>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ht="17.5" x14ac:dyDescent="0.35">
      <c r="A60" s="547"/>
      <c r="B60" s="547"/>
      <c r="C60" s="547"/>
      <c r="D60" s="547"/>
      <c r="E60" s="547"/>
      <c r="F60" s="547"/>
      <c r="G60" s="547"/>
      <c r="H60" s="547"/>
      <c r="I60" s="547"/>
      <c r="J60" s="547"/>
      <c r="K60" s="547"/>
      <c r="L60" s="547"/>
      <c r="M60" s="547"/>
      <c r="N60" s="547"/>
      <c r="O60" s="547"/>
      <c r="P60" s="547"/>
      <c r="Q60" s="547"/>
      <c r="R60" s="547"/>
      <c r="S60" s="428"/>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ht="17.5" x14ac:dyDescent="0.35">
      <c r="A61" s="547"/>
      <c r="B61" s="547"/>
      <c r="C61" s="547"/>
      <c r="D61" s="547"/>
      <c r="E61" s="547"/>
      <c r="F61" s="547"/>
      <c r="G61" s="547"/>
      <c r="H61" s="547"/>
      <c r="I61" s="547"/>
      <c r="J61" s="547"/>
      <c r="K61" s="547"/>
      <c r="L61" s="547"/>
      <c r="M61" s="547"/>
      <c r="N61" s="547"/>
      <c r="O61" s="547"/>
      <c r="P61" s="547"/>
      <c r="Q61" s="547"/>
      <c r="R61" s="547"/>
      <c r="S61" s="428"/>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428"/>
      <c r="B62" s="428"/>
      <c r="C62" s="428"/>
      <c r="D62" s="428"/>
      <c r="E62" s="428"/>
      <c r="F62" s="428"/>
      <c r="G62" s="428"/>
      <c r="H62" s="428"/>
      <c r="I62" s="428"/>
      <c r="J62" s="428"/>
      <c r="K62" s="428"/>
      <c r="L62" s="428"/>
      <c r="M62" s="428"/>
      <c r="N62" s="428"/>
      <c r="O62" s="428"/>
      <c r="P62" s="428"/>
      <c r="Q62" s="428"/>
      <c r="R62" s="428"/>
      <c r="S62" s="428"/>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428"/>
      <c r="B63" s="428"/>
      <c r="C63" s="428"/>
      <c r="D63" s="428"/>
      <c r="E63" s="428"/>
      <c r="F63" s="428"/>
      <c r="G63" s="428"/>
      <c r="H63" s="428"/>
      <c r="I63" s="428"/>
      <c r="J63" s="428"/>
      <c r="K63" s="428"/>
      <c r="L63" s="428"/>
      <c r="M63" s="428"/>
      <c r="N63" s="428"/>
      <c r="O63" s="428"/>
      <c r="P63" s="428"/>
      <c r="Q63" s="428"/>
      <c r="R63" s="428"/>
      <c r="S63" s="428"/>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428"/>
      <c r="B64" s="428"/>
      <c r="C64" s="428"/>
      <c r="D64" s="428"/>
      <c r="E64" s="428"/>
      <c r="F64" s="428"/>
      <c r="G64" s="428"/>
      <c r="H64" s="428"/>
      <c r="I64" s="428"/>
      <c r="J64" s="428"/>
      <c r="K64" s="428"/>
      <c r="L64" s="428"/>
      <c r="M64" s="428"/>
      <c r="N64" s="428"/>
      <c r="O64" s="428"/>
      <c r="P64" s="428"/>
      <c r="Q64" s="428"/>
      <c r="R64" s="428"/>
      <c r="S64" s="428"/>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428"/>
      <c r="B65" s="428"/>
      <c r="C65" s="428"/>
      <c r="D65" s="428"/>
      <c r="E65" s="428"/>
      <c r="F65" s="428"/>
      <c r="G65" s="428"/>
      <c r="H65" s="428"/>
      <c r="I65" s="428"/>
      <c r="J65" s="428"/>
      <c r="K65" s="428"/>
      <c r="L65" s="428"/>
      <c r="M65" s="428"/>
      <c r="N65" s="428"/>
      <c r="O65" s="428"/>
      <c r="P65" s="428"/>
      <c r="Q65" s="428"/>
      <c r="R65" s="428"/>
      <c r="S65" s="428"/>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428"/>
      <c r="B66" s="428"/>
      <c r="C66" s="428"/>
      <c r="D66" s="428"/>
      <c r="E66" s="428"/>
      <c r="F66" s="428"/>
      <c r="G66" s="428"/>
      <c r="H66" s="428"/>
      <c r="I66" s="428"/>
      <c r="J66" s="428"/>
      <c r="K66" s="428"/>
      <c r="L66" s="428"/>
      <c r="M66" s="428"/>
      <c r="N66" s="428"/>
      <c r="O66" s="428"/>
      <c r="P66" s="428"/>
      <c r="Q66" s="428"/>
      <c r="R66" s="428"/>
      <c r="S66" s="428"/>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428"/>
      <c r="B67" s="428"/>
      <c r="C67" s="428"/>
      <c r="D67" s="428"/>
      <c r="E67" s="428"/>
      <c r="F67" s="428"/>
      <c r="G67" s="428"/>
      <c r="H67" s="428"/>
      <c r="I67" s="428"/>
      <c r="J67" s="428"/>
      <c r="K67" s="428"/>
      <c r="L67" s="428"/>
      <c r="M67" s="428"/>
      <c r="N67" s="428"/>
      <c r="O67" s="428"/>
      <c r="P67" s="428"/>
      <c r="Q67" s="428"/>
      <c r="R67" s="428"/>
      <c r="S67" s="428"/>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428"/>
      <c r="B68" s="428"/>
      <c r="C68" s="428"/>
      <c r="D68" s="428"/>
      <c r="E68" s="428"/>
      <c r="F68" s="428"/>
      <c r="G68" s="428"/>
      <c r="H68" s="428"/>
      <c r="I68" s="428"/>
      <c r="J68" s="428"/>
      <c r="K68" s="428"/>
      <c r="L68" s="428"/>
      <c r="M68" s="428"/>
      <c r="N68" s="428"/>
      <c r="O68" s="428"/>
      <c r="P68" s="428"/>
      <c r="Q68" s="428"/>
      <c r="R68" s="428"/>
      <c r="S68" s="428"/>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428"/>
      <c r="B69" s="428"/>
      <c r="C69" s="428"/>
      <c r="D69" s="428"/>
      <c r="E69" s="428"/>
      <c r="F69" s="428"/>
      <c r="G69" s="428"/>
      <c r="H69" s="428"/>
      <c r="I69" s="428"/>
      <c r="J69" s="428"/>
      <c r="K69" s="428"/>
      <c r="L69" s="428"/>
      <c r="M69" s="428"/>
      <c r="N69" s="428"/>
      <c r="O69" s="428"/>
      <c r="P69" s="428"/>
      <c r="Q69" s="428"/>
      <c r="R69" s="428"/>
      <c r="S69" s="428"/>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428"/>
      <c r="B70" s="428"/>
      <c r="C70" s="428"/>
      <c r="D70" s="428"/>
      <c r="E70" s="428"/>
      <c r="F70" s="428"/>
      <c r="G70" s="428"/>
      <c r="H70" s="428"/>
      <c r="I70" s="428"/>
      <c r="J70" s="428"/>
      <c r="K70" s="428"/>
      <c r="L70" s="428"/>
      <c r="M70" s="428"/>
      <c r="N70" s="428"/>
      <c r="O70" s="428"/>
      <c r="P70" s="428"/>
      <c r="Q70" s="428"/>
      <c r="R70" s="428"/>
      <c r="S70" s="428"/>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428"/>
      <c r="B71" s="428"/>
      <c r="C71" s="428"/>
      <c r="D71" s="428"/>
      <c r="E71" s="428"/>
      <c r="F71" s="428"/>
      <c r="G71" s="428"/>
      <c r="H71" s="428"/>
      <c r="I71" s="428"/>
      <c r="J71" s="428"/>
      <c r="K71" s="428"/>
      <c r="L71" s="428"/>
      <c r="M71" s="428"/>
      <c r="N71" s="428"/>
      <c r="O71" s="428"/>
      <c r="P71" s="428"/>
      <c r="Q71" s="428"/>
      <c r="R71" s="428"/>
      <c r="S71" s="428"/>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428"/>
      <c r="B72" s="428"/>
      <c r="C72" s="428"/>
      <c r="D72" s="428"/>
      <c r="E72" s="428"/>
      <c r="F72" s="428"/>
      <c r="G72" s="428"/>
      <c r="H72" s="428"/>
      <c r="I72" s="428"/>
      <c r="J72" s="428"/>
      <c r="K72" s="428"/>
      <c r="L72" s="428"/>
      <c r="M72" s="428"/>
      <c r="N72" s="428"/>
      <c r="O72" s="428"/>
      <c r="P72" s="428"/>
      <c r="Q72" s="428"/>
      <c r="R72" s="428"/>
      <c r="S72" s="428"/>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428"/>
      <c r="B73" s="428"/>
      <c r="C73" s="428"/>
      <c r="D73" s="428"/>
      <c r="E73" s="428"/>
      <c r="F73" s="428"/>
      <c r="G73" s="428"/>
      <c r="H73" s="428"/>
      <c r="I73" s="428"/>
      <c r="J73" s="428"/>
      <c r="K73" s="428"/>
      <c r="L73" s="428"/>
      <c r="M73" s="428"/>
      <c r="N73" s="428"/>
      <c r="O73" s="428"/>
      <c r="P73" s="428"/>
      <c r="Q73" s="428"/>
      <c r="R73" s="428"/>
      <c r="S73" s="428"/>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428"/>
      <c r="B74" s="428"/>
      <c r="C74" s="428"/>
      <c r="D74" s="428"/>
      <c r="E74" s="428"/>
      <c r="F74" s="428"/>
      <c r="G74" s="428"/>
      <c r="H74" s="428"/>
      <c r="I74" s="428"/>
      <c r="J74" s="428"/>
      <c r="K74" s="428"/>
      <c r="L74" s="428"/>
      <c r="M74" s="428"/>
      <c r="N74" s="428"/>
      <c r="O74" s="428"/>
      <c r="P74" s="428"/>
      <c r="Q74" s="428"/>
      <c r="R74" s="428"/>
      <c r="S74" s="428"/>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428"/>
      <c r="B75" s="428"/>
      <c r="C75" s="428"/>
      <c r="D75" s="428"/>
      <c r="E75" s="428"/>
      <c r="F75" s="428"/>
      <c r="G75" s="428"/>
      <c r="H75" s="428"/>
      <c r="I75" s="428"/>
      <c r="J75" s="428"/>
      <c r="K75" s="428"/>
      <c r="L75" s="428"/>
      <c r="M75" s="428"/>
      <c r="N75" s="428"/>
      <c r="O75" s="428"/>
      <c r="P75" s="428"/>
      <c r="Q75" s="428"/>
      <c r="R75" s="428"/>
      <c r="S75" s="428"/>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428"/>
      <c r="B76" s="428"/>
      <c r="C76" s="428"/>
      <c r="D76" s="428"/>
      <c r="E76" s="428"/>
      <c r="F76" s="428"/>
      <c r="G76" s="428"/>
      <c r="H76" s="428"/>
      <c r="I76" s="428"/>
      <c r="J76" s="428"/>
      <c r="K76" s="428"/>
      <c r="L76" s="428"/>
      <c r="M76" s="428"/>
      <c r="N76" s="428"/>
      <c r="O76" s="428"/>
      <c r="P76" s="428"/>
      <c r="Q76" s="428"/>
      <c r="R76" s="428"/>
      <c r="S76" s="428"/>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428"/>
      <c r="B77" s="428"/>
      <c r="C77" s="428"/>
      <c r="D77" s="428"/>
      <c r="E77" s="428"/>
      <c r="F77" s="428"/>
      <c r="G77" s="428"/>
      <c r="H77" s="428"/>
      <c r="I77" s="428"/>
      <c r="J77" s="428"/>
      <c r="K77" s="428"/>
      <c r="L77" s="428"/>
      <c r="M77" s="428"/>
      <c r="N77" s="428"/>
      <c r="O77" s="428"/>
      <c r="P77" s="428"/>
      <c r="Q77" s="428"/>
      <c r="R77" s="428"/>
      <c r="S77" s="428"/>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sheetData>
  <sheetProtection algorithmName="SHA-512" hashValue="8vyxB9CQxTFF77dOsgFSFRaY12fEvnz0CYsqUCgd39cZ1hHNsExNkEr8MBKjWztJJS9h03BJbgOhfsaVz+MImw==" saltValue="2vWvWa/jPYJEK9ZnG/ilOg==" spinCount="100000" sheet="1" objects="1" scenarios="1" selectLockedCells="1"/>
  <mergeCells count="19">
    <mergeCell ref="S23:S24"/>
    <mergeCell ref="H23:J23"/>
    <mergeCell ref="A23:A24"/>
    <mergeCell ref="O23:O24"/>
    <mergeCell ref="P23:P24"/>
    <mergeCell ref="G47:M50"/>
    <mergeCell ref="M38:M39"/>
    <mergeCell ref="R23:R24"/>
    <mergeCell ref="G25:L25"/>
    <mergeCell ref="G28:L28"/>
    <mergeCell ref="G31:L31"/>
    <mergeCell ref="G38:L39"/>
    <mergeCell ref="B12:Q12"/>
    <mergeCell ref="G23:G24"/>
    <mergeCell ref="E23:E24"/>
    <mergeCell ref="D23:D24"/>
    <mergeCell ref="C23:C24"/>
    <mergeCell ref="B23:B24"/>
    <mergeCell ref="Q23:Q24"/>
  </mergeCells>
  <phoneticPr fontId="3" type="noConversion"/>
  <dataValidations disablePrompts="1" count="2">
    <dataValidation type="decimal" allowBlank="1" showInputMessage="1" showErrorMessage="1" errorTitle="Fixed Dimming Percentage" error="Fixed Dimming Percentage is to be greater than 1% and not more than 99%" sqref="L53:M55 I53:J55">
      <formula1>0.01</formula1>
      <formula2>0.99</formula2>
    </dataValidation>
    <dataValidation type="decimal" operator="greaterThanOrEqual" allowBlank="1" showInputMessage="1" showErrorMessage="1" errorTitle="Design lumen depreciation factor" error="In accordance with Table J6.2c. If a dynamic dimming system is used the design lumen depreciation factor must be no less than 0.9 for fluorescent lights; or with high pressure discharge lights, no less than 0.8" sqref="K53:K55 H53:H55">
      <formula1>0.8</formula1>
    </dataValidation>
  </dataValidations>
  <pageMargins left="0.25" right="0.25" top="0.75" bottom="0.75" header="0.3" footer="0.3"/>
  <pageSetup paperSize="9" scale="4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378"/>
  <sheetViews>
    <sheetView zoomScale="90" zoomScaleNormal="90" workbookViewId="0">
      <selection activeCell="E32" sqref="E32"/>
    </sheetView>
  </sheetViews>
  <sheetFormatPr defaultColWidth="8.81640625" defaultRowHeight="12.5" x14ac:dyDescent="0.25"/>
  <cols>
    <col min="1" max="1" width="2.1796875" customWidth="1"/>
  </cols>
  <sheetData>
    <row r="1" spans="2:2" ht="13" x14ac:dyDescent="0.3">
      <c r="B1" s="715" t="s">
        <v>134</v>
      </c>
    </row>
    <row r="2" spans="2:2" ht="13" x14ac:dyDescent="0.3">
      <c r="B2" s="716" t="s">
        <v>138</v>
      </c>
    </row>
    <row r="3" spans="2:2" ht="13" x14ac:dyDescent="0.3">
      <c r="B3" s="716" t="s">
        <v>135</v>
      </c>
    </row>
    <row r="4" spans="2:2" ht="13" x14ac:dyDescent="0.3">
      <c r="B4" s="716" t="s">
        <v>136</v>
      </c>
    </row>
    <row r="5" spans="2:2" ht="13" x14ac:dyDescent="0.3">
      <c r="B5" s="717" t="s">
        <v>137</v>
      </c>
    </row>
    <row r="9" spans="2:2" s="41" customFormat="1" x14ac:dyDescent="0.25"/>
    <row r="10" spans="2:2" s="41" customFormat="1" x14ac:dyDescent="0.25"/>
    <row r="11" spans="2:2" s="41" customFormat="1" x14ac:dyDescent="0.25"/>
    <row r="12" spans="2:2" s="41" customFormat="1" x14ac:dyDescent="0.25"/>
    <row r="13" spans="2:2" s="41" customFormat="1" x14ac:dyDescent="0.25"/>
    <row r="14" spans="2:2" s="41" customFormat="1" x14ac:dyDescent="0.25"/>
    <row r="15" spans="2:2" s="41" customFormat="1" x14ac:dyDescent="0.25"/>
    <row r="16" spans="2:2" s="41" customFormat="1" x14ac:dyDescent="0.25"/>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sheetData>
  <sheetProtection algorithmName="SHA-512" hashValue="pRlV69acQe2BA50n3pJ1HT14mA7uMz2KvpBeu4J/8M+GcZvjq1Op0CbjwDwVs+XGFWbNPoDLshPIauD5Yw8aag==" saltValue="WO5REiojM5y2m84lctsr9Q==" spinCount="100000" sheet="1" objects="1" scenarios="1" selectLockedCells="1"/>
  <phoneticPr fontId="3" type="noConversion"/>
  <pageMargins left="0.75" right="0.75" top="1" bottom="1" header="0.5" footer="0.5"/>
  <pageSetup paperSize="9" scale="6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AA271"/>
  <sheetViews>
    <sheetView showGridLines="0" showRowColHeaders="0" zoomScale="70" zoomScaleNormal="70" workbookViewId="0">
      <selection activeCell="A4" sqref="A4"/>
    </sheetView>
  </sheetViews>
  <sheetFormatPr defaultColWidth="8.81640625" defaultRowHeight="12.5" x14ac:dyDescent="0.25"/>
  <cols>
    <col min="1" max="1" width="1.7265625" style="85" customWidth="1"/>
    <col min="2" max="2" width="6.7265625" style="85" customWidth="1"/>
    <col min="3" max="16384" width="8.81640625" style="85"/>
  </cols>
  <sheetData>
    <row r="1" spans="1:27" ht="167.15" customHeight="1" x14ac:dyDescent="0.25">
      <c r="A1" s="75"/>
      <c r="B1" s="651"/>
      <c r="C1" s="651"/>
      <c r="D1" s="651"/>
      <c r="E1" s="651"/>
      <c r="F1" s="651"/>
      <c r="G1" s="651"/>
      <c r="H1" s="651"/>
      <c r="I1" s="651"/>
      <c r="J1" s="651"/>
      <c r="K1" s="651"/>
      <c r="L1" s="651"/>
      <c r="M1" s="651"/>
      <c r="N1" s="651"/>
      <c r="O1" s="651"/>
      <c r="P1" s="651"/>
      <c r="Q1" s="651"/>
      <c r="R1" s="651"/>
      <c r="S1" s="651"/>
      <c r="T1" s="651"/>
      <c r="U1" s="651"/>
      <c r="V1" s="651"/>
      <c r="W1" s="651"/>
      <c r="X1" s="651"/>
      <c r="Y1" s="622"/>
      <c r="Z1" s="622"/>
    </row>
    <row r="2" spans="1:27" ht="40" customHeight="1" x14ac:dyDescent="0.4">
      <c r="A2" s="75"/>
      <c r="B2" s="747"/>
      <c r="C2" s="747"/>
      <c r="D2" s="747"/>
      <c r="E2" s="747"/>
      <c r="F2" s="747"/>
      <c r="G2" s="747"/>
      <c r="H2" s="747"/>
      <c r="I2" s="747"/>
      <c r="J2" s="747"/>
      <c r="K2" s="747"/>
      <c r="L2" s="747"/>
      <c r="M2" s="747"/>
      <c r="N2" s="747"/>
      <c r="O2" s="747"/>
      <c r="P2" s="747"/>
      <c r="Q2" s="747"/>
      <c r="R2" s="747"/>
      <c r="S2" s="747"/>
      <c r="T2" s="747"/>
      <c r="U2" s="747"/>
      <c r="V2" s="747"/>
      <c r="W2" s="747"/>
      <c r="X2" s="748"/>
      <c r="Y2" s="749"/>
      <c r="Z2" s="750" t="s">
        <v>515</v>
      </c>
    </row>
    <row r="3" spans="1:27" x14ac:dyDescent="0.25">
      <c r="A3" s="75"/>
      <c r="B3" s="375"/>
      <c r="C3" s="573"/>
      <c r="D3" s="573"/>
      <c r="E3" s="573"/>
      <c r="F3" s="573"/>
      <c r="G3" s="573"/>
      <c r="H3" s="573"/>
      <c r="I3" s="573"/>
      <c r="J3" s="573"/>
      <c r="K3" s="573"/>
      <c r="L3" s="573"/>
      <c r="M3" s="573"/>
      <c r="N3" s="573"/>
      <c r="O3" s="573"/>
      <c r="P3" s="573"/>
      <c r="Q3" s="573"/>
      <c r="R3" s="573"/>
      <c r="S3" s="573"/>
      <c r="T3" s="573"/>
      <c r="U3" s="573"/>
      <c r="V3" s="573"/>
      <c r="W3" s="375"/>
      <c r="X3" s="333"/>
      <c r="Y3" s="422"/>
      <c r="Z3" s="422"/>
    </row>
    <row r="4" spans="1:27" ht="18" x14ac:dyDescent="0.4">
      <c r="A4" s="571"/>
      <c r="B4" s="572">
        <v>1</v>
      </c>
      <c r="C4" s="582" t="str">
        <f>Help!D29</f>
        <v>Displaying the calculator forms</v>
      </c>
      <c r="D4" s="573"/>
      <c r="E4" s="573"/>
      <c r="F4" s="573"/>
      <c r="G4" s="573"/>
      <c r="H4" s="573"/>
      <c r="I4" s="573"/>
      <c r="J4" s="573"/>
      <c r="K4" s="573"/>
      <c r="L4" s="573"/>
      <c r="M4" s="573"/>
      <c r="N4" s="573"/>
      <c r="O4" s="573"/>
      <c r="P4" s="573"/>
      <c r="Q4" s="573"/>
      <c r="R4" s="573"/>
      <c r="S4" s="573"/>
      <c r="T4" s="573"/>
      <c r="U4" s="573"/>
      <c r="V4" s="573"/>
      <c r="W4" s="573"/>
      <c r="X4" s="340"/>
      <c r="Y4" s="428"/>
      <c r="Z4" s="428"/>
      <c r="AA4" s="8"/>
    </row>
    <row r="5" spans="1:27" x14ac:dyDescent="0.25">
      <c r="A5" s="571"/>
      <c r="B5" s="333"/>
      <c r="C5" s="333"/>
      <c r="D5" s="333"/>
      <c r="E5" s="333"/>
      <c r="F5" s="333"/>
      <c r="G5" s="333"/>
      <c r="H5" s="333"/>
      <c r="I5" s="333"/>
      <c r="J5" s="333"/>
      <c r="K5" s="333"/>
      <c r="L5" s="333"/>
      <c r="M5" s="333"/>
      <c r="N5" s="333"/>
      <c r="O5" s="333"/>
      <c r="P5" s="333"/>
      <c r="Q5" s="333"/>
      <c r="R5" s="333"/>
      <c r="S5" s="333"/>
      <c r="T5" s="333"/>
      <c r="U5" s="333"/>
      <c r="V5" s="333"/>
      <c r="W5" s="333"/>
      <c r="X5" s="333"/>
      <c r="Y5" s="422"/>
      <c r="Z5" s="422"/>
    </row>
    <row r="6" spans="1:27" x14ac:dyDescent="0.25">
      <c r="A6" s="571"/>
      <c r="B6" s="333"/>
      <c r="C6" s="333"/>
      <c r="D6" s="333"/>
      <c r="E6" s="333"/>
      <c r="F6" s="333"/>
      <c r="G6" s="333"/>
      <c r="H6" s="333"/>
      <c r="I6" s="333"/>
      <c r="J6" s="333"/>
      <c r="K6" s="333"/>
      <c r="L6" s="333"/>
      <c r="M6" s="333"/>
      <c r="N6" s="333"/>
      <c r="O6" s="333"/>
      <c r="P6" s="333"/>
      <c r="Q6" s="333"/>
      <c r="R6" s="333"/>
      <c r="S6" s="333"/>
      <c r="T6" s="333"/>
      <c r="U6" s="333"/>
      <c r="V6" s="333"/>
      <c r="W6" s="333"/>
      <c r="X6" s="333"/>
      <c r="Y6" s="422"/>
      <c r="Z6" s="422"/>
    </row>
    <row r="7" spans="1:27" x14ac:dyDescent="0.25">
      <c r="A7" s="571"/>
      <c r="B7" s="333"/>
      <c r="C7" s="333"/>
      <c r="D7" s="333"/>
      <c r="E7" s="333"/>
      <c r="F7" s="333"/>
      <c r="G7" s="333"/>
      <c r="H7" s="333"/>
      <c r="I7" s="333"/>
      <c r="J7" s="333"/>
      <c r="K7" s="333"/>
      <c r="L7" s="333"/>
      <c r="M7" s="333"/>
      <c r="N7" s="333"/>
      <c r="O7" s="333"/>
      <c r="P7" s="333"/>
      <c r="Q7" s="333"/>
      <c r="R7" s="333"/>
      <c r="S7" s="333"/>
      <c r="T7" s="333"/>
      <c r="U7" s="333"/>
      <c r="V7" s="333"/>
      <c r="W7" s="333"/>
      <c r="X7" s="333"/>
      <c r="Y7" s="422"/>
      <c r="Z7" s="422"/>
    </row>
    <row r="8" spans="1:27" x14ac:dyDescent="0.25">
      <c r="A8" s="571"/>
      <c r="B8" s="333"/>
      <c r="C8" s="333"/>
      <c r="D8" s="333"/>
      <c r="E8" s="333"/>
      <c r="F8" s="333"/>
      <c r="G8" s="333"/>
      <c r="H8" s="333"/>
      <c r="I8" s="333"/>
      <c r="J8" s="333"/>
      <c r="K8" s="333"/>
      <c r="L8" s="333"/>
      <c r="M8" s="333"/>
      <c r="N8" s="333"/>
      <c r="O8" s="333"/>
      <c r="P8" s="333"/>
      <c r="Q8" s="333"/>
      <c r="R8" s="333"/>
      <c r="S8" s="333"/>
      <c r="T8" s="333"/>
      <c r="U8" s="333"/>
      <c r="V8" s="333"/>
      <c r="W8" s="333"/>
      <c r="X8" s="333"/>
      <c r="Y8" s="422"/>
      <c r="Z8" s="422"/>
    </row>
    <row r="9" spans="1:27" x14ac:dyDescent="0.25">
      <c r="A9" s="571"/>
      <c r="B9" s="333"/>
      <c r="C9" s="333"/>
      <c r="D9" s="333"/>
      <c r="E9" s="333"/>
      <c r="F9" s="333"/>
      <c r="G9" s="333"/>
      <c r="H9" s="333"/>
      <c r="I9" s="333"/>
      <c r="J9" s="333"/>
      <c r="K9" s="333"/>
      <c r="L9" s="333"/>
      <c r="M9" s="333"/>
      <c r="N9" s="333"/>
      <c r="O9" s="333"/>
      <c r="P9" s="333"/>
      <c r="Q9" s="333"/>
      <c r="R9" s="333"/>
      <c r="S9" s="333"/>
      <c r="T9" s="333"/>
      <c r="U9" s="333"/>
      <c r="V9" s="333"/>
      <c r="W9" s="333"/>
      <c r="X9" s="333"/>
      <c r="Y9" s="422"/>
      <c r="Z9" s="422"/>
    </row>
    <row r="10" spans="1:27" x14ac:dyDescent="0.25">
      <c r="A10" s="571"/>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422"/>
      <c r="Z10" s="422"/>
    </row>
    <row r="11" spans="1:27" x14ac:dyDescent="0.25">
      <c r="A11" s="571"/>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422"/>
      <c r="Z11" s="422"/>
    </row>
    <row r="12" spans="1:27" x14ac:dyDescent="0.25">
      <c r="A12" s="571"/>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422"/>
      <c r="Z12" s="422"/>
    </row>
    <row r="13" spans="1:27" x14ac:dyDescent="0.25">
      <c r="A13" s="571"/>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422"/>
      <c r="Z13" s="422"/>
    </row>
    <row r="14" spans="1:27" x14ac:dyDescent="0.25">
      <c r="A14" s="571"/>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422"/>
      <c r="Z14" s="422"/>
    </row>
    <row r="15" spans="1:27" x14ac:dyDescent="0.25">
      <c r="A15" s="571"/>
      <c r="B15" s="333"/>
      <c r="C15" s="333"/>
      <c r="D15" s="333"/>
      <c r="E15" s="333"/>
      <c r="F15" s="333"/>
      <c r="G15" s="333"/>
      <c r="H15" s="333"/>
      <c r="I15" s="333"/>
      <c r="J15" s="333"/>
      <c r="K15" s="333"/>
      <c r="L15" s="333"/>
      <c r="M15" s="333"/>
      <c r="N15" s="333"/>
      <c r="O15" s="333"/>
      <c r="P15" s="333"/>
      <c r="Q15" s="333"/>
      <c r="R15" s="333"/>
      <c r="S15" s="333"/>
      <c r="T15" s="333"/>
      <c r="U15" s="333"/>
      <c r="V15" s="333"/>
      <c r="W15" s="333"/>
      <c r="X15" s="333"/>
      <c r="Y15" s="422"/>
      <c r="Z15" s="422"/>
    </row>
    <row r="16" spans="1:27" x14ac:dyDescent="0.25">
      <c r="A16" s="571"/>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422"/>
      <c r="Z16" s="422"/>
    </row>
    <row r="17" spans="1:26" x14ac:dyDescent="0.25">
      <c r="A17" s="571"/>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422"/>
      <c r="Z17" s="422"/>
    </row>
    <row r="18" spans="1:26" x14ac:dyDescent="0.25">
      <c r="A18" s="571"/>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422"/>
      <c r="Z18" s="422"/>
    </row>
    <row r="19" spans="1:26" x14ac:dyDescent="0.25">
      <c r="A19" s="571"/>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422"/>
      <c r="Z19" s="422"/>
    </row>
    <row r="20" spans="1:26" x14ac:dyDescent="0.25">
      <c r="A20" s="571"/>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422"/>
      <c r="Z20" s="422"/>
    </row>
    <row r="21" spans="1:26" x14ac:dyDescent="0.25">
      <c r="A21" s="571"/>
      <c r="B21" s="333"/>
      <c r="C21" s="333"/>
      <c r="D21" s="333"/>
      <c r="E21" s="333"/>
      <c r="F21" s="333"/>
      <c r="G21" s="333"/>
      <c r="H21" s="333"/>
      <c r="I21" s="333"/>
      <c r="J21" s="333"/>
      <c r="K21" s="333"/>
      <c r="L21" s="333"/>
      <c r="M21" s="333"/>
      <c r="N21" s="333"/>
      <c r="O21" s="333"/>
      <c r="P21" s="333"/>
      <c r="Q21" s="333"/>
      <c r="R21" s="333"/>
      <c r="S21" s="333"/>
      <c r="T21" s="333"/>
      <c r="U21" s="333"/>
      <c r="V21" s="333"/>
      <c r="W21" s="333"/>
      <c r="X21" s="333"/>
      <c r="Y21" s="422"/>
      <c r="Z21" s="422"/>
    </row>
    <row r="22" spans="1:26" x14ac:dyDescent="0.25">
      <c r="A22" s="571"/>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422"/>
      <c r="Z22" s="422"/>
    </row>
    <row r="23" spans="1:26" x14ac:dyDescent="0.25">
      <c r="A23" s="571"/>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422"/>
      <c r="Z23" s="422"/>
    </row>
    <row r="24" spans="1:26" x14ac:dyDescent="0.25">
      <c r="A24" s="571"/>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422"/>
      <c r="Z24" s="422"/>
    </row>
    <row r="25" spans="1:26" x14ac:dyDescent="0.25">
      <c r="A25" s="571"/>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422"/>
      <c r="Z25" s="422"/>
    </row>
    <row r="26" spans="1:26" x14ac:dyDescent="0.25">
      <c r="A26" s="571"/>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422"/>
      <c r="Z26" s="422"/>
    </row>
    <row r="27" spans="1:26" x14ac:dyDescent="0.25">
      <c r="A27" s="571"/>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422"/>
      <c r="Z27" s="422"/>
    </row>
    <row r="28" spans="1:26" x14ac:dyDescent="0.25">
      <c r="A28" s="571"/>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422"/>
      <c r="Z28" s="422"/>
    </row>
    <row r="29" spans="1:26" x14ac:dyDescent="0.25">
      <c r="A29" s="571"/>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422"/>
      <c r="Z29" s="422"/>
    </row>
    <row r="30" spans="1:26" x14ac:dyDescent="0.25">
      <c r="A30" s="571"/>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422"/>
      <c r="Z30" s="422"/>
    </row>
    <row r="31" spans="1:26" x14ac:dyDescent="0.25">
      <c r="A31" s="571"/>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422"/>
      <c r="Z31" s="422"/>
    </row>
    <row r="32" spans="1:26" x14ac:dyDescent="0.25">
      <c r="A32" s="571"/>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422"/>
      <c r="Z32" s="422"/>
    </row>
    <row r="33" spans="1:26" x14ac:dyDescent="0.25">
      <c r="A33" s="571"/>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422"/>
      <c r="Z33" s="422"/>
    </row>
    <row r="34" spans="1:26" x14ac:dyDescent="0.25">
      <c r="A34" s="571"/>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422"/>
      <c r="Z34" s="422"/>
    </row>
    <row r="35" spans="1:26" x14ac:dyDescent="0.25">
      <c r="A35" s="571"/>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422"/>
      <c r="Z35" s="422"/>
    </row>
    <row r="36" spans="1:26" x14ac:dyDescent="0.25">
      <c r="A36" s="571"/>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422"/>
      <c r="Z36" s="422"/>
    </row>
    <row r="37" spans="1:26" x14ac:dyDescent="0.25">
      <c r="A37" s="571"/>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422"/>
      <c r="Z37" s="422"/>
    </row>
    <row r="38" spans="1:26" x14ac:dyDescent="0.25">
      <c r="A38" s="571"/>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422"/>
      <c r="Z38" s="422"/>
    </row>
    <row r="39" spans="1:26" x14ac:dyDescent="0.25">
      <c r="A39" s="571"/>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422"/>
      <c r="Z39" s="422"/>
    </row>
    <row r="40" spans="1:26" x14ac:dyDescent="0.25">
      <c r="A40" s="571"/>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422"/>
      <c r="Z40" s="422"/>
    </row>
    <row r="41" spans="1:26" x14ac:dyDescent="0.25">
      <c r="A41" s="571"/>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422"/>
      <c r="Z41" s="422"/>
    </row>
    <row r="42" spans="1:26" x14ac:dyDescent="0.25">
      <c r="A42" s="571"/>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422"/>
      <c r="Z42" s="422"/>
    </row>
    <row r="43" spans="1:26" x14ac:dyDescent="0.25">
      <c r="A43" s="571"/>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422"/>
      <c r="Z43" s="422"/>
    </row>
    <row r="44" spans="1:26" x14ac:dyDescent="0.25">
      <c r="A44" s="571"/>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422"/>
      <c r="Z44" s="422"/>
    </row>
    <row r="45" spans="1:26" x14ac:dyDescent="0.25">
      <c r="A45" s="571"/>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422"/>
      <c r="Z45" s="422"/>
    </row>
    <row r="46" spans="1:26" x14ac:dyDescent="0.25">
      <c r="A46" s="571"/>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422"/>
      <c r="Z46" s="422"/>
    </row>
    <row r="47" spans="1:26" x14ac:dyDescent="0.25">
      <c r="A47" s="571"/>
      <c r="B47" s="333"/>
      <c r="C47" s="422"/>
      <c r="D47" s="333"/>
      <c r="E47" s="333"/>
      <c r="F47" s="333"/>
      <c r="G47" s="333"/>
      <c r="H47" s="333"/>
      <c r="I47" s="333"/>
      <c r="J47" s="333"/>
      <c r="K47" s="333"/>
      <c r="L47" s="333"/>
      <c r="M47" s="333"/>
      <c r="N47" s="333"/>
      <c r="O47" s="333"/>
      <c r="P47" s="333"/>
      <c r="Q47" s="333"/>
      <c r="R47" s="333"/>
      <c r="S47" s="333"/>
      <c r="T47" s="333"/>
      <c r="U47" s="333"/>
      <c r="V47" s="333"/>
      <c r="W47" s="333"/>
      <c r="X47" s="333"/>
      <c r="Y47" s="422"/>
      <c r="Z47" s="422"/>
    </row>
    <row r="48" spans="1:26" x14ac:dyDescent="0.25">
      <c r="A48" s="75"/>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422"/>
      <c r="Z48" s="422"/>
    </row>
    <row r="49" spans="1:27" ht="17.5" x14ac:dyDescent="0.35">
      <c r="A49" s="75"/>
      <c r="B49" s="333"/>
      <c r="C49" s="574" t="s">
        <v>372</v>
      </c>
      <c r="D49" s="333"/>
      <c r="E49" s="333"/>
      <c r="F49" s="333"/>
      <c r="G49" s="333"/>
      <c r="H49" s="333"/>
      <c r="I49" s="333"/>
      <c r="J49" s="333"/>
      <c r="K49" s="333"/>
      <c r="L49" s="333"/>
      <c r="M49" s="333"/>
      <c r="N49" s="333"/>
      <c r="O49" s="333"/>
      <c r="P49" s="333"/>
      <c r="Q49" s="333"/>
      <c r="R49" s="333"/>
      <c r="S49" s="333"/>
      <c r="T49" s="333"/>
      <c r="U49" s="333"/>
      <c r="V49" s="333"/>
      <c r="W49" s="333"/>
      <c r="X49" s="333"/>
      <c r="Y49" s="422"/>
      <c r="Z49" s="422"/>
    </row>
    <row r="50" spans="1:27" x14ac:dyDescent="0.25">
      <c r="A50" s="75"/>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422"/>
      <c r="Z50" s="422"/>
    </row>
    <row r="51" spans="1:27" x14ac:dyDescent="0.25">
      <c r="A51" s="75"/>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422"/>
      <c r="Z51" s="422"/>
    </row>
    <row r="52" spans="1:27" x14ac:dyDescent="0.25">
      <c r="A52" s="75"/>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422"/>
      <c r="Z52" s="422"/>
    </row>
    <row r="53" spans="1:27" x14ac:dyDescent="0.25">
      <c r="A53" s="75"/>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422"/>
      <c r="Z53" s="422"/>
    </row>
    <row r="54" spans="1:27" x14ac:dyDescent="0.25">
      <c r="A54" s="75"/>
      <c r="B54" s="333"/>
      <c r="C54" s="340"/>
      <c r="D54" s="340"/>
      <c r="E54" s="340"/>
      <c r="F54" s="340"/>
      <c r="G54" s="340"/>
      <c r="H54" s="340"/>
      <c r="I54" s="340"/>
      <c r="J54" s="340"/>
      <c r="K54" s="340"/>
      <c r="L54" s="340"/>
      <c r="M54" s="340"/>
      <c r="N54" s="340"/>
      <c r="O54" s="340"/>
      <c r="P54" s="340"/>
      <c r="Q54" s="340"/>
      <c r="R54" s="340"/>
      <c r="S54" s="340"/>
      <c r="T54" s="340"/>
      <c r="U54" s="340"/>
      <c r="V54" s="340"/>
      <c r="W54" s="333"/>
      <c r="X54" s="333"/>
      <c r="Y54" s="422"/>
      <c r="Z54" s="422"/>
    </row>
    <row r="55" spans="1:27" ht="18" x14ac:dyDescent="0.4">
      <c r="A55" s="571"/>
      <c r="B55" s="572">
        <v>2</v>
      </c>
      <c r="C55" s="582" t="str">
        <f>Help!D34</f>
        <v>Adding and changing lighting details</v>
      </c>
      <c r="D55" s="340"/>
      <c r="E55" s="340"/>
      <c r="F55" s="340"/>
      <c r="G55" s="340"/>
      <c r="H55" s="340"/>
      <c r="I55" s="340"/>
      <c r="J55" s="340"/>
      <c r="K55" s="340"/>
      <c r="L55" s="340"/>
      <c r="M55" s="340"/>
      <c r="N55" s="340"/>
      <c r="O55" s="340"/>
      <c r="P55" s="340"/>
      <c r="Q55" s="340"/>
      <c r="R55" s="340"/>
      <c r="S55" s="340"/>
      <c r="T55" s="340"/>
      <c r="U55" s="340"/>
      <c r="V55" s="340"/>
      <c r="W55" s="340"/>
      <c r="X55" s="340"/>
      <c r="Y55" s="428"/>
      <c r="Z55" s="428"/>
      <c r="AA55" s="8"/>
    </row>
    <row r="56" spans="1:27" x14ac:dyDescent="0.25">
      <c r="A56" s="571"/>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422"/>
      <c r="Z56" s="422"/>
    </row>
    <row r="57" spans="1:27" x14ac:dyDescent="0.25">
      <c r="A57" s="571"/>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422"/>
      <c r="Z57" s="422"/>
    </row>
    <row r="58" spans="1:27" x14ac:dyDescent="0.25">
      <c r="A58" s="571"/>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422"/>
      <c r="Z58" s="422"/>
    </row>
    <row r="59" spans="1:27" x14ac:dyDescent="0.25">
      <c r="A59" s="571"/>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422"/>
      <c r="Z59" s="422"/>
    </row>
    <row r="60" spans="1:27" x14ac:dyDescent="0.25">
      <c r="A60" s="571"/>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422"/>
      <c r="Z60" s="422"/>
    </row>
    <row r="61" spans="1:27" x14ac:dyDescent="0.25">
      <c r="A61" s="571"/>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575"/>
      <c r="Z61" s="575"/>
      <c r="AA61" s="571"/>
    </row>
    <row r="62" spans="1:27" x14ac:dyDescent="0.25">
      <c r="A62" s="571"/>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575"/>
      <c r="Z62" s="575"/>
      <c r="AA62" s="571"/>
    </row>
    <row r="63" spans="1:27" x14ac:dyDescent="0.25">
      <c r="A63" s="571"/>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575"/>
      <c r="Z63" s="575"/>
      <c r="AA63" s="571"/>
    </row>
    <row r="64" spans="1:27" x14ac:dyDescent="0.25">
      <c r="A64" s="571"/>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575"/>
      <c r="Z64" s="575"/>
      <c r="AA64" s="571"/>
    </row>
    <row r="65" spans="1:27" x14ac:dyDescent="0.25">
      <c r="A65" s="571"/>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575"/>
      <c r="Z65" s="575"/>
      <c r="AA65" s="571"/>
    </row>
    <row r="66" spans="1:27" x14ac:dyDescent="0.25">
      <c r="A66" s="571"/>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575"/>
      <c r="Z66" s="575"/>
      <c r="AA66" s="571"/>
    </row>
    <row r="67" spans="1:27" x14ac:dyDescent="0.25">
      <c r="A67" s="571"/>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575"/>
      <c r="Z67" s="575"/>
      <c r="AA67" s="571"/>
    </row>
    <row r="68" spans="1:27" x14ac:dyDescent="0.25">
      <c r="A68" s="571"/>
      <c r="B68" s="333"/>
      <c r="C68" s="333"/>
      <c r="D68" s="333"/>
      <c r="E68" s="333"/>
      <c r="F68" s="333"/>
      <c r="G68" s="333"/>
      <c r="H68" s="333"/>
      <c r="I68" s="333"/>
      <c r="J68" s="333"/>
      <c r="K68" s="333"/>
      <c r="L68" s="333"/>
      <c r="M68" s="333"/>
      <c r="N68" s="333"/>
      <c r="O68" s="333"/>
      <c r="P68" s="333"/>
      <c r="Q68" s="333"/>
      <c r="R68" s="333"/>
      <c r="S68" s="333"/>
      <c r="T68" s="333"/>
      <c r="U68" s="333"/>
      <c r="V68" s="333"/>
      <c r="W68" s="333"/>
      <c r="X68" s="333"/>
      <c r="Y68" s="575"/>
      <c r="Z68" s="575"/>
      <c r="AA68" s="571"/>
    </row>
    <row r="69" spans="1:27" x14ac:dyDescent="0.25">
      <c r="A69" s="571"/>
      <c r="B69" s="333"/>
      <c r="C69" s="333"/>
      <c r="D69" s="333"/>
      <c r="E69" s="333"/>
      <c r="F69" s="333"/>
      <c r="G69" s="333"/>
      <c r="H69" s="333"/>
      <c r="I69" s="333"/>
      <c r="J69" s="333"/>
      <c r="K69" s="333"/>
      <c r="L69" s="333"/>
      <c r="M69" s="333"/>
      <c r="N69" s="333"/>
      <c r="O69" s="333"/>
      <c r="P69" s="333"/>
      <c r="Q69" s="333"/>
      <c r="R69" s="333"/>
      <c r="S69" s="333"/>
      <c r="T69" s="333"/>
      <c r="U69" s="333"/>
      <c r="V69" s="333"/>
      <c r="W69" s="333"/>
      <c r="X69" s="333"/>
      <c r="Y69" s="575"/>
      <c r="Z69" s="575"/>
      <c r="AA69" s="571"/>
    </row>
    <row r="70" spans="1:27" x14ac:dyDescent="0.25">
      <c r="A70" s="571"/>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575"/>
      <c r="Z70" s="575"/>
      <c r="AA70" s="571"/>
    </row>
    <row r="71" spans="1:27" x14ac:dyDescent="0.25">
      <c r="A71" s="571"/>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575"/>
      <c r="Z71" s="575"/>
      <c r="AA71" s="571"/>
    </row>
    <row r="72" spans="1:27" x14ac:dyDescent="0.25">
      <c r="A72" s="571"/>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575"/>
      <c r="Z72" s="575"/>
      <c r="AA72" s="571"/>
    </row>
    <row r="73" spans="1:27" x14ac:dyDescent="0.25">
      <c r="A73" s="571"/>
      <c r="B73" s="333"/>
      <c r="C73" s="333"/>
      <c r="D73" s="333"/>
      <c r="E73" s="333"/>
      <c r="F73" s="333"/>
      <c r="G73" s="333"/>
      <c r="H73" s="333"/>
      <c r="I73" s="333"/>
      <c r="J73" s="333"/>
      <c r="K73" s="333"/>
      <c r="L73" s="333"/>
      <c r="M73" s="333"/>
      <c r="N73" s="333"/>
      <c r="O73" s="333"/>
      <c r="P73" s="333"/>
      <c r="Q73" s="333"/>
      <c r="R73" s="333"/>
      <c r="S73" s="333"/>
      <c r="T73" s="333"/>
      <c r="U73" s="333"/>
      <c r="V73" s="333"/>
      <c r="W73" s="333"/>
      <c r="X73" s="333"/>
      <c r="Y73" s="575"/>
      <c r="Z73" s="575"/>
      <c r="AA73" s="571"/>
    </row>
    <row r="74" spans="1:27" x14ac:dyDescent="0.25">
      <c r="A74" s="571"/>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575"/>
      <c r="Z74" s="575"/>
      <c r="AA74" s="571"/>
    </row>
    <row r="75" spans="1:27" x14ac:dyDescent="0.25">
      <c r="A75" s="571"/>
      <c r="B75" s="333"/>
      <c r="C75" s="333"/>
      <c r="D75" s="333"/>
      <c r="E75" s="333"/>
      <c r="F75" s="333"/>
      <c r="G75" s="333"/>
      <c r="H75" s="333"/>
      <c r="I75" s="333"/>
      <c r="J75" s="333"/>
      <c r="K75" s="333"/>
      <c r="L75" s="333"/>
      <c r="M75" s="333"/>
      <c r="N75" s="333"/>
      <c r="O75" s="333"/>
      <c r="P75" s="333"/>
      <c r="Q75" s="333"/>
      <c r="R75" s="333"/>
      <c r="S75" s="333"/>
      <c r="T75" s="333"/>
      <c r="U75" s="333"/>
      <c r="V75" s="333"/>
      <c r="W75" s="333"/>
      <c r="X75" s="333"/>
      <c r="Y75" s="575"/>
      <c r="Z75" s="575"/>
      <c r="AA75" s="571"/>
    </row>
    <row r="76" spans="1:27" x14ac:dyDescent="0.25">
      <c r="A76" s="571"/>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575"/>
      <c r="Z76" s="575"/>
      <c r="AA76" s="571"/>
    </row>
    <row r="77" spans="1:27" x14ac:dyDescent="0.25">
      <c r="A77" s="571"/>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575"/>
      <c r="Z77" s="575"/>
      <c r="AA77" s="571"/>
    </row>
    <row r="78" spans="1:27" x14ac:dyDescent="0.25">
      <c r="A78" s="571"/>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575"/>
      <c r="Z78" s="575"/>
      <c r="AA78" s="571"/>
    </row>
    <row r="79" spans="1:27" x14ac:dyDescent="0.25">
      <c r="A79" s="571"/>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575"/>
      <c r="Z79" s="575"/>
      <c r="AA79" s="571"/>
    </row>
    <row r="80" spans="1:27" x14ac:dyDescent="0.25">
      <c r="A80" s="571"/>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575"/>
      <c r="Z80" s="575"/>
      <c r="AA80" s="571"/>
    </row>
    <row r="81" spans="1:27" x14ac:dyDescent="0.25">
      <c r="A81" s="571"/>
      <c r="B81" s="333"/>
      <c r="C81" s="333"/>
      <c r="D81" s="333"/>
      <c r="E81" s="333"/>
      <c r="F81" s="333"/>
      <c r="G81" s="333"/>
      <c r="H81" s="333"/>
      <c r="I81" s="333"/>
      <c r="J81" s="333"/>
      <c r="K81" s="333"/>
      <c r="L81" s="333"/>
      <c r="M81" s="333"/>
      <c r="N81" s="333"/>
      <c r="O81" s="333"/>
      <c r="P81" s="333"/>
      <c r="Q81" s="333"/>
      <c r="R81" s="333"/>
      <c r="S81" s="333"/>
      <c r="T81" s="333"/>
      <c r="U81" s="333"/>
      <c r="V81" s="333"/>
      <c r="W81" s="333"/>
      <c r="X81" s="333"/>
      <c r="Y81" s="575"/>
      <c r="Z81" s="575"/>
      <c r="AA81" s="571"/>
    </row>
    <row r="82" spans="1:27" x14ac:dyDescent="0.25">
      <c r="A82" s="571"/>
      <c r="B82" s="333"/>
      <c r="C82" s="333"/>
      <c r="D82" s="333"/>
      <c r="E82" s="333"/>
      <c r="F82" s="333"/>
      <c r="G82" s="333"/>
      <c r="H82" s="333"/>
      <c r="I82" s="333"/>
      <c r="J82" s="333"/>
      <c r="K82" s="333"/>
      <c r="L82" s="333"/>
      <c r="M82" s="333"/>
      <c r="N82" s="333"/>
      <c r="O82" s="333"/>
      <c r="P82" s="333"/>
      <c r="Q82" s="333"/>
      <c r="R82" s="333"/>
      <c r="S82" s="333"/>
      <c r="T82" s="333"/>
      <c r="U82" s="333"/>
      <c r="V82" s="333"/>
      <c r="W82" s="333"/>
      <c r="X82" s="333"/>
      <c r="Y82" s="575"/>
      <c r="Z82" s="575"/>
      <c r="AA82" s="571"/>
    </row>
    <row r="83" spans="1:27" x14ac:dyDescent="0.25">
      <c r="A83" s="571"/>
      <c r="B83" s="333"/>
      <c r="C83" s="333"/>
      <c r="D83" s="333"/>
      <c r="E83" s="333"/>
      <c r="F83" s="333"/>
      <c r="G83" s="333"/>
      <c r="H83" s="333"/>
      <c r="I83" s="333"/>
      <c r="J83" s="333"/>
      <c r="K83" s="333"/>
      <c r="L83" s="333"/>
      <c r="M83" s="333"/>
      <c r="N83" s="333"/>
      <c r="O83" s="333"/>
      <c r="P83" s="333"/>
      <c r="Q83" s="333"/>
      <c r="R83" s="333"/>
      <c r="S83" s="333"/>
      <c r="T83" s="333"/>
      <c r="U83" s="333"/>
      <c r="V83" s="333"/>
      <c r="W83" s="333"/>
      <c r="X83" s="333"/>
      <c r="Y83" s="575"/>
      <c r="Z83" s="575"/>
      <c r="AA83" s="571"/>
    </row>
    <row r="84" spans="1:27" x14ac:dyDescent="0.25">
      <c r="A84" s="571"/>
      <c r="B84" s="333"/>
      <c r="C84" s="333"/>
      <c r="D84" s="333"/>
      <c r="E84" s="333"/>
      <c r="F84" s="333"/>
      <c r="G84" s="333"/>
      <c r="H84" s="333"/>
      <c r="I84" s="333"/>
      <c r="J84" s="333"/>
      <c r="K84" s="333"/>
      <c r="L84" s="333"/>
      <c r="M84" s="333"/>
      <c r="N84" s="333"/>
      <c r="O84" s="333"/>
      <c r="P84" s="333"/>
      <c r="Q84" s="333"/>
      <c r="R84" s="333"/>
      <c r="S84" s="333"/>
      <c r="T84" s="333"/>
      <c r="U84" s="333"/>
      <c r="V84" s="333"/>
      <c r="W84" s="333"/>
      <c r="X84" s="333"/>
      <c r="Y84" s="575"/>
      <c r="Z84" s="575"/>
      <c r="AA84" s="571"/>
    </row>
    <row r="85" spans="1:27" x14ac:dyDescent="0.25">
      <c r="A85" s="571"/>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575"/>
      <c r="Z85" s="575"/>
      <c r="AA85" s="571"/>
    </row>
    <row r="86" spans="1:27" x14ac:dyDescent="0.25">
      <c r="A86" s="571"/>
      <c r="B86" s="333"/>
      <c r="C86" s="333"/>
      <c r="D86" s="333"/>
      <c r="E86" s="333"/>
      <c r="F86" s="333"/>
      <c r="G86" s="333"/>
      <c r="H86" s="333"/>
      <c r="I86" s="333"/>
      <c r="J86" s="333"/>
      <c r="K86" s="333"/>
      <c r="L86" s="333"/>
      <c r="M86" s="333"/>
      <c r="N86" s="333"/>
      <c r="O86" s="333"/>
      <c r="P86" s="333"/>
      <c r="Q86" s="333"/>
      <c r="R86" s="333"/>
      <c r="S86" s="333"/>
      <c r="T86" s="333"/>
      <c r="U86" s="333"/>
      <c r="V86" s="333"/>
      <c r="W86" s="333"/>
      <c r="X86" s="333"/>
      <c r="Y86" s="575"/>
      <c r="Z86" s="575"/>
      <c r="AA86" s="571"/>
    </row>
    <row r="87" spans="1:27" x14ac:dyDescent="0.25">
      <c r="A87" s="571"/>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575"/>
      <c r="Z87" s="575"/>
      <c r="AA87" s="571"/>
    </row>
    <row r="88" spans="1:27" x14ac:dyDescent="0.25">
      <c r="A88" s="571"/>
      <c r="B88" s="333"/>
      <c r="C88" s="333"/>
      <c r="D88" s="333"/>
      <c r="E88" s="333"/>
      <c r="F88" s="333"/>
      <c r="G88" s="333"/>
      <c r="H88" s="333"/>
      <c r="I88" s="333"/>
      <c r="J88" s="333"/>
      <c r="K88" s="333"/>
      <c r="L88" s="333"/>
      <c r="M88" s="333"/>
      <c r="N88" s="333"/>
      <c r="O88" s="333"/>
      <c r="P88" s="333"/>
      <c r="Q88" s="333"/>
      <c r="R88" s="333"/>
      <c r="S88" s="333"/>
      <c r="T88" s="333"/>
      <c r="U88" s="333"/>
      <c r="V88" s="333"/>
      <c r="W88" s="333"/>
      <c r="X88" s="333"/>
      <c r="Y88" s="575"/>
      <c r="Z88" s="575"/>
      <c r="AA88" s="571"/>
    </row>
    <row r="89" spans="1:27" x14ac:dyDescent="0.25">
      <c r="A89" s="571"/>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575"/>
      <c r="Z89" s="575"/>
      <c r="AA89" s="571"/>
    </row>
    <row r="90" spans="1:27" x14ac:dyDescent="0.25">
      <c r="A90" s="571"/>
      <c r="B90" s="333"/>
      <c r="C90" s="333"/>
      <c r="D90" s="333"/>
      <c r="E90" s="333"/>
      <c r="F90" s="333"/>
      <c r="G90" s="333"/>
      <c r="H90" s="333"/>
      <c r="I90" s="333"/>
      <c r="J90" s="333"/>
      <c r="K90" s="333"/>
      <c r="L90" s="333"/>
      <c r="M90" s="333"/>
      <c r="N90" s="333"/>
      <c r="O90" s="333"/>
      <c r="P90" s="333"/>
      <c r="Q90" s="333"/>
      <c r="R90" s="333"/>
      <c r="S90" s="333"/>
      <c r="T90" s="333"/>
      <c r="U90" s="333"/>
      <c r="V90" s="333"/>
      <c r="W90" s="333"/>
      <c r="X90" s="333"/>
      <c r="Y90" s="575"/>
      <c r="Z90" s="575"/>
      <c r="AA90" s="571"/>
    </row>
    <row r="91" spans="1:27" x14ac:dyDescent="0.25">
      <c r="A91" s="571"/>
      <c r="B91" s="333"/>
      <c r="C91" s="333"/>
      <c r="D91" s="333"/>
      <c r="E91" s="333"/>
      <c r="F91" s="333"/>
      <c r="G91" s="333"/>
      <c r="H91" s="333"/>
      <c r="I91" s="333"/>
      <c r="J91" s="333"/>
      <c r="K91" s="333"/>
      <c r="L91" s="333"/>
      <c r="M91" s="333"/>
      <c r="N91" s="333"/>
      <c r="O91" s="333"/>
      <c r="P91" s="333"/>
      <c r="Q91" s="333"/>
      <c r="R91" s="333"/>
      <c r="S91" s="333"/>
      <c r="T91" s="333"/>
      <c r="U91" s="333"/>
      <c r="V91" s="333"/>
      <c r="W91" s="333"/>
      <c r="X91" s="333"/>
      <c r="Y91" s="575"/>
      <c r="Z91" s="575"/>
      <c r="AA91" s="571"/>
    </row>
    <row r="92" spans="1:27" x14ac:dyDescent="0.25">
      <c r="A92" s="571"/>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575"/>
      <c r="Z92" s="575"/>
      <c r="AA92" s="571"/>
    </row>
    <row r="93" spans="1:27" x14ac:dyDescent="0.25">
      <c r="A93" s="571"/>
      <c r="B93" s="333"/>
      <c r="C93" s="333"/>
      <c r="D93" s="333"/>
      <c r="E93" s="333"/>
      <c r="F93" s="333"/>
      <c r="G93" s="333"/>
      <c r="H93" s="333"/>
      <c r="I93" s="333"/>
      <c r="J93" s="333"/>
      <c r="K93" s="333"/>
      <c r="L93" s="333"/>
      <c r="M93" s="333"/>
      <c r="N93" s="333"/>
      <c r="O93" s="333"/>
      <c r="P93" s="333"/>
      <c r="Q93" s="333"/>
      <c r="R93" s="333"/>
      <c r="S93" s="333"/>
      <c r="T93" s="333"/>
      <c r="U93" s="333"/>
      <c r="V93" s="333"/>
      <c r="W93" s="333"/>
      <c r="X93" s="333"/>
      <c r="Y93" s="575"/>
      <c r="Z93" s="575"/>
      <c r="AA93" s="571"/>
    </row>
    <row r="94" spans="1:27" x14ac:dyDescent="0.25">
      <c r="A94" s="571"/>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575"/>
      <c r="Z94" s="575"/>
      <c r="AA94" s="571"/>
    </row>
    <row r="95" spans="1:27" x14ac:dyDescent="0.25">
      <c r="A95" s="571"/>
      <c r="B95" s="333"/>
      <c r="C95" s="333"/>
      <c r="D95" s="333"/>
      <c r="E95" s="333"/>
      <c r="F95" s="333"/>
      <c r="G95" s="333"/>
      <c r="H95" s="333"/>
      <c r="I95" s="333"/>
      <c r="J95" s="333"/>
      <c r="K95" s="333"/>
      <c r="L95" s="333"/>
      <c r="M95" s="333"/>
      <c r="N95" s="333"/>
      <c r="O95" s="333"/>
      <c r="P95" s="333"/>
      <c r="Q95" s="333"/>
      <c r="R95" s="333"/>
      <c r="S95" s="333"/>
      <c r="T95" s="333"/>
      <c r="U95" s="333"/>
      <c r="V95" s="333"/>
      <c r="W95" s="333"/>
      <c r="X95" s="333"/>
      <c r="Y95" s="575"/>
      <c r="Z95" s="575"/>
      <c r="AA95" s="571"/>
    </row>
    <row r="96" spans="1:27" x14ac:dyDescent="0.25">
      <c r="A96" s="571"/>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575"/>
      <c r="Z96" s="575"/>
      <c r="AA96" s="571"/>
    </row>
    <row r="97" spans="1:27" x14ac:dyDescent="0.25">
      <c r="A97" s="571"/>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575"/>
      <c r="Z97" s="575"/>
      <c r="AA97" s="571"/>
    </row>
    <row r="98" spans="1:27" ht="17.5" x14ac:dyDescent="0.35">
      <c r="A98" s="571"/>
      <c r="B98" s="333"/>
      <c r="C98" s="574" t="s">
        <v>549</v>
      </c>
      <c r="D98" s="333"/>
      <c r="E98" s="333"/>
      <c r="F98" s="333"/>
      <c r="G98" s="333"/>
      <c r="H98" s="333"/>
      <c r="I98" s="333"/>
      <c r="J98" s="333"/>
      <c r="K98" s="333"/>
      <c r="L98" s="333"/>
      <c r="M98" s="333"/>
      <c r="N98" s="333"/>
      <c r="O98" s="333"/>
      <c r="P98" s="333"/>
      <c r="Q98" s="333"/>
      <c r="R98" s="333"/>
      <c r="S98" s="333"/>
      <c r="T98" s="333"/>
      <c r="U98" s="333"/>
      <c r="V98" s="333"/>
      <c r="W98" s="333"/>
      <c r="X98" s="333"/>
      <c r="Y98" s="575"/>
      <c r="Z98" s="575"/>
      <c r="AA98" s="571"/>
    </row>
    <row r="99" spans="1:27" x14ac:dyDescent="0.25">
      <c r="A99" s="75"/>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575"/>
      <c r="Z99" s="575"/>
      <c r="AA99" s="571"/>
    </row>
    <row r="100" spans="1:27" x14ac:dyDescent="0.25">
      <c r="A100" s="75"/>
      <c r="B100" s="333"/>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575"/>
      <c r="Z100" s="575"/>
      <c r="AA100" s="571"/>
    </row>
    <row r="101" spans="1:27" x14ac:dyDescent="0.25">
      <c r="A101" s="75"/>
      <c r="B101" s="333"/>
      <c r="C101" s="333"/>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575"/>
      <c r="Z101" s="575"/>
      <c r="AA101" s="571"/>
    </row>
    <row r="102" spans="1:27" x14ac:dyDescent="0.25">
      <c r="A102" s="75"/>
      <c r="B102" s="333"/>
      <c r="C102" s="333"/>
      <c r="D102" s="333"/>
      <c r="E102" s="333"/>
      <c r="F102" s="333"/>
      <c r="G102" s="333"/>
      <c r="H102" s="333"/>
      <c r="I102" s="333"/>
      <c r="J102" s="333"/>
      <c r="K102" s="333"/>
      <c r="L102" s="333"/>
      <c r="M102" s="333"/>
      <c r="N102" s="333"/>
      <c r="O102" s="333"/>
      <c r="P102" s="333"/>
      <c r="Q102" s="333"/>
      <c r="R102" s="333"/>
      <c r="S102" s="333"/>
      <c r="T102" s="333"/>
      <c r="U102" s="333"/>
      <c r="V102" s="333"/>
      <c r="W102" s="333"/>
      <c r="X102" s="333"/>
      <c r="Y102" s="422"/>
      <c r="Z102" s="422"/>
    </row>
    <row r="103" spans="1:27" x14ac:dyDescent="0.25">
      <c r="A103" s="576"/>
      <c r="B103" s="375"/>
      <c r="C103" s="573"/>
      <c r="D103" s="573"/>
      <c r="E103" s="573"/>
      <c r="F103" s="573"/>
      <c r="G103" s="573"/>
      <c r="H103" s="573"/>
      <c r="I103" s="573"/>
      <c r="J103" s="573"/>
      <c r="K103" s="573"/>
      <c r="L103" s="340"/>
      <c r="M103" s="340"/>
      <c r="N103" s="340"/>
      <c r="O103" s="340"/>
      <c r="P103" s="340"/>
      <c r="Q103" s="340"/>
      <c r="R103" s="340"/>
      <c r="S103" s="340"/>
      <c r="T103" s="340"/>
      <c r="U103" s="340"/>
      <c r="V103" s="340"/>
      <c r="W103" s="333"/>
      <c r="X103" s="333"/>
      <c r="Y103" s="422"/>
      <c r="Z103" s="422"/>
    </row>
    <row r="104" spans="1:27" ht="3" customHeight="1" x14ac:dyDescent="0.25">
      <c r="A104" s="576"/>
      <c r="B104" s="375"/>
      <c r="C104" s="573"/>
      <c r="D104" s="573"/>
      <c r="E104" s="573"/>
      <c r="F104" s="573"/>
      <c r="G104" s="573"/>
      <c r="H104" s="573"/>
      <c r="I104" s="573"/>
      <c r="J104" s="573"/>
      <c r="K104" s="573"/>
      <c r="L104" s="340"/>
      <c r="M104" s="340"/>
      <c r="N104" s="340"/>
      <c r="O104" s="340"/>
      <c r="P104" s="340"/>
      <c r="Q104" s="340"/>
      <c r="R104" s="340"/>
      <c r="S104" s="340"/>
      <c r="T104" s="340"/>
      <c r="U104" s="340"/>
      <c r="V104" s="340"/>
      <c r="W104" s="333"/>
      <c r="X104" s="333"/>
      <c r="Y104" s="422"/>
      <c r="Z104" s="422"/>
    </row>
    <row r="105" spans="1:27" hidden="1" x14ac:dyDescent="0.25">
      <c r="A105" s="576"/>
      <c r="B105" s="375"/>
      <c r="C105" s="573"/>
      <c r="D105" s="573"/>
      <c r="E105" s="573"/>
      <c r="F105" s="573"/>
      <c r="G105" s="573"/>
      <c r="H105" s="573"/>
      <c r="I105" s="573"/>
      <c r="J105" s="573"/>
      <c r="K105" s="573"/>
      <c r="L105" s="340"/>
      <c r="M105" s="340"/>
      <c r="N105" s="340"/>
      <c r="O105" s="340"/>
      <c r="P105" s="340"/>
      <c r="Q105" s="340"/>
      <c r="R105" s="340"/>
      <c r="S105" s="340"/>
      <c r="T105" s="340"/>
      <c r="U105" s="340"/>
      <c r="V105" s="340"/>
      <c r="W105" s="333"/>
      <c r="X105" s="333"/>
      <c r="Y105" s="422"/>
      <c r="Z105" s="422"/>
    </row>
    <row r="106" spans="1:27" ht="18" x14ac:dyDescent="0.4">
      <c r="A106" s="577"/>
      <c r="B106" s="572">
        <v>3</v>
      </c>
      <c r="C106" s="582" t="str">
        <f>Help!D39</f>
        <v>Error and alert messages</v>
      </c>
      <c r="D106" s="583"/>
      <c r="E106" s="583"/>
      <c r="F106" s="583"/>
      <c r="G106" s="583"/>
      <c r="H106" s="583"/>
      <c r="I106" s="583"/>
      <c r="J106" s="573"/>
      <c r="K106" s="573"/>
      <c r="L106" s="340"/>
      <c r="M106" s="340"/>
      <c r="N106" s="340"/>
      <c r="O106" s="340"/>
      <c r="P106" s="340"/>
      <c r="Q106" s="340"/>
      <c r="R106" s="340"/>
      <c r="S106" s="340"/>
      <c r="T106" s="340"/>
      <c r="U106" s="340"/>
      <c r="V106" s="340"/>
      <c r="W106" s="333"/>
      <c r="X106" s="333"/>
      <c r="Y106" s="422"/>
      <c r="Z106" s="422"/>
    </row>
    <row r="107" spans="1:27" x14ac:dyDescent="0.25">
      <c r="A107" s="578"/>
      <c r="B107" s="375" t="s">
        <v>139</v>
      </c>
      <c r="C107" s="375"/>
      <c r="D107" s="375"/>
      <c r="E107" s="375"/>
      <c r="F107" s="375"/>
      <c r="G107" s="375"/>
      <c r="H107" s="375"/>
      <c r="I107" s="375"/>
      <c r="J107" s="375"/>
      <c r="K107" s="375"/>
      <c r="L107" s="333"/>
      <c r="M107" s="333"/>
      <c r="N107" s="333"/>
      <c r="O107" s="333"/>
      <c r="P107" s="333"/>
      <c r="Q107" s="333"/>
      <c r="R107" s="333"/>
      <c r="S107" s="333"/>
      <c r="T107" s="333"/>
      <c r="U107" s="333"/>
      <c r="V107" s="333"/>
      <c r="W107" s="333"/>
      <c r="X107" s="333"/>
      <c r="Y107" s="422"/>
      <c r="Z107" s="422"/>
    </row>
    <row r="108" spans="1:27" x14ac:dyDescent="0.25">
      <c r="A108" s="571"/>
      <c r="B108" s="333"/>
      <c r="C108" s="333"/>
      <c r="D108" s="333"/>
      <c r="E108" s="333"/>
      <c r="F108" s="333"/>
      <c r="G108" s="333"/>
      <c r="H108" s="333"/>
      <c r="I108" s="333"/>
      <c r="J108" s="333"/>
      <c r="K108" s="333"/>
      <c r="L108" s="333"/>
      <c r="M108" s="333"/>
      <c r="N108" s="333"/>
      <c r="O108" s="333"/>
      <c r="P108" s="333"/>
      <c r="Q108" s="333"/>
      <c r="R108" s="333"/>
      <c r="S108" s="333"/>
      <c r="T108" s="333"/>
      <c r="U108" s="333"/>
      <c r="V108" s="333"/>
      <c r="W108" s="333"/>
      <c r="X108" s="333"/>
      <c r="Y108" s="422"/>
      <c r="Z108" s="422"/>
    </row>
    <row r="109" spans="1:27" x14ac:dyDescent="0.25">
      <c r="A109" s="571"/>
      <c r="B109" s="333"/>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422"/>
      <c r="Z109" s="422"/>
    </row>
    <row r="110" spans="1:27" x14ac:dyDescent="0.25">
      <c r="A110" s="571"/>
      <c r="B110" s="333"/>
      <c r="C110" s="333"/>
      <c r="D110" s="333"/>
      <c r="E110" s="333"/>
      <c r="F110" s="333"/>
      <c r="G110" s="333"/>
      <c r="H110" s="333"/>
      <c r="I110" s="333"/>
      <c r="J110" s="333"/>
      <c r="K110" s="333"/>
      <c r="L110" s="333"/>
      <c r="M110" s="333"/>
      <c r="N110" s="333"/>
      <c r="O110" s="333"/>
      <c r="P110" s="333"/>
      <c r="Q110" s="333"/>
      <c r="R110" s="333"/>
      <c r="S110" s="333"/>
      <c r="T110" s="333"/>
      <c r="U110" s="333"/>
      <c r="V110" s="333"/>
      <c r="W110" s="333"/>
      <c r="X110" s="333"/>
      <c r="Y110" s="422"/>
      <c r="Z110" s="422"/>
    </row>
    <row r="111" spans="1:27" x14ac:dyDescent="0.25">
      <c r="A111" s="571"/>
      <c r="B111" s="333"/>
      <c r="C111" s="333"/>
      <c r="D111" s="333"/>
      <c r="E111" s="333"/>
      <c r="F111" s="333"/>
      <c r="G111" s="333"/>
      <c r="H111" s="333"/>
      <c r="I111" s="333"/>
      <c r="J111" s="333"/>
      <c r="K111" s="333"/>
      <c r="L111" s="333"/>
      <c r="M111" s="333"/>
      <c r="N111" s="333"/>
      <c r="O111" s="333"/>
      <c r="P111" s="333"/>
      <c r="Q111" s="333"/>
      <c r="R111" s="333"/>
      <c r="S111" s="333"/>
      <c r="T111" s="333"/>
      <c r="U111" s="333"/>
      <c r="V111" s="333"/>
      <c r="W111" s="333"/>
      <c r="X111" s="333"/>
      <c r="Y111" s="422"/>
      <c r="Z111" s="422"/>
    </row>
    <row r="112" spans="1:27" x14ac:dyDescent="0.25">
      <c r="A112" s="571"/>
      <c r="B112" s="333"/>
      <c r="C112" s="333"/>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575"/>
      <c r="Z112" s="575"/>
      <c r="AA112" s="571"/>
    </row>
    <row r="113" spans="1:27" x14ac:dyDescent="0.25">
      <c r="A113" s="571"/>
      <c r="B113" s="333"/>
      <c r="C113" s="333"/>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575"/>
      <c r="Z113" s="575"/>
      <c r="AA113" s="571"/>
    </row>
    <row r="114" spans="1:27" x14ac:dyDescent="0.25">
      <c r="A114" s="571"/>
      <c r="B114" s="333"/>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575"/>
      <c r="Z114" s="575"/>
      <c r="AA114" s="571"/>
    </row>
    <row r="115" spans="1:27" x14ac:dyDescent="0.25">
      <c r="A115" s="571"/>
      <c r="B115" s="333"/>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575"/>
      <c r="Z115" s="575"/>
      <c r="AA115" s="571"/>
    </row>
    <row r="116" spans="1:27" x14ac:dyDescent="0.25">
      <c r="A116" s="571"/>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575"/>
      <c r="Z116" s="575"/>
      <c r="AA116" s="571"/>
    </row>
    <row r="117" spans="1:27" x14ac:dyDescent="0.25">
      <c r="A117" s="571"/>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575"/>
      <c r="Z117" s="575"/>
      <c r="AA117" s="571"/>
    </row>
    <row r="118" spans="1:27" x14ac:dyDescent="0.25">
      <c r="A118" s="571"/>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575"/>
      <c r="Z118" s="575"/>
      <c r="AA118" s="571"/>
    </row>
    <row r="119" spans="1:27" x14ac:dyDescent="0.25">
      <c r="A119" s="571"/>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575"/>
      <c r="Z119" s="575"/>
      <c r="AA119" s="571"/>
    </row>
    <row r="120" spans="1:27" x14ac:dyDescent="0.25">
      <c r="A120" s="571"/>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575"/>
      <c r="Z120" s="575"/>
      <c r="AA120" s="571"/>
    </row>
    <row r="121" spans="1:27" x14ac:dyDescent="0.25">
      <c r="A121" s="571"/>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575"/>
      <c r="Z121" s="575"/>
      <c r="AA121" s="571"/>
    </row>
    <row r="122" spans="1:27" x14ac:dyDescent="0.25">
      <c r="A122" s="571"/>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575"/>
      <c r="Z122" s="575"/>
      <c r="AA122" s="571"/>
    </row>
    <row r="123" spans="1:27" x14ac:dyDescent="0.25">
      <c r="A123" s="571"/>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575"/>
      <c r="Z123" s="575"/>
      <c r="AA123" s="571"/>
    </row>
    <row r="124" spans="1:27" x14ac:dyDescent="0.25">
      <c r="A124" s="571"/>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575"/>
      <c r="Z124" s="575"/>
      <c r="AA124" s="571"/>
    </row>
    <row r="125" spans="1:27" x14ac:dyDescent="0.25">
      <c r="A125" s="571"/>
      <c r="B125" s="333"/>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575"/>
      <c r="Z125" s="575"/>
      <c r="AA125" s="571"/>
    </row>
    <row r="126" spans="1:27" x14ac:dyDescent="0.25">
      <c r="A126" s="571"/>
      <c r="B126" s="333"/>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575"/>
      <c r="Z126" s="575"/>
      <c r="AA126" s="571"/>
    </row>
    <row r="127" spans="1:27" x14ac:dyDescent="0.25">
      <c r="A127" s="571"/>
      <c r="B127" s="333"/>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575"/>
      <c r="Z127" s="575"/>
      <c r="AA127" s="571"/>
    </row>
    <row r="128" spans="1:27" x14ac:dyDescent="0.25">
      <c r="A128" s="571"/>
      <c r="B128" s="333"/>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575"/>
      <c r="Z128" s="575"/>
      <c r="AA128" s="571"/>
    </row>
    <row r="129" spans="1:27" x14ac:dyDescent="0.25">
      <c r="A129" s="571"/>
      <c r="B129" s="333"/>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575"/>
      <c r="Z129" s="575"/>
      <c r="AA129" s="571"/>
    </row>
    <row r="130" spans="1:27" x14ac:dyDescent="0.25">
      <c r="A130" s="571"/>
      <c r="B130" s="333"/>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575"/>
      <c r="Z130" s="575"/>
      <c r="AA130" s="571"/>
    </row>
    <row r="131" spans="1:27" x14ac:dyDescent="0.25">
      <c r="A131" s="571"/>
      <c r="B131" s="333"/>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575"/>
      <c r="Z131" s="575"/>
      <c r="AA131" s="571"/>
    </row>
    <row r="132" spans="1:27" x14ac:dyDescent="0.25">
      <c r="A132" s="571"/>
      <c r="B132" s="333"/>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575"/>
      <c r="Z132" s="575"/>
      <c r="AA132" s="571"/>
    </row>
    <row r="133" spans="1:27" x14ac:dyDescent="0.25">
      <c r="A133" s="571"/>
      <c r="B133" s="333"/>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575"/>
      <c r="Z133" s="575"/>
      <c r="AA133" s="571"/>
    </row>
    <row r="134" spans="1:27" x14ac:dyDescent="0.25">
      <c r="A134" s="571"/>
      <c r="B134" s="333"/>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575"/>
      <c r="Z134" s="575"/>
      <c r="AA134" s="571"/>
    </row>
    <row r="135" spans="1:27" x14ac:dyDescent="0.25">
      <c r="A135" s="571"/>
      <c r="B135" s="333"/>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575"/>
      <c r="Z135" s="575"/>
      <c r="AA135" s="571"/>
    </row>
    <row r="136" spans="1:27" x14ac:dyDescent="0.25">
      <c r="A136" s="571"/>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575"/>
      <c r="Z136" s="575"/>
      <c r="AA136" s="571"/>
    </row>
    <row r="137" spans="1:27" x14ac:dyDescent="0.25">
      <c r="A137" s="571"/>
      <c r="B137" s="333"/>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575"/>
      <c r="Z137" s="575"/>
      <c r="AA137" s="571"/>
    </row>
    <row r="138" spans="1:27" x14ac:dyDescent="0.25">
      <c r="A138" s="571"/>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575"/>
      <c r="Z138" s="575"/>
      <c r="AA138" s="571"/>
    </row>
    <row r="139" spans="1:27" x14ac:dyDescent="0.25">
      <c r="A139" s="571"/>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575"/>
      <c r="Z139" s="575"/>
      <c r="AA139" s="571"/>
    </row>
    <row r="140" spans="1:27" x14ac:dyDescent="0.25">
      <c r="A140" s="571"/>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575"/>
      <c r="Z140" s="575"/>
      <c r="AA140" s="571"/>
    </row>
    <row r="141" spans="1:27" x14ac:dyDescent="0.25">
      <c r="A141" s="571"/>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575"/>
      <c r="Z141" s="575"/>
      <c r="AA141" s="571"/>
    </row>
    <row r="142" spans="1:27" x14ac:dyDescent="0.25">
      <c r="A142" s="571"/>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575"/>
      <c r="Z142" s="575"/>
      <c r="AA142" s="571"/>
    </row>
    <row r="143" spans="1:27" x14ac:dyDescent="0.25">
      <c r="A143" s="571"/>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575"/>
      <c r="Z143" s="575"/>
      <c r="AA143" s="571"/>
    </row>
    <row r="144" spans="1:27" x14ac:dyDescent="0.25">
      <c r="A144" s="571"/>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575"/>
      <c r="Z144" s="575"/>
      <c r="AA144" s="571"/>
    </row>
    <row r="145" spans="1:27" x14ac:dyDescent="0.25">
      <c r="A145" s="571"/>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575"/>
      <c r="Z145" s="575"/>
      <c r="AA145" s="571"/>
    </row>
    <row r="146" spans="1:27" x14ac:dyDescent="0.25">
      <c r="A146" s="571"/>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575"/>
      <c r="Z146" s="575"/>
      <c r="AA146" s="571"/>
    </row>
    <row r="147" spans="1:27" x14ac:dyDescent="0.25">
      <c r="A147" s="571"/>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575"/>
      <c r="Z147" s="575"/>
      <c r="AA147" s="571"/>
    </row>
    <row r="148" spans="1:27" x14ac:dyDescent="0.25">
      <c r="A148" s="571"/>
      <c r="B148" s="333"/>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575"/>
      <c r="Z148" s="575"/>
      <c r="AA148" s="571"/>
    </row>
    <row r="149" spans="1:27" x14ac:dyDescent="0.25">
      <c r="A149" s="571"/>
      <c r="B149" s="333"/>
      <c r="C149" s="333"/>
      <c r="D149" s="333"/>
      <c r="E149" s="333"/>
      <c r="F149" s="333"/>
      <c r="G149" s="333"/>
      <c r="H149" s="333"/>
      <c r="I149" s="333"/>
      <c r="J149" s="333"/>
      <c r="K149" s="333"/>
      <c r="L149" s="333"/>
      <c r="M149" s="333"/>
      <c r="N149" s="333"/>
      <c r="O149" s="333"/>
      <c r="P149" s="333"/>
      <c r="Q149" s="333"/>
      <c r="R149" s="333"/>
      <c r="S149" s="333"/>
      <c r="T149" s="333"/>
      <c r="U149" s="333"/>
      <c r="V149" s="333"/>
      <c r="W149" s="333"/>
      <c r="X149" s="333"/>
      <c r="Y149" s="575"/>
      <c r="Z149" s="575"/>
      <c r="AA149" s="571"/>
    </row>
    <row r="150" spans="1:27" ht="17.5" x14ac:dyDescent="0.35">
      <c r="A150" s="571"/>
      <c r="B150" s="333"/>
      <c r="C150" s="574" t="s">
        <v>549</v>
      </c>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575"/>
      <c r="Z150" s="575"/>
      <c r="AA150" s="571"/>
    </row>
    <row r="151" spans="1:27" x14ac:dyDescent="0.25">
      <c r="A151" s="75"/>
      <c r="B151" s="333"/>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575"/>
      <c r="Z151" s="575"/>
      <c r="AA151" s="571"/>
    </row>
    <row r="152" spans="1:27" x14ac:dyDescent="0.25">
      <c r="A152" s="75"/>
      <c r="B152" s="333"/>
      <c r="C152" s="333"/>
      <c r="D152" s="333"/>
      <c r="E152" s="333"/>
      <c r="F152" s="333"/>
      <c r="G152" s="333"/>
      <c r="H152" s="333"/>
      <c r="I152" s="333"/>
      <c r="J152" s="333"/>
      <c r="K152" s="333"/>
      <c r="L152" s="333"/>
      <c r="M152" s="333"/>
      <c r="N152" s="333"/>
      <c r="O152" s="333"/>
      <c r="P152" s="333"/>
      <c r="Q152" s="333"/>
      <c r="R152" s="333"/>
      <c r="S152" s="333"/>
      <c r="T152" s="333"/>
      <c r="U152" s="333"/>
      <c r="V152" s="333"/>
      <c r="W152" s="333"/>
      <c r="X152" s="333"/>
      <c r="Y152" s="575"/>
      <c r="Z152" s="575"/>
      <c r="AA152" s="571"/>
    </row>
    <row r="153" spans="1:27" x14ac:dyDescent="0.25">
      <c r="A153" s="75"/>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575"/>
      <c r="Z153" s="575"/>
      <c r="AA153" s="571"/>
    </row>
    <row r="154" spans="1:27" x14ac:dyDescent="0.25">
      <c r="A154" s="75"/>
      <c r="B154" s="333"/>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575"/>
      <c r="Z154" s="575"/>
      <c r="AA154" s="571"/>
    </row>
    <row r="155" spans="1:27" x14ac:dyDescent="0.25">
      <c r="A155" s="75"/>
      <c r="B155" s="333"/>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575"/>
      <c r="Z155" s="575"/>
      <c r="AA155" s="571"/>
    </row>
    <row r="156" spans="1:27" ht="17.5" x14ac:dyDescent="0.35">
      <c r="A156" s="75"/>
      <c r="B156" s="579"/>
      <c r="C156" s="579"/>
      <c r="D156" s="579"/>
      <c r="E156" s="579"/>
      <c r="F156" s="579"/>
      <c r="G156" s="579"/>
      <c r="H156" s="579"/>
      <c r="I156" s="579"/>
      <c r="J156" s="579"/>
      <c r="K156" s="579"/>
      <c r="L156" s="579"/>
      <c r="M156" s="579"/>
      <c r="N156" s="579"/>
      <c r="O156" s="333"/>
      <c r="P156" s="333"/>
      <c r="Q156" s="333"/>
      <c r="R156" s="333"/>
      <c r="S156" s="333"/>
      <c r="T156" s="333"/>
      <c r="U156" s="333"/>
      <c r="V156" s="333"/>
      <c r="W156" s="333"/>
      <c r="X156" s="333"/>
      <c r="Y156" s="575"/>
      <c r="Z156" s="575"/>
      <c r="AA156" s="571"/>
    </row>
    <row r="157" spans="1:27" ht="17.5" x14ac:dyDescent="0.35">
      <c r="A157" s="75"/>
      <c r="B157" s="579"/>
      <c r="C157" s="583"/>
      <c r="D157" s="583"/>
      <c r="E157" s="583"/>
      <c r="F157" s="583"/>
      <c r="G157" s="583"/>
      <c r="H157" s="583"/>
      <c r="I157" s="583"/>
      <c r="J157" s="583"/>
      <c r="K157" s="583"/>
      <c r="L157" s="583"/>
      <c r="M157" s="583"/>
      <c r="N157" s="583"/>
      <c r="O157" s="340"/>
      <c r="P157" s="340"/>
      <c r="Q157" s="340"/>
      <c r="R157" s="340"/>
      <c r="S157" s="340"/>
      <c r="T157" s="340"/>
      <c r="U157" s="340"/>
      <c r="V157" s="340"/>
      <c r="W157" s="333"/>
      <c r="X157" s="333"/>
      <c r="Y157" s="575"/>
      <c r="Z157" s="575"/>
      <c r="AA157" s="571"/>
    </row>
    <row r="158" spans="1:27" ht="18" x14ac:dyDescent="0.4">
      <c r="A158" s="571"/>
      <c r="B158" s="572">
        <v>4</v>
      </c>
      <c r="C158" s="582" t="str">
        <f>Help!D47&amp;" (Residential calculator)"</f>
        <v>Outcomes reporting (Residential calculator)</v>
      </c>
      <c r="D158" s="583"/>
      <c r="E158" s="583"/>
      <c r="F158" s="583"/>
      <c r="G158" s="583"/>
      <c r="H158" s="583"/>
      <c r="I158" s="583"/>
      <c r="J158" s="583"/>
      <c r="K158" s="583"/>
      <c r="L158" s="583"/>
      <c r="M158" s="583"/>
      <c r="N158" s="583"/>
      <c r="O158" s="340"/>
      <c r="P158" s="340"/>
      <c r="Q158" s="340"/>
      <c r="R158" s="340"/>
      <c r="S158" s="340"/>
      <c r="T158" s="340"/>
      <c r="U158" s="340"/>
      <c r="V158" s="340"/>
      <c r="W158" s="333"/>
      <c r="X158" s="333"/>
      <c r="Y158" s="422"/>
      <c r="Z158" s="422"/>
    </row>
    <row r="159" spans="1:27" ht="17.5" x14ac:dyDescent="0.35">
      <c r="A159" s="571"/>
      <c r="B159" s="579"/>
      <c r="C159" s="579"/>
      <c r="D159" s="579"/>
      <c r="E159" s="579"/>
      <c r="F159" s="579"/>
      <c r="G159" s="579"/>
      <c r="H159" s="579"/>
      <c r="I159" s="579"/>
      <c r="J159" s="579"/>
      <c r="K159" s="579"/>
      <c r="L159" s="579"/>
      <c r="M159" s="579"/>
      <c r="N159" s="579"/>
      <c r="O159" s="333"/>
      <c r="P159" s="333"/>
      <c r="Q159" s="333"/>
      <c r="R159" s="333"/>
      <c r="S159" s="333"/>
      <c r="T159" s="333"/>
      <c r="U159" s="333"/>
      <c r="V159" s="333"/>
      <c r="W159" s="333"/>
      <c r="X159" s="333"/>
      <c r="Y159" s="422"/>
      <c r="Z159" s="422"/>
    </row>
    <row r="160" spans="1:27" x14ac:dyDescent="0.25">
      <c r="A160" s="571"/>
      <c r="B160" s="333"/>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422"/>
      <c r="Z160" s="422"/>
    </row>
    <row r="161" spans="1:26" x14ac:dyDescent="0.25">
      <c r="A161" s="571"/>
      <c r="B161" s="333"/>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422"/>
      <c r="Z161" s="422"/>
    </row>
    <row r="162" spans="1:26" x14ac:dyDescent="0.25">
      <c r="A162" s="571"/>
      <c r="B162" s="333"/>
      <c r="C162" s="333"/>
      <c r="D162" s="333"/>
      <c r="E162" s="333"/>
      <c r="F162" s="333"/>
      <c r="G162" s="333"/>
      <c r="H162" s="333"/>
      <c r="I162" s="333"/>
      <c r="J162" s="333"/>
      <c r="K162" s="333"/>
      <c r="L162" s="333"/>
      <c r="M162" s="333"/>
      <c r="N162" s="333"/>
      <c r="O162" s="333"/>
      <c r="P162" s="333"/>
      <c r="Q162" s="333"/>
      <c r="R162" s="333"/>
      <c r="S162" s="333"/>
      <c r="T162" s="333"/>
      <c r="U162" s="333"/>
      <c r="V162" s="333"/>
      <c r="W162" s="333"/>
      <c r="X162" s="333"/>
      <c r="Y162" s="422"/>
      <c r="Z162" s="422"/>
    </row>
    <row r="163" spans="1:26" x14ac:dyDescent="0.25">
      <c r="A163" s="571"/>
      <c r="B163" s="333"/>
      <c r="C163" s="333"/>
      <c r="D163" s="333"/>
      <c r="E163" s="333"/>
      <c r="F163" s="333"/>
      <c r="G163" s="333"/>
      <c r="H163" s="333"/>
      <c r="I163" s="333"/>
      <c r="J163" s="333"/>
      <c r="K163" s="333"/>
      <c r="L163" s="333"/>
      <c r="M163" s="333"/>
      <c r="N163" s="333"/>
      <c r="O163" s="333"/>
      <c r="P163" s="333"/>
      <c r="Q163" s="333"/>
      <c r="R163" s="333"/>
      <c r="S163" s="333"/>
      <c r="T163" s="333"/>
      <c r="U163" s="333"/>
      <c r="V163" s="333"/>
      <c r="W163" s="333"/>
      <c r="X163" s="333"/>
      <c r="Y163" s="422"/>
      <c r="Z163" s="422"/>
    </row>
    <row r="164" spans="1:26" x14ac:dyDescent="0.25">
      <c r="A164" s="571"/>
      <c r="B164" s="333"/>
      <c r="C164" s="333"/>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422"/>
      <c r="Z164" s="422"/>
    </row>
    <row r="165" spans="1:26" x14ac:dyDescent="0.25">
      <c r="A165" s="571"/>
      <c r="B165" s="333"/>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422"/>
      <c r="Z165" s="422"/>
    </row>
    <row r="166" spans="1:26" x14ac:dyDescent="0.25">
      <c r="A166" s="571"/>
      <c r="B166" s="333"/>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3"/>
      <c r="Y166" s="422"/>
      <c r="Z166" s="422"/>
    </row>
    <row r="167" spans="1:26" x14ac:dyDescent="0.25">
      <c r="A167" s="571"/>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422"/>
      <c r="Z167" s="422"/>
    </row>
    <row r="168" spans="1:26" x14ac:dyDescent="0.25">
      <c r="A168" s="571"/>
      <c r="B168" s="333"/>
      <c r="C168" s="333"/>
      <c r="D168" s="333"/>
      <c r="E168" s="333"/>
      <c r="F168" s="333"/>
      <c r="G168" s="333"/>
      <c r="H168" s="333"/>
      <c r="I168" s="333"/>
      <c r="J168" s="333"/>
      <c r="K168" s="333"/>
      <c r="L168" s="333"/>
      <c r="M168" s="333"/>
      <c r="N168" s="333"/>
      <c r="O168" s="333"/>
      <c r="P168" s="333"/>
      <c r="Q168" s="333"/>
      <c r="R168" s="333"/>
      <c r="S168" s="333"/>
      <c r="T168" s="333"/>
      <c r="U168" s="333"/>
      <c r="V168" s="333"/>
      <c r="W168" s="333"/>
      <c r="X168" s="333"/>
      <c r="Y168" s="422"/>
      <c r="Z168" s="422"/>
    </row>
    <row r="169" spans="1:26" x14ac:dyDescent="0.25">
      <c r="A169" s="571"/>
      <c r="B169" s="333"/>
      <c r="C169" s="333"/>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422"/>
      <c r="Z169" s="422"/>
    </row>
    <row r="170" spans="1:26" x14ac:dyDescent="0.25">
      <c r="A170" s="571"/>
      <c r="B170" s="333"/>
      <c r="C170" s="333"/>
      <c r="D170" s="333"/>
      <c r="E170" s="333"/>
      <c r="F170" s="333"/>
      <c r="G170" s="333"/>
      <c r="H170" s="333"/>
      <c r="I170" s="333"/>
      <c r="J170" s="333"/>
      <c r="K170" s="333"/>
      <c r="L170" s="333"/>
      <c r="M170" s="333"/>
      <c r="N170" s="333"/>
      <c r="O170" s="333"/>
      <c r="P170" s="333"/>
      <c r="Q170" s="333"/>
      <c r="R170" s="333"/>
      <c r="S170" s="333"/>
      <c r="T170" s="333"/>
      <c r="U170" s="333"/>
      <c r="V170" s="333"/>
      <c r="W170" s="333"/>
      <c r="X170" s="333"/>
      <c r="Y170" s="422"/>
      <c r="Z170" s="422"/>
    </row>
    <row r="171" spans="1:26" x14ac:dyDescent="0.25">
      <c r="A171" s="571"/>
      <c r="B171" s="333"/>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422"/>
      <c r="Z171" s="422"/>
    </row>
    <row r="172" spans="1:26" x14ac:dyDescent="0.25">
      <c r="A172" s="571"/>
      <c r="B172" s="333"/>
      <c r="C172" s="333"/>
      <c r="D172" s="333"/>
      <c r="E172" s="333"/>
      <c r="F172" s="333"/>
      <c r="G172" s="333"/>
      <c r="H172" s="333"/>
      <c r="I172" s="333"/>
      <c r="J172" s="333"/>
      <c r="K172" s="333"/>
      <c r="L172" s="333"/>
      <c r="M172" s="333"/>
      <c r="N172" s="333"/>
      <c r="O172" s="333"/>
      <c r="P172" s="333"/>
      <c r="Q172" s="333"/>
      <c r="R172" s="333"/>
      <c r="S172" s="333"/>
      <c r="T172" s="333"/>
      <c r="U172" s="333"/>
      <c r="V172" s="333"/>
      <c r="W172" s="333"/>
      <c r="X172" s="333"/>
      <c r="Y172" s="422"/>
      <c r="Z172" s="422"/>
    </row>
    <row r="173" spans="1:26" x14ac:dyDescent="0.25">
      <c r="A173" s="571"/>
      <c r="B173" s="333"/>
      <c r="C173" s="333"/>
      <c r="D173" s="333"/>
      <c r="E173" s="333"/>
      <c r="F173" s="333"/>
      <c r="G173" s="333"/>
      <c r="H173" s="333"/>
      <c r="I173" s="333"/>
      <c r="J173" s="333"/>
      <c r="K173" s="333"/>
      <c r="L173" s="333"/>
      <c r="M173" s="333"/>
      <c r="N173" s="333"/>
      <c r="O173" s="333"/>
      <c r="P173" s="333"/>
      <c r="Q173" s="333"/>
      <c r="R173" s="333"/>
      <c r="S173" s="333"/>
      <c r="T173" s="333"/>
      <c r="U173" s="333"/>
      <c r="V173" s="333"/>
      <c r="W173" s="333"/>
      <c r="X173" s="333"/>
      <c r="Y173" s="422"/>
      <c r="Z173" s="422"/>
    </row>
    <row r="174" spans="1:26" x14ac:dyDescent="0.25">
      <c r="A174" s="571"/>
      <c r="B174" s="333"/>
      <c r="C174" s="333"/>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422"/>
      <c r="Z174" s="422"/>
    </row>
    <row r="175" spans="1:26" x14ac:dyDescent="0.25">
      <c r="A175" s="571"/>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422"/>
      <c r="Z175" s="422"/>
    </row>
    <row r="176" spans="1:26" x14ac:dyDescent="0.25">
      <c r="A176" s="571"/>
      <c r="B176" s="333"/>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422"/>
      <c r="Z176" s="422"/>
    </row>
    <row r="177" spans="1:26" x14ac:dyDescent="0.25">
      <c r="A177" s="571"/>
      <c r="B177" s="333"/>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422"/>
      <c r="Z177" s="422"/>
    </row>
    <row r="178" spans="1:26" x14ac:dyDescent="0.25">
      <c r="A178" s="571"/>
      <c r="B178" s="333"/>
      <c r="C178" s="333"/>
      <c r="D178" s="333"/>
      <c r="E178" s="333"/>
      <c r="F178" s="333"/>
      <c r="G178" s="333"/>
      <c r="H178" s="333"/>
      <c r="I178" s="333"/>
      <c r="J178" s="333"/>
      <c r="K178" s="333"/>
      <c r="L178" s="333"/>
      <c r="M178" s="333"/>
      <c r="N178" s="333"/>
      <c r="O178" s="333"/>
      <c r="P178" s="333"/>
      <c r="Q178" s="333"/>
      <c r="R178" s="333"/>
      <c r="S178" s="333"/>
      <c r="T178" s="333"/>
      <c r="U178" s="333"/>
      <c r="V178" s="333"/>
      <c r="W178" s="333"/>
      <c r="X178" s="333"/>
      <c r="Y178" s="422"/>
      <c r="Z178" s="422"/>
    </row>
    <row r="179" spans="1:26" x14ac:dyDescent="0.25">
      <c r="A179" s="571"/>
      <c r="B179" s="333"/>
      <c r="C179" s="333"/>
      <c r="D179" s="333"/>
      <c r="E179" s="333"/>
      <c r="F179" s="333"/>
      <c r="G179" s="333"/>
      <c r="H179" s="333"/>
      <c r="I179" s="333"/>
      <c r="J179" s="333"/>
      <c r="K179" s="333"/>
      <c r="L179" s="333"/>
      <c r="M179" s="333"/>
      <c r="N179" s="333"/>
      <c r="O179" s="333"/>
      <c r="P179" s="333"/>
      <c r="Q179" s="333"/>
      <c r="R179" s="333"/>
      <c r="S179" s="333"/>
      <c r="T179" s="333"/>
      <c r="U179" s="333"/>
      <c r="V179" s="333"/>
      <c r="W179" s="333"/>
      <c r="X179" s="333"/>
      <c r="Y179" s="422"/>
      <c r="Z179" s="422"/>
    </row>
    <row r="180" spans="1:26" x14ac:dyDescent="0.25">
      <c r="A180" s="571"/>
      <c r="B180" s="333"/>
      <c r="C180" s="333"/>
      <c r="D180" s="333"/>
      <c r="E180" s="333"/>
      <c r="F180" s="333"/>
      <c r="G180" s="333"/>
      <c r="H180" s="333"/>
      <c r="I180" s="333"/>
      <c r="J180" s="333"/>
      <c r="K180" s="333"/>
      <c r="L180" s="333"/>
      <c r="M180" s="333"/>
      <c r="N180" s="333"/>
      <c r="O180" s="333"/>
      <c r="P180" s="333"/>
      <c r="Q180" s="333"/>
      <c r="R180" s="333"/>
      <c r="S180" s="333"/>
      <c r="T180" s="333"/>
      <c r="U180" s="333"/>
      <c r="V180" s="333"/>
      <c r="W180" s="333"/>
      <c r="X180" s="333"/>
      <c r="Y180" s="422"/>
      <c r="Z180" s="422"/>
    </row>
    <row r="181" spans="1:26" x14ac:dyDescent="0.25">
      <c r="A181" s="571"/>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422"/>
      <c r="Z181" s="422"/>
    </row>
    <row r="182" spans="1:26" x14ac:dyDescent="0.25">
      <c r="A182" s="571"/>
      <c r="B182" s="333"/>
      <c r="C182" s="333"/>
      <c r="D182" s="333"/>
      <c r="E182" s="333"/>
      <c r="F182" s="333"/>
      <c r="G182" s="333"/>
      <c r="H182" s="333"/>
      <c r="I182" s="333"/>
      <c r="J182" s="333"/>
      <c r="K182" s="333"/>
      <c r="L182" s="333"/>
      <c r="M182" s="333"/>
      <c r="N182" s="333"/>
      <c r="O182" s="333"/>
      <c r="P182" s="333"/>
      <c r="Q182" s="333"/>
      <c r="R182" s="333"/>
      <c r="S182" s="333"/>
      <c r="T182" s="333"/>
      <c r="U182" s="333"/>
      <c r="V182" s="333"/>
      <c r="W182" s="333"/>
      <c r="X182" s="333"/>
      <c r="Y182" s="422"/>
      <c r="Z182" s="422"/>
    </row>
    <row r="183" spans="1:26" x14ac:dyDescent="0.25">
      <c r="A183" s="571"/>
      <c r="B183" s="333"/>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422"/>
      <c r="Z183" s="422"/>
    </row>
    <row r="184" spans="1:26" x14ac:dyDescent="0.25">
      <c r="A184" s="571"/>
      <c r="B184" s="333"/>
      <c r="C184" s="333"/>
      <c r="D184" s="333"/>
      <c r="E184" s="333"/>
      <c r="F184" s="333"/>
      <c r="G184" s="333"/>
      <c r="H184" s="333"/>
      <c r="I184" s="333"/>
      <c r="J184" s="333"/>
      <c r="K184" s="333"/>
      <c r="L184" s="333"/>
      <c r="M184" s="333"/>
      <c r="N184" s="333"/>
      <c r="O184" s="333"/>
      <c r="P184" s="333"/>
      <c r="Q184" s="333"/>
      <c r="R184" s="333"/>
      <c r="S184" s="333"/>
      <c r="T184" s="333"/>
      <c r="U184" s="333"/>
      <c r="V184" s="333"/>
      <c r="W184" s="333"/>
      <c r="X184" s="333"/>
      <c r="Y184" s="422"/>
      <c r="Z184" s="422"/>
    </row>
    <row r="185" spans="1:26" x14ac:dyDescent="0.25">
      <c r="A185" s="571"/>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422"/>
      <c r="Z185" s="422"/>
    </row>
    <row r="186" spans="1:26" x14ac:dyDescent="0.25">
      <c r="A186" s="571"/>
      <c r="B186" s="333"/>
      <c r="C186" s="333"/>
      <c r="D186" s="333"/>
      <c r="E186" s="333"/>
      <c r="F186" s="333"/>
      <c r="G186" s="333"/>
      <c r="H186" s="333"/>
      <c r="I186" s="333"/>
      <c r="J186" s="333"/>
      <c r="K186" s="333"/>
      <c r="L186" s="333"/>
      <c r="M186" s="333"/>
      <c r="N186" s="333"/>
      <c r="O186" s="333"/>
      <c r="P186" s="333"/>
      <c r="Q186" s="333"/>
      <c r="R186" s="333"/>
      <c r="S186" s="333"/>
      <c r="T186" s="333"/>
      <c r="U186" s="333"/>
      <c r="V186" s="333"/>
      <c r="W186" s="333"/>
      <c r="X186" s="333"/>
      <c r="Y186" s="422"/>
      <c r="Z186" s="422"/>
    </row>
    <row r="187" spans="1:26" x14ac:dyDescent="0.25">
      <c r="A187" s="571"/>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422"/>
      <c r="Z187" s="422"/>
    </row>
    <row r="188" spans="1:26" x14ac:dyDescent="0.25">
      <c r="A188" s="571"/>
      <c r="B188" s="333"/>
      <c r="C188" s="333"/>
      <c r="D188" s="333"/>
      <c r="E188" s="333"/>
      <c r="F188" s="333"/>
      <c r="G188" s="333"/>
      <c r="H188" s="333"/>
      <c r="I188" s="333"/>
      <c r="J188" s="333"/>
      <c r="K188" s="333"/>
      <c r="L188" s="333"/>
      <c r="M188" s="333"/>
      <c r="N188" s="333"/>
      <c r="O188" s="333"/>
      <c r="P188" s="333"/>
      <c r="Q188" s="333"/>
      <c r="R188" s="333"/>
      <c r="S188" s="333"/>
      <c r="T188" s="333"/>
      <c r="U188" s="333"/>
      <c r="V188" s="333"/>
      <c r="W188" s="333"/>
      <c r="X188" s="333"/>
      <c r="Y188" s="422"/>
      <c r="Z188" s="422"/>
    </row>
    <row r="189" spans="1:26" x14ac:dyDescent="0.25">
      <c r="A189" s="571"/>
      <c r="B189" s="333"/>
      <c r="C189" s="333"/>
      <c r="D189" s="333"/>
      <c r="E189" s="333"/>
      <c r="F189" s="333"/>
      <c r="G189" s="333"/>
      <c r="H189" s="333"/>
      <c r="I189" s="333"/>
      <c r="J189" s="333"/>
      <c r="K189" s="333"/>
      <c r="L189" s="333"/>
      <c r="M189" s="333"/>
      <c r="N189" s="333"/>
      <c r="O189" s="333"/>
      <c r="P189" s="333"/>
      <c r="Q189" s="333"/>
      <c r="R189" s="333"/>
      <c r="S189" s="333"/>
      <c r="T189" s="333"/>
      <c r="U189" s="333"/>
      <c r="V189" s="333"/>
      <c r="W189" s="333"/>
      <c r="X189" s="333"/>
      <c r="Y189" s="422"/>
      <c r="Z189" s="422"/>
    </row>
    <row r="190" spans="1:26" x14ac:dyDescent="0.25">
      <c r="A190" s="571"/>
      <c r="B190" s="333"/>
      <c r="C190" s="333"/>
      <c r="D190" s="333"/>
      <c r="E190" s="333"/>
      <c r="F190" s="333"/>
      <c r="G190" s="333"/>
      <c r="H190" s="333"/>
      <c r="I190" s="333"/>
      <c r="J190" s="333"/>
      <c r="K190" s="333"/>
      <c r="L190" s="333"/>
      <c r="M190" s="333"/>
      <c r="N190" s="333"/>
      <c r="O190" s="333"/>
      <c r="P190" s="333"/>
      <c r="Q190" s="333"/>
      <c r="R190" s="333"/>
      <c r="S190" s="333"/>
      <c r="T190" s="333"/>
      <c r="U190" s="333"/>
      <c r="V190" s="333"/>
      <c r="W190" s="333"/>
      <c r="X190" s="333"/>
      <c r="Y190" s="422"/>
      <c r="Z190" s="422"/>
    </row>
    <row r="191" spans="1:26" x14ac:dyDescent="0.25">
      <c r="A191" s="571"/>
      <c r="B191" s="333"/>
      <c r="C191" s="333"/>
      <c r="D191" s="333"/>
      <c r="E191" s="333"/>
      <c r="F191" s="333"/>
      <c r="G191" s="333"/>
      <c r="H191" s="333"/>
      <c r="I191" s="333"/>
      <c r="J191" s="333"/>
      <c r="K191" s="333"/>
      <c r="L191" s="333"/>
      <c r="M191" s="333"/>
      <c r="N191" s="333"/>
      <c r="O191" s="333"/>
      <c r="P191" s="333"/>
      <c r="Q191" s="333"/>
      <c r="R191" s="333"/>
      <c r="S191" s="333"/>
      <c r="T191" s="333"/>
      <c r="U191" s="333"/>
      <c r="V191" s="333"/>
      <c r="W191" s="333"/>
      <c r="X191" s="333"/>
      <c r="Y191" s="422"/>
      <c r="Z191" s="422"/>
    </row>
    <row r="192" spans="1:26" x14ac:dyDescent="0.25">
      <c r="A192" s="571"/>
      <c r="B192" s="333"/>
      <c r="C192" s="333"/>
      <c r="D192" s="333"/>
      <c r="E192" s="333"/>
      <c r="F192" s="333"/>
      <c r="G192" s="333"/>
      <c r="H192" s="333"/>
      <c r="I192" s="333"/>
      <c r="J192" s="333"/>
      <c r="K192" s="333"/>
      <c r="L192" s="333"/>
      <c r="M192" s="333"/>
      <c r="N192" s="333"/>
      <c r="O192" s="333"/>
      <c r="P192" s="333"/>
      <c r="Q192" s="333"/>
      <c r="R192" s="333"/>
      <c r="S192" s="333"/>
      <c r="T192" s="333"/>
      <c r="U192" s="333"/>
      <c r="V192" s="333"/>
      <c r="W192" s="333"/>
      <c r="X192" s="333"/>
      <c r="Y192" s="422"/>
      <c r="Z192" s="422"/>
    </row>
    <row r="193" spans="1:26" x14ac:dyDescent="0.25">
      <c r="A193" s="571"/>
      <c r="B193" s="333"/>
      <c r="C193" s="333"/>
      <c r="D193" s="333"/>
      <c r="E193" s="333"/>
      <c r="F193" s="333"/>
      <c r="G193" s="333"/>
      <c r="H193" s="333"/>
      <c r="I193" s="333"/>
      <c r="J193" s="333"/>
      <c r="K193" s="333"/>
      <c r="L193" s="333"/>
      <c r="M193" s="333"/>
      <c r="N193" s="333"/>
      <c r="O193" s="333"/>
      <c r="P193" s="333"/>
      <c r="Q193" s="333"/>
      <c r="R193" s="333"/>
      <c r="S193" s="333"/>
      <c r="T193" s="333"/>
      <c r="U193" s="333"/>
      <c r="V193" s="333"/>
      <c r="W193" s="333"/>
      <c r="X193" s="333"/>
      <c r="Y193" s="422"/>
      <c r="Z193" s="422"/>
    </row>
    <row r="194" spans="1:26" x14ac:dyDescent="0.25">
      <c r="A194" s="571"/>
      <c r="B194" s="333"/>
      <c r="C194" s="333"/>
      <c r="D194" s="333"/>
      <c r="E194" s="333"/>
      <c r="F194" s="333"/>
      <c r="G194" s="333"/>
      <c r="H194" s="333"/>
      <c r="I194" s="333"/>
      <c r="J194" s="333"/>
      <c r="K194" s="333"/>
      <c r="L194" s="333"/>
      <c r="M194" s="333"/>
      <c r="N194" s="333"/>
      <c r="O194" s="333"/>
      <c r="P194" s="333"/>
      <c r="Q194" s="333"/>
      <c r="R194" s="333"/>
      <c r="S194" s="333"/>
      <c r="T194" s="333"/>
      <c r="U194" s="333"/>
      <c r="V194" s="333"/>
      <c r="W194" s="333"/>
      <c r="X194" s="333"/>
      <c r="Y194" s="422"/>
      <c r="Z194" s="422"/>
    </row>
    <row r="195" spans="1:26" x14ac:dyDescent="0.25">
      <c r="A195" s="571"/>
      <c r="B195" s="333"/>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422"/>
      <c r="Z195" s="422"/>
    </row>
    <row r="196" spans="1:26" x14ac:dyDescent="0.25">
      <c r="A196" s="571"/>
      <c r="B196" s="333"/>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422"/>
      <c r="Z196" s="422"/>
    </row>
    <row r="197" spans="1:26" x14ac:dyDescent="0.25">
      <c r="A197" s="571"/>
      <c r="B197" s="333"/>
      <c r="C197" s="333"/>
      <c r="D197" s="333"/>
      <c r="E197" s="333"/>
      <c r="F197" s="333"/>
      <c r="G197" s="333"/>
      <c r="H197" s="333"/>
      <c r="I197" s="333"/>
      <c r="J197" s="333"/>
      <c r="K197" s="333"/>
      <c r="L197" s="333"/>
      <c r="M197" s="333"/>
      <c r="N197" s="333"/>
      <c r="O197" s="333"/>
      <c r="P197" s="333"/>
      <c r="Q197" s="333"/>
      <c r="R197" s="333"/>
      <c r="S197" s="333"/>
      <c r="T197" s="333"/>
      <c r="U197" s="333"/>
      <c r="V197" s="333"/>
      <c r="W197" s="333"/>
      <c r="X197" s="333"/>
      <c r="Y197" s="422"/>
      <c r="Z197" s="422"/>
    </row>
    <row r="198" spans="1:26" x14ac:dyDescent="0.25">
      <c r="A198" s="571"/>
      <c r="B198" s="333"/>
      <c r="C198" s="333"/>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422"/>
      <c r="Z198" s="422"/>
    </row>
    <row r="199" spans="1:26" x14ac:dyDescent="0.25">
      <c r="A199" s="571"/>
      <c r="B199" s="333"/>
      <c r="C199" s="333"/>
      <c r="D199" s="333"/>
      <c r="E199" s="333"/>
      <c r="F199" s="333"/>
      <c r="G199" s="333"/>
      <c r="H199" s="333"/>
      <c r="I199" s="333"/>
      <c r="J199" s="333"/>
      <c r="K199" s="333"/>
      <c r="L199" s="333"/>
      <c r="M199" s="333"/>
      <c r="N199" s="333"/>
      <c r="O199" s="333"/>
      <c r="P199" s="333"/>
      <c r="Q199" s="333"/>
      <c r="R199" s="333"/>
      <c r="S199" s="333"/>
      <c r="T199" s="333"/>
      <c r="U199" s="333"/>
      <c r="V199" s="333"/>
      <c r="W199" s="333"/>
      <c r="X199" s="333"/>
      <c r="Y199" s="422"/>
      <c r="Z199" s="422"/>
    </row>
    <row r="200" spans="1:26" x14ac:dyDescent="0.25">
      <c r="A200" s="571"/>
      <c r="B200" s="333"/>
      <c r="C200" s="333"/>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422"/>
      <c r="Z200" s="422"/>
    </row>
    <row r="201" spans="1:26" x14ac:dyDescent="0.25">
      <c r="A201" s="571"/>
      <c r="B201" s="333"/>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422"/>
      <c r="Z201" s="422"/>
    </row>
    <row r="202" spans="1:26" x14ac:dyDescent="0.25">
      <c r="A202" s="571"/>
      <c r="B202" s="333"/>
      <c r="C202" s="333"/>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422"/>
      <c r="Z202" s="422"/>
    </row>
    <row r="203" spans="1:26" ht="20.5" x14ac:dyDescent="0.45">
      <c r="A203" s="571"/>
      <c r="B203" s="333"/>
      <c r="C203" s="580" t="s">
        <v>550</v>
      </c>
      <c r="D203" s="333"/>
      <c r="E203" s="333"/>
      <c r="F203" s="333"/>
      <c r="G203" s="333"/>
      <c r="H203" s="333"/>
      <c r="I203" s="333"/>
      <c r="J203" s="333"/>
      <c r="K203" s="333"/>
      <c r="L203" s="333"/>
      <c r="M203" s="333"/>
      <c r="N203" s="333"/>
      <c r="O203" s="333"/>
      <c r="P203" s="333"/>
      <c r="Q203" s="333"/>
      <c r="R203" s="333"/>
      <c r="S203" s="333"/>
      <c r="T203" s="333"/>
      <c r="U203" s="333"/>
      <c r="V203" s="333"/>
      <c r="W203" s="333"/>
      <c r="X203" s="333"/>
      <c r="Y203" s="422"/>
      <c r="Z203" s="422"/>
    </row>
    <row r="204" spans="1:26" x14ac:dyDescent="0.25">
      <c r="A204" s="75"/>
      <c r="B204" s="333"/>
      <c r="C204" s="333"/>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422"/>
      <c r="Z204" s="422"/>
    </row>
    <row r="205" spans="1:26" x14ac:dyDescent="0.25">
      <c r="A205" s="75"/>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422"/>
      <c r="Z205" s="422"/>
    </row>
    <row r="206" spans="1:26" x14ac:dyDescent="0.25">
      <c r="A206" s="75"/>
      <c r="B206" s="333"/>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422"/>
      <c r="Z206" s="422"/>
    </row>
    <row r="207" spans="1:26" x14ac:dyDescent="0.25">
      <c r="A207" s="75"/>
      <c r="B207" s="333"/>
      <c r="C207" s="333"/>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422"/>
      <c r="Z207" s="422"/>
    </row>
    <row r="208" spans="1:26" x14ac:dyDescent="0.25">
      <c r="A208" s="75"/>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422"/>
      <c r="Z208" s="422"/>
    </row>
    <row r="209" spans="1:26" x14ac:dyDescent="0.25">
      <c r="A209" s="75"/>
      <c r="B209" s="333"/>
      <c r="C209" s="333"/>
      <c r="D209" s="333"/>
      <c r="E209" s="333"/>
      <c r="F209" s="333"/>
      <c r="G209" s="333"/>
      <c r="H209" s="333"/>
      <c r="I209" s="333"/>
      <c r="J209" s="333"/>
      <c r="K209" s="333"/>
      <c r="L209" s="333"/>
      <c r="M209" s="333"/>
      <c r="N209" s="333"/>
      <c r="O209" s="333"/>
      <c r="P209" s="333"/>
      <c r="Q209" s="333"/>
      <c r="R209" s="333"/>
      <c r="S209" s="333"/>
      <c r="T209" s="333"/>
      <c r="U209" s="333"/>
      <c r="V209" s="333"/>
      <c r="W209" s="333"/>
      <c r="X209" s="333"/>
      <c r="Y209" s="422"/>
      <c r="Z209" s="422"/>
    </row>
    <row r="210" spans="1:26" x14ac:dyDescent="0.25">
      <c r="A210" s="75"/>
      <c r="B210" s="333"/>
      <c r="C210" s="340"/>
      <c r="D210" s="340"/>
      <c r="E210" s="340"/>
      <c r="F210" s="340"/>
      <c r="G210" s="340"/>
      <c r="H210" s="340"/>
      <c r="I210" s="340"/>
      <c r="J210" s="340"/>
      <c r="K210" s="340"/>
      <c r="L210" s="340"/>
      <c r="M210" s="340"/>
      <c r="N210" s="340"/>
      <c r="O210" s="340"/>
      <c r="P210" s="340"/>
      <c r="Q210" s="340"/>
      <c r="R210" s="340"/>
      <c r="S210" s="340"/>
      <c r="T210" s="340"/>
      <c r="U210" s="340"/>
      <c r="V210" s="340"/>
      <c r="W210" s="333"/>
      <c r="X210" s="333"/>
      <c r="Y210" s="422"/>
      <c r="Z210" s="422"/>
    </row>
    <row r="211" spans="1:26" ht="18" x14ac:dyDescent="0.4">
      <c r="A211" s="75"/>
      <c r="B211" s="572">
        <v>5</v>
      </c>
      <c r="C211" s="582" t="str">
        <f>Help!D47&amp;" (Non-residential calculator)"</f>
        <v>Outcomes reporting (Non-residential calculator)</v>
      </c>
      <c r="D211" s="340"/>
      <c r="E211" s="340"/>
      <c r="F211" s="340"/>
      <c r="G211" s="340"/>
      <c r="H211" s="340"/>
      <c r="I211" s="340"/>
      <c r="J211" s="340"/>
      <c r="K211" s="340"/>
      <c r="L211" s="340"/>
      <c r="M211" s="340"/>
      <c r="N211" s="340"/>
      <c r="O211" s="340"/>
      <c r="P211" s="340"/>
      <c r="Q211" s="340"/>
      <c r="R211" s="340"/>
      <c r="S211" s="340"/>
      <c r="T211" s="340"/>
      <c r="U211" s="340"/>
      <c r="V211" s="340"/>
      <c r="W211" s="333"/>
      <c r="X211" s="333"/>
      <c r="Y211" s="422"/>
      <c r="Z211" s="422"/>
    </row>
    <row r="212" spans="1:26" x14ac:dyDescent="0.25">
      <c r="A212" s="75"/>
      <c r="B212" s="333"/>
      <c r="C212" s="333"/>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422"/>
      <c r="Z212" s="422"/>
    </row>
    <row r="213" spans="1:26" x14ac:dyDescent="0.25">
      <c r="A213" s="75"/>
      <c r="B213" s="333"/>
      <c r="C213" s="333"/>
      <c r="D213" s="333"/>
      <c r="E213" s="333"/>
      <c r="F213" s="333"/>
      <c r="G213" s="333"/>
      <c r="H213" s="333"/>
      <c r="I213" s="333"/>
      <c r="J213" s="333"/>
      <c r="K213" s="333"/>
      <c r="L213" s="333"/>
      <c r="M213" s="333"/>
      <c r="N213" s="333"/>
      <c r="O213" s="333"/>
      <c r="P213" s="333"/>
      <c r="Q213" s="333"/>
      <c r="R213" s="333"/>
      <c r="S213" s="333"/>
      <c r="T213" s="333"/>
      <c r="U213" s="333"/>
      <c r="V213" s="333"/>
      <c r="W213" s="333"/>
      <c r="X213" s="333"/>
      <c r="Y213" s="422"/>
      <c r="Z213" s="422"/>
    </row>
    <row r="214" spans="1:26" x14ac:dyDescent="0.25">
      <c r="A214" s="75"/>
      <c r="B214" s="333"/>
      <c r="C214" s="333"/>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422"/>
      <c r="Z214" s="422"/>
    </row>
    <row r="215" spans="1:26" x14ac:dyDescent="0.25">
      <c r="A215" s="75"/>
      <c r="B215" s="333"/>
      <c r="C215" s="333"/>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422"/>
      <c r="Z215" s="422"/>
    </row>
    <row r="216" spans="1:26" x14ac:dyDescent="0.25">
      <c r="A216" s="75"/>
      <c r="B216" s="333"/>
      <c r="C216" s="333"/>
      <c r="D216" s="333"/>
      <c r="E216" s="333"/>
      <c r="F216" s="333"/>
      <c r="G216" s="333"/>
      <c r="H216" s="333"/>
      <c r="I216" s="333"/>
      <c r="J216" s="333"/>
      <c r="K216" s="333"/>
      <c r="L216" s="333"/>
      <c r="M216" s="333"/>
      <c r="N216" s="333"/>
      <c r="O216" s="333"/>
      <c r="P216" s="333"/>
      <c r="Q216" s="333"/>
      <c r="R216" s="333"/>
      <c r="S216" s="333"/>
      <c r="T216" s="333"/>
      <c r="U216" s="333"/>
      <c r="V216" s="333"/>
      <c r="W216" s="333"/>
      <c r="X216" s="333"/>
      <c r="Y216" s="422"/>
      <c r="Z216" s="422"/>
    </row>
    <row r="217" spans="1:26" x14ac:dyDescent="0.25">
      <c r="A217" s="75"/>
      <c r="B217" s="333"/>
      <c r="C217" s="333"/>
      <c r="D217" s="333"/>
      <c r="E217" s="333"/>
      <c r="F217" s="333"/>
      <c r="G217" s="333"/>
      <c r="H217" s="333"/>
      <c r="I217" s="333"/>
      <c r="J217" s="333"/>
      <c r="K217" s="333"/>
      <c r="L217" s="333"/>
      <c r="M217" s="333"/>
      <c r="N217" s="333"/>
      <c r="O217" s="333"/>
      <c r="P217" s="333"/>
      <c r="Q217" s="333"/>
      <c r="R217" s="333"/>
      <c r="S217" s="333"/>
      <c r="T217" s="333"/>
      <c r="U217" s="333"/>
      <c r="V217" s="333"/>
      <c r="W217" s="333"/>
      <c r="X217" s="333"/>
      <c r="Y217" s="422"/>
      <c r="Z217" s="422"/>
    </row>
    <row r="218" spans="1:26" x14ac:dyDescent="0.25">
      <c r="A218" s="75"/>
      <c r="B218" s="333"/>
      <c r="C218" s="333"/>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422"/>
      <c r="Z218" s="422"/>
    </row>
    <row r="219" spans="1:26" x14ac:dyDescent="0.25">
      <c r="A219" s="75"/>
      <c r="B219" s="333"/>
      <c r="C219" s="333"/>
      <c r="D219" s="333"/>
      <c r="E219" s="333"/>
      <c r="F219" s="333"/>
      <c r="G219" s="333"/>
      <c r="H219" s="333"/>
      <c r="I219" s="333"/>
      <c r="J219" s="333"/>
      <c r="K219" s="333"/>
      <c r="L219" s="333"/>
      <c r="M219" s="333"/>
      <c r="N219" s="333"/>
      <c r="O219" s="333"/>
      <c r="P219" s="333"/>
      <c r="Q219" s="333"/>
      <c r="R219" s="333"/>
      <c r="S219" s="333"/>
      <c r="T219" s="333"/>
      <c r="U219" s="333"/>
      <c r="V219" s="333"/>
      <c r="W219" s="333"/>
      <c r="X219" s="333"/>
      <c r="Y219" s="422"/>
      <c r="Z219" s="422"/>
    </row>
    <row r="220" spans="1:26" x14ac:dyDescent="0.25">
      <c r="A220" s="75"/>
      <c r="B220" s="333"/>
      <c r="C220" s="333"/>
      <c r="D220" s="333"/>
      <c r="E220" s="333"/>
      <c r="F220" s="333"/>
      <c r="G220" s="333"/>
      <c r="H220" s="333"/>
      <c r="I220" s="333"/>
      <c r="J220" s="333"/>
      <c r="K220" s="333"/>
      <c r="L220" s="333"/>
      <c r="M220" s="333"/>
      <c r="N220" s="333"/>
      <c r="O220" s="333"/>
      <c r="P220" s="333"/>
      <c r="Q220" s="333"/>
      <c r="R220" s="333"/>
      <c r="S220" s="333"/>
      <c r="T220" s="333"/>
      <c r="U220" s="333"/>
      <c r="V220" s="333"/>
      <c r="W220" s="333"/>
      <c r="X220" s="333"/>
      <c r="Y220" s="422"/>
      <c r="Z220" s="422"/>
    </row>
    <row r="221" spans="1:26" x14ac:dyDescent="0.25">
      <c r="A221" s="75"/>
      <c r="B221" s="333"/>
      <c r="C221" s="333"/>
      <c r="D221" s="333"/>
      <c r="E221" s="333"/>
      <c r="F221" s="333"/>
      <c r="G221" s="333"/>
      <c r="H221" s="333"/>
      <c r="I221" s="333"/>
      <c r="J221" s="333"/>
      <c r="K221" s="333"/>
      <c r="L221" s="333"/>
      <c r="M221" s="333"/>
      <c r="N221" s="333"/>
      <c r="O221" s="333"/>
      <c r="P221" s="333"/>
      <c r="Q221" s="333"/>
      <c r="R221" s="333"/>
      <c r="S221" s="333"/>
      <c r="T221" s="333"/>
      <c r="U221" s="333"/>
      <c r="V221" s="333"/>
      <c r="W221" s="333"/>
      <c r="X221" s="333"/>
      <c r="Y221" s="422"/>
      <c r="Z221" s="422"/>
    </row>
    <row r="222" spans="1:26" x14ac:dyDescent="0.25">
      <c r="A222" s="75"/>
      <c r="B222" s="333"/>
      <c r="C222" s="333"/>
      <c r="D222" s="333"/>
      <c r="E222" s="333"/>
      <c r="F222" s="333"/>
      <c r="G222" s="333"/>
      <c r="H222" s="333"/>
      <c r="I222" s="333"/>
      <c r="J222" s="333"/>
      <c r="K222" s="333"/>
      <c r="L222" s="333"/>
      <c r="M222" s="333"/>
      <c r="N222" s="333"/>
      <c r="O222" s="333"/>
      <c r="P222" s="333"/>
      <c r="Q222" s="333"/>
      <c r="R222" s="333"/>
      <c r="S222" s="333"/>
      <c r="T222" s="333"/>
      <c r="U222" s="333"/>
      <c r="V222" s="333"/>
      <c r="W222" s="333"/>
      <c r="X222" s="333"/>
      <c r="Y222" s="422"/>
      <c r="Z222" s="422"/>
    </row>
    <row r="223" spans="1:26" x14ac:dyDescent="0.25">
      <c r="A223" s="75"/>
      <c r="B223" s="333"/>
      <c r="C223" s="333"/>
      <c r="D223" s="333"/>
      <c r="E223" s="333"/>
      <c r="F223" s="333"/>
      <c r="G223" s="333"/>
      <c r="H223" s="333"/>
      <c r="I223" s="333"/>
      <c r="J223" s="333"/>
      <c r="K223" s="333"/>
      <c r="L223" s="333"/>
      <c r="M223" s="333"/>
      <c r="N223" s="333"/>
      <c r="O223" s="333"/>
      <c r="P223" s="333"/>
      <c r="Q223" s="333"/>
      <c r="R223" s="333"/>
      <c r="S223" s="333"/>
      <c r="T223" s="333"/>
      <c r="U223" s="333"/>
      <c r="V223" s="333"/>
      <c r="W223" s="333"/>
      <c r="X223" s="333"/>
      <c r="Y223" s="422"/>
      <c r="Z223" s="422"/>
    </row>
    <row r="224" spans="1:26" x14ac:dyDescent="0.25">
      <c r="A224" s="75"/>
      <c r="B224" s="333"/>
      <c r="C224" s="333"/>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422"/>
      <c r="Z224" s="422"/>
    </row>
    <row r="225" spans="1:26" x14ac:dyDescent="0.25">
      <c r="A225" s="75"/>
      <c r="B225" s="333"/>
      <c r="C225" s="333"/>
      <c r="D225" s="333"/>
      <c r="E225" s="333"/>
      <c r="F225" s="333"/>
      <c r="G225" s="333"/>
      <c r="H225" s="333"/>
      <c r="I225" s="333"/>
      <c r="J225" s="333"/>
      <c r="K225" s="333"/>
      <c r="L225" s="333"/>
      <c r="M225" s="333"/>
      <c r="N225" s="333"/>
      <c r="O225" s="333"/>
      <c r="P225" s="333"/>
      <c r="Q225" s="333"/>
      <c r="R225" s="333"/>
      <c r="S225" s="333"/>
      <c r="T225" s="333"/>
      <c r="U225" s="333"/>
      <c r="V225" s="333"/>
      <c r="W225" s="333"/>
      <c r="X225" s="333"/>
      <c r="Y225" s="422"/>
      <c r="Z225" s="422"/>
    </row>
    <row r="226" spans="1:26" x14ac:dyDescent="0.25">
      <c r="A226" s="75"/>
      <c r="B226" s="333"/>
      <c r="C226" s="333"/>
      <c r="D226" s="333"/>
      <c r="E226" s="333"/>
      <c r="F226" s="333"/>
      <c r="G226" s="333"/>
      <c r="H226" s="333"/>
      <c r="I226" s="333"/>
      <c r="J226" s="333"/>
      <c r="K226" s="333"/>
      <c r="L226" s="333"/>
      <c r="M226" s="333"/>
      <c r="N226" s="333"/>
      <c r="O226" s="333"/>
      <c r="P226" s="333"/>
      <c r="Q226" s="333"/>
      <c r="R226" s="333"/>
      <c r="S226" s="333"/>
      <c r="T226" s="333"/>
      <c r="U226" s="333"/>
      <c r="V226" s="333"/>
      <c r="W226" s="333"/>
      <c r="X226" s="333"/>
      <c r="Y226" s="422"/>
      <c r="Z226" s="422"/>
    </row>
    <row r="227" spans="1:26" x14ac:dyDescent="0.25">
      <c r="A227" s="75"/>
      <c r="B227" s="333"/>
      <c r="C227" s="333"/>
      <c r="D227" s="333"/>
      <c r="E227" s="333"/>
      <c r="F227" s="333"/>
      <c r="G227" s="333"/>
      <c r="H227" s="333"/>
      <c r="I227" s="333"/>
      <c r="J227" s="333"/>
      <c r="K227" s="333"/>
      <c r="L227" s="333"/>
      <c r="M227" s="333"/>
      <c r="N227" s="333"/>
      <c r="O227" s="333"/>
      <c r="P227" s="333"/>
      <c r="Q227" s="333"/>
      <c r="R227" s="333"/>
      <c r="S227" s="333"/>
      <c r="T227" s="333"/>
      <c r="U227" s="333"/>
      <c r="V227" s="333"/>
      <c r="W227" s="333"/>
      <c r="X227" s="333"/>
      <c r="Y227" s="422"/>
      <c r="Z227" s="422"/>
    </row>
    <row r="228" spans="1:26" x14ac:dyDescent="0.25">
      <c r="A228" s="75"/>
      <c r="B228" s="333"/>
      <c r="C228" s="333"/>
      <c r="D228" s="333"/>
      <c r="E228" s="333"/>
      <c r="F228" s="333"/>
      <c r="G228" s="333"/>
      <c r="H228" s="333"/>
      <c r="I228" s="333"/>
      <c r="J228" s="333"/>
      <c r="K228" s="333"/>
      <c r="L228" s="333"/>
      <c r="M228" s="333"/>
      <c r="N228" s="333"/>
      <c r="O228" s="333"/>
      <c r="P228" s="333"/>
      <c r="Q228" s="333"/>
      <c r="R228" s="333"/>
      <c r="S228" s="333"/>
      <c r="T228" s="333"/>
      <c r="U228" s="333"/>
      <c r="V228" s="333"/>
      <c r="W228" s="333"/>
      <c r="X228" s="333"/>
      <c r="Y228" s="422"/>
      <c r="Z228" s="422"/>
    </row>
    <row r="229" spans="1:26" x14ac:dyDescent="0.25">
      <c r="A229" s="75"/>
      <c r="B229" s="333"/>
      <c r="C229" s="333"/>
      <c r="D229" s="333"/>
      <c r="E229" s="333"/>
      <c r="F229" s="333"/>
      <c r="G229" s="333"/>
      <c r="H229" s="333"/>
      <c r="I229" s="333"/>
      <c r="J229" s="333"/>
      <c r="K229" s="333"/>
      <c r="L229" s="333"/>
      <c r="M229" s="333"/>
      <c r="N229" s="333"/>
      <c r="O229" s="333"/>
      <c r="P229" s="333"/>
      <c r="Q229" s="333"/>
      <c r="R229" s="333"/>
      <c r="S229" s="333"/>
      <c r="T229" s="333"/>
      <c r="U229" s="333"/>
      <c r="V229" s="333"/>
      <c r="W229" s="333"/>
      <c r="X229" s="333"/>
      <c r="Y229" s="422"/>
      <c r="Z229" s="422"/>
    </row>
    <row r="230" spans="1:26" x14ac:dyDescent="0.25">
      <c r="A230" s="75"/>
      <c r="B230" s="333"/>
      <c r="C230" s="333"/>
      <c r="D230" s="333"/>
      <c r="E230" s="333"/>
      <c r="F230" s="333"/>
      <c r="G230" s="333"/>
      <c r="H230" s="333"/>
      <c r="I230" s="333"/>
      <c r="J230" s="333"/>
      <c r="K230" s="333"/>
      <c r="L230" s="333"/>
      <c r="M230" s="333"/>
      <c r="N230" s="333"/>
      <c r="O230" s="333"/>
      <c r="P230" s="333"/>
      <c r="Q230" s="333"/>
      <c r="R230" s="333"/>
      <c r="S230" s="333"/>
      <c r="T230" s="333"/>
      <c r="U230" s="333"/>
      <c r="V230" s="333"/>
      <c r="W230" s="333"/>
      <c r="X230" s="333"/>
      <c r="Y230" s="422"/>
      <c r="Z230" s="422"/>
    </row>
    <row r="231" spans="1:26" x14ac:dyDescent="0.25">
      <c r="A231" s="75"/>
      <c r="B231" s="333"/>
      <c r="C231" s="333"/>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422"/>
      <c r="Z231" s="422"/>
    </row>
    <row r="232" spans="1:26" x14ac:dyDescent="0.25">
      <c r="A232" s="75"/>
      <c r="B232" s="333"/>
      <c r="C232" s="333"/>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422"/>
      <c r="Z232" s="422"/>
    </row>
    <row r="233" spans="1:26" x14ac:dyDescent="0.25">
      <c r="A233" s="75"/>
      <c r="B233" s="333"/>
      <c r="C233" s="333"/>
      <c r="D233" s="333"/>
      <c r="E233" s="333"/>
      <c r="F233" s="333"/>
      <c r="G233" s="333"/>
      <c r="H233" s="333"/>
      <c r="I233" s="333"/>
      <c r="J233" s="333"/>
      <c r="K233" s="333"/>
      <c r="L233" s="333"/>
      <c r="M233" s="333"/>
      <c r="N233" s="333"/>
      <c r="O233" s="333"/>
      <c r="P233" s="333"/>
      <c r="Q233" s="333"/>
      <c r="R233" s="333"/>
      <c r="S233" s="333"/>
      <c r="T233" s="333"/>
      <c r="U233" s="333"/>
      <c r="V233" s="333"/>
      <c r="W233" s="333"/>
      <c r="X233" s="333"/>
      <c r="Y233" s="422"/>
      <c r="Z233" s="422"/>
    </row>
    <row r="234" spans="1:26" x14ac:dyDescent="0.25">
      <c r="A234" s="75"/>
      <c r="B234" s="333"/>
      <c r="C234" s="333"/>
      <c r="D234" s="333"/>
      <c r="E234" s="333"/>
      <c r="F234" s="333"/>
      <c r="G234" s="333"/>
      <c r="H234" s="333"/>
      <c r="I234" s="333"/>
      <c r="J234" s="333"/>
      <c r="K234" s="333"/>
      <c r="L234" s="333"/>
      <c r="M234" s="333"/>
      <c r="N234" s="333"/>
      <c r="O234" s="333"/>
      <c r="P234" s="333"/>
      <c r="Q234" s="333"/>
      <c r="R234" s="333"/>
      <c r="S234" s="333"/>
      <c r="T234" s="333"/>
      <c r="U234" s="333"/>
      <c r="V234" s="333"/>
      <c r="W234" s="333"/>
      <c r="X234" s="333"/>
      <c r="Y234" s="422"/>
      <c r="Z234" s="422"/>
    </row>
    <row r="235" spans="1:26" x14ac:dyDescent="0.25">
      <c r="A235" s="75"/>
      <c r="B235" s="333"/>
      <c r="C235" s="333"/>
      <c r="D235" s="333"/>
      <c r="E235" s="333"/>
      <c r="F235" s="333"/>
      <c r="G235" s="333"/>
      <c r="H235" s="333"/>
      <c r="I235" s="333"/>
      <c r="J235" s="333"/>
      <c r="K235" s="333"/>
      <c r="L235" s="333"/>
      <c r="M235" s="333"/>
      <c r="N235" s="333"/>
      <c r="O235" s="333"/>
      <c r="P235" s="333"/>
      <c r="Q235" s="333"/>
      <c r="R235" s="333"/>
      <c r="S235" s="333"/>
      <c r="T235" s="333"/>
      <c r="U235" s="333"/>
      <c r="V235" s="333"/>
      <c r="W235" s="333"/>
      <c r="X235" s="333"/>
      <c r="Y235" s="422"/>
      <c r="Z235" s="422"/>
    </row>
    <row r="236" spans="1:26" x14ac:dyDescent="0.25">
      <c r="A236" s="75"/>
      <c r="B236" s="333"/>
      <c r="C236" s="333"/>
      <c r="D236" s="333"/>
      <c r="E236" s="333"/>
      <c r="F236" s="333"/>
      <c r="G236" s="333"/>
      <c r="H236" s="333"/>
      <c r="I236" s="333"/>
      <c r="J236" s="333"/>
      <c r="K236" s="333"/>
      <c r="L236" s="333"/>
      <c r="M236" s="333"/>
      <c r="N236" s="333"/>
      <c r="O236" s="333"/>
      <c r="P236" s="333"/>
      <c r="Q236" s="333"/>
      <c r="R236" s="333"/>
      <c r="S236" s="333"/>
      <c r="T236" s="333"/>
      <c r="U236" s="333"/>
      <c r="V236" s="333"/>
      <c r="W236" s="333"/>
      <c r="X236" s="333"/>
      <c r="Y236" s="422"/>
      <c r="Z236" s="422"/>
    </row>
    <row r="237" spans="1:26" x14ac:dyDescent="0.25">
      <c r="A237" s="75"/>
      <c r="B237" s="333"/>
      <c r="C237" s="333"/>
      <c r="D237" s="333"/>
      <c r="E237" s="333"/>
      <c r="F237" s="333"/>
      <c r="G237" s="333"/>
      <c r="H237" s="333"/>
      <c r="I237" s="333"/>
      <c r="J237" s="333"/>
      <c r="K237" s="333"/>
      <c r="L237" s="333"/>
      <c r="M237" s="333"/>
      <c r="N237" s="333"/>
      <c r="O237" s="333"/>
      <c r="P237" s="333"/>
      <c r="Q237" s="333"/>
      <c r="R237" s="333"/>
      <c r="S237" s="333"/>
      <c r="T237" s="333"/>
      <c r="U237" s="333"/>
      <c r="V237" s="333"/>
      <c r="W237" s="333"/>
      <c r="X237" s="333"/>
      <c r="Y237" s="422"/>
      <c r="Z237" s="422"/>
    </row>
    <row r="238" spans="1:26" x14ac:dyDescent="0.25">
      <c r="A238" s="75"/>
      <c r="B238" s="333"/>
      <c r="C238" s="333"/>
      <c r="D238" s="333"/>
      <c r="E238" s="333"/>
      <c r="F238" s="333"/>
      <c r="G238" s="333"/>
      <c r="H238" s="333"/>
      <c r="I238" s="333"/>
      <c r="J238" s="333"/>
      <c r="K238" s="333"/>
      <c r="L238" s="333"/>
      <c r="M238" s="333"/>
      <c r="N238" s="333"/>
      <c r="O238" s="333"/>
      <c r="P238" s="333"/>
      <c r="Q238" s="333"/>
      <c r="R238" s="333"/>
      <c r="S238" s="333"/>
      <c r="T238" s="333"/>
      <c r="U238" s="333"/>
      <c r="V238" s="333"/>
      <c r="W238" s="333"/>
      <c r="X238" s="333"/>
      <c r="Y238" s="422"/>
      <c r="Z238" s="422"/>
    </row>
    <row r="239" spans="1:26" x14ac:dyDescent="0.25">
      <c r="A239" s="75"/>
      <c r="B239" s="333"/>
      <c r="C239" s="333"/>
      <c r="D239" s="333"/>
      <c r="E239" s="333"/>
      <c r="F239" s="333"/>
      <c r="G239" s="333"/>
      <c r="H239" s="333"/>
      <c r="I239" s="333"/>
      <c r="J239" s="333"/>
      <c r="K239" s="333"/>
      <c r="L239" s="333"/>
      <c r="M239" s="333"/>
      <c r="N239" s="333"/>
      <c r="O239" s="333"/>
      <c r="P239" s="333"/>
      <c r="Q239" s="333"/>
      <c r="R239" s="333"/>
      <c r="S239" s="333"/>
      <c r="T239" s="333"/>
      <c r="U239" s="333"/>
      <c r="V239" s="333"/>
      <c r="W239" s="333"/>
      <c r="X239" s="333"/>
      <c r="Y239" s="422"/>
      <c r="Z239" s="422"/>
    </row>
    <row r="240" spans="1:26" x14ac:dyDescent="0.25">
      <c r="A240" s="75"/>
      <c r="B240" s="333"/>
      <c r="C240" s="333"/>
      <c r="D240" s="333"/>
      <c r="E240" s="333"/>
      <c r="F240" s="333"/>
      <c r="G240" s="333"/>
      <c r="H240" s="333"/>
      <c r="I240" s="333"/>
      <c r="J240" s="333"/>
      <c r="K240" s="333"/>
      <c r="L240" s="333"/>
      <c r="M240" s="333"/>
      <c r="N240" s="333"/>
      <c r="O240" s="333"/>
      <c r="P240" s="333"/>
      <c r="Q240" s="333"/>
      <c r="R240" s="333"/>
      <c r="S240" s="333"/>
      <c r="T240" s="333"/>
      <c r="U240" s="333"/>
      <c r="V240" s="333"/>
      <c r="W240" s="333"/>
      <c r="X240" s="333"/>
      <c r="Y240" s="422"/>
      <c r="Z240" s="422"/>
    </row>
    <row r="241" spans="1:26" x14ac:dyDescent="0.25">
      <c r="A241" s="75"/>
      <c r="B241" s="333"/>
      <c r="C241" s="333"/>
      <c r="D241" s="333"/>
      <c r="E241" s="333"/>
      <c r="F241" s="333"/>
      <c r="G241" s="333"/>
      <c r="H241" s="333"/>
      <c r="I241" s="333"/>
      <c r="J241" s="333"/>
      <c r="K241" s="333"/>
      <c r="L241" s="333"/>
      <c r="M241" s="333"/>
      <c r="N241" s="333"/>
      <c r="O241" s="333"/>
      <c r="P241" s="333"/>
      <c r="Q241" s="333"/>
      <c r="R241" s="333"/>
      <c r="S241" s="333"/>
      <c r="T241" s="333"/>
      <c r="U241" s="333"/>
      <c r="V241" s="333"/>
      <c r="W241" s="333"/>
      <c r="X241" s="333"/>
      <c r="Y241" s="422"/>
      <c r="Z241" s="422"/>
    </row>
    <row r="242" spans="1:26" x14ac:dyDescent="0.25">
      <c r="A242" s="75"/>
      <c r="B242" s="333"/>
      <c r="C242" s="333"/>
      <c r="D242" s="333"/>
      <c r="E242" s="333"/>
      <c r="F242" s="333"/>
      <c r="G242" s="333"/>
      <c r="H242" s="333"/>
      <c r="I242" s="333"/>
      <c r="J242" s="333"/>
      <c r="K242" s="333"/>
      <c r="L242" s="333"/>
      <c r="M242" s="333"/>
      <c r="N242" s="333"/>
      <c r="O242" s="333"/>
      <c r="P242" s="333"/>
      <c r="Q242" s="333"/>
      <c r="R242" s="333"/>
      <c r="S242" s="333"/>
      <c r="T242" s="333"/>
      <c r="U242" s="333"/>
      <c r="V242" s="333"/>
      <c r="W242" s="333"/>
      <c r="X242" s="333"/>
      <c r="Y242" s="422"/>
      <c r="Z242" s="422"/>
    </row>
    <row r="243" spans="1:26" x14ac:dyDescent="0.25">
      <c r="A243" s="75"/>
      <c r="B243" s="333"/>
      <c r="C243" s="333"/>
      <c r="D243" s="333"/>
      <c r="E243" s="333"/>
      <c r="F243" s="333"/>
      <c r="G243" s="333"/>
      <c r="H243" s="333"/>
      <c r="I243" s="333"/>
      <c r="J243" s="333"/>
      <c r="K243" s="333"/>
      <c r="L243" s="333"/>
      <c r="M243" s="333"/>
      <c r="N243" s="333"/>
      <c r="O243" s="333"/>
      <c r="P243" s="333"/>
      <c r="Q243" s="333"/>
      <c r="R243" s="333"/>
      <c r="S243" s="333"/>
      <c r="T243" s="333"/>
      <c r="U243" s="333"/>
      <c r="V243" s="333"/>
      <c r="W243" s="333"/>
      <c r="X243" s="333"/>
      <c r="Y243" s="422"/>
      <c r="Z243" s="422"/>
    </row>
    <row r="244" spans="1:26" x14ac:dyDescent="0.25">
      <c r="A244" s="75"/>
      <c r="B244" s="333"/>
      <c r="C244" s="333"/>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422"/>
      <c r="Z244" s="422"/>
    </row>
    <row r="245" spans="1:26" x14ac:dyDescent="0.25">
      <c r="A245" s="75"/>
      <c r="B245" s="333"/>
      <c r="C245" s="333"/>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422"/>
      <c r="Z245" s="422"/>
    </row>
    <row r="246" spans="1:26" x14ac:dyDescent="0.25">
      <c r="A246" s="75"/>
      <c r="B246" s="333"/>
      <c r="C246" s="333"/>
      <c r="D246" s="333"/>
      <c r="E246" s="333"/>
      <c r="F246" s="333"/>
      <c r="G246" s="333"/>
      <c r="H246" s="333"/>
      <c r="I246" s="333"/>
      <c r="J246" s="333"/>
      <c r="K246" s="333"/>
      <c r="L246" s="333"/>
      <c r="M246" s="333"/>
      <c r="N246" s="333"/>
      <c r="O246" s="333"/>
      <c r="P246" s="333"/>
      <c r="Q246" s="333"/>
      <c r="R246" s="333"/>
      <c r="S246" s="333"/>
      <c r="T246" s="333"/>
      <c r="U246" s="333"/>
      <c r="V246" s="333"/>
      <c r="W246" s="333"/>
      <c r="X246" s="333"/>
      <c r="Y246" s="422"/>
      <c r="Z246" s="422"/>
    </row>
    <row r="247" spans="1:26" x14ac:dyDescent="0.25">
      <c r="A247" s="75"/>
      <c r="B247" s="333"/>
      <c r="C247" s="333"/>
      <c r="D247" s="333"/>
      <c r="E247" s="333"/>
      <c r="F247" s="333"/>
      <c r="G247" s="333"/>
      <c r="H247" s="333"/>
      <c r="I247" s="333"/>
      <c r="J247" s="333"/>
      <c r="K247" s="333"/>
      <c r="L247" s="333"/>
      <c r="M247" s="333"/>
      <c r="N247" s="333"/>
      <c r="O247" s="333"/>
      <c r="P247" s="333"/>
      <c r="Q247" s="333"/>
      <c r="R247" s="333"/>
      <c r="S247" s="333"/>
      <c r="T247" s="333"/>
      <c r="U247" s="333"/>
      <c r="V247" s="333"/>
      <c r="W247" s="333"/>
      <c r="X247" s="333"/>
      <c r="Y247" s="422"/>
      <c r="Z247" s="422"/>
    </row>
    <row r="248" spans="1:26" x14ac:dyDescent="0.25">
      <c r="A248" s="75"/>
      <c r="B248" s="333"/>
      <c r="C248" s="333"/>
      <c r="D248" s="333"/>
      <c r="E248" s="333"/>
      <c r="F248" s="333"/>
      <c r="G248" s="333"/>
      <c r="H248" s="333"/>
      <c r="I248" s="333"/>
      <c r="J248" s="333"/>
      <c r="K248" s="333"/>
      <c r="L248" s="333"/>
      <c r="M248" s="333"/>
      <c r="N248" s="333"/>
      <c r="O248" s="333"/>
      <c r="P248" s="333"/>
      <c r="Q248" s="333"/>
      <c r="R248" s="333"/>
      <c r="S248" s="333"/>
      <c r="T248" s="333"/>
      <c r="U248" s="333"/>
      <c r="V248" s="333"/>
      <c r="W248" s="333"/>
      <c r="X248" s="333"/>
      <c r="Y248" s="422"/>
      <c r="Z248" s="422"/>
    </row>
    <row r="249" spans="1:26" x14ac:dyDescent="0.25">
      <c r="A249" s="75"/>
      <c r="B249" s="333"/>
      <c r="C249" s="333"/>
      <c r="D249" s="333"/>
      <c r="E249" s="333"/>
      <c r="F249" s="333"/>
      <c r="G249" s="333"/>
      <c r="H249" s="333"/>
      <c r="I249" s="333"/>
      <c r="J249" s="333"/>
      <c r="K249" s="333"/>
      <c r="L249" s="333"/>
      <c r="M249" s="333"/>
      <c r="N249" s="333"/>
      <c r="O249" s="333"/>
      <c r="P249" s="333"/>
      <c r="Q249" s="333"/>
      <c r="R249" s="333"/>
      <c r="S249" s="333"/>
      <c r="T249" s="333"/>
      <c r="U249" s="333"/>
      <c r="V249" s="333"/>
      <c r="W249" s="333"/>
      <c r="X249" s="333"/>
      <c r="Y249" s="422"/>
      <c r="Z249" s="422"/>
    </row>
    <row r="250" spans="1:26" x14ac:dyDescent="0.25">
      <c r="A250" s="75"/>
      <c r="B250" s="333"/>
      <c r="C250" s="333"/>
      <c r="D250" s="333"/>
      <c r="E250" s="333"/>
      <c r="F250" s="333"/>
      <c r="G250" s="333"/>
      <c r="H250" s="333"/>
      <c r="I250" s="333"/>
      <c r="J250" s="333"/>
      <c r="K250" s="333"/>
      <c r="L250" s="333"/>
      <c r="M250" s="333"/>
      <c r="N250" s="333"/>
      <c r="O250" s="333"/>
      <c r="P250" s="333"/>
      <c r="Q250" s="333"/>
      <c r="R250" s="333"/>
      <c r="S250" s="333"/>
      <c r="T250" s="333"/>
      <c r="U250" s="333"/>
      <c r="V250" s="333"/>
      <c r="W250" s="333"/>
      <c r="X250" s="333"/>
      <c r="Y250" s="422"/>
      <c r="Z250" s="422"/>
    </row>
    <row r="251" spans="1:26" x14ac:dyDescent="0.25">
      <c r="A251" s="75"/>
      <c r="B251" s="333"/>
      <c r="C251" s="333"/>
      <c r="D251" s="333"/>
      <c r="E251" s="333"/>
      <c r="F251" s="333"/>
      <c r="G251" s="333"/>
      <c r="H251" s="333"/>
      <c r="I251" s="333"/>
      <c r="J251" s="333"/>
      <c r="K251" s="333"/>
      <c r="L251" s="333"/>
      <c r="M251" s="333"/>
      <c r="N251" s="333"/>
      <c r="O251" s="333"/>
      <c r="P251" s="333"/>
      <c r="Q251" s="333"/>
      <c r="R251" s="333"/>
      <c r="S251" s="333"/>
      <c r="T251" s="333"/>
      <c r="U251" s="333"/>
      <c r="V251" s="333"/>
      <c r="W251" s="333"/>
      <c r="X251" s="333"/>
      <c r="Y251" s="422"/>
      <c r="Z251" s="422"/>
    </row>
    <row r="252" spans="1:26" x14ac:dyDescent="0.25">
      <c r="A252" s="75"/>
      <c r="B252" s="333"/>
      <c r="C252" s="333"/>
      <c r="D252" s="333"/>
      <c r="E252" s="333"/>
      <c r="F252" s="333"/>
      <c r="G252" s="333"/>
      <c r="H252" s="333"/>
      <c r="I252" s="333"/>
      <c r="J252" s="333"/>
      <c r="K252" s="333"/>
      <c r="L252" s="333"/>
      <c r="M252" s="333"/>
      <c r="N252" s="333"/>
      <c r="O252" s="333"/>
      <c r="P252" s="333"/>
      <c r="Q252" s="333"/>
      <c r="R252" s="333"/>
      <c r="S252" s="333"/>
      <c r="T252" s="333"/>
      <c r="U252" s="333"/>
      <c r="V252" s="333"/>
      <c r="W252" s="333"/>
      <c r="X252" s="333"/>
      <c r="Y252" s="422"/>
      <c r="Z252" s="422"/>
    </row>
    <row r="253" spans="1:26" x14ac:dyDescent="0.25">
      <c r="A253" s="75"/>
      <c r="B253" s="333"/>
      <c r="C253" s="333"/>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422"/>
      <c r="Z253" s="422"/>
    </row>
    <row r="254" spans="1:26" x14ac:dyDescent="0.25">
      <c r="A254" s="75"/>
      <c r="B254" s="333"/>
      <c r="C254" s="333"/>
      <c r="D254" s="333"/>
      <c r="E254" s="333"/>
      <c r="F254" s="333"/>
      <c r="G254" s="333"/>
      <c r="H254" s="333"/>
      <c r="I254" s="333"/>
      <c r="J254" s="333"/>
      <c r="K254" s="333"/>
      <c r="L254" s="333"/>
      <c r="M254" s="333"/>
      <c r="N254" s="333"/>
      <c r="O254" s="333"/>
      <c r="P254" s="333"/>
      <c r="Q254" s="333"/>
      <c r="R254" s="333"/>
      <c r="S254" s="333"/>
      <c r="T254" s="333"/>
      <c r="U254" s="333"/>
      <c r="V254" s="333"/>
      <c r="W254" s="333"/>
      <c r="X254" s="333"/>
      <c r="Y254" s="422"/>
      <c r="Z254" s="422"/>
    </row>
    <row r="255" spans="1:26" x14ac:dyDescent="0.25">
      <c r="A255" s="75"/>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422"/>
      <c r="Z255" s="422"/>
    </row>
    <row r="256" spans="1:26" ht="20.5" x14ac:dyDescent="0.45">
      <c r="A256" s="75"/>
      <c r="B256" s="333"/>
      <c r="C256" s="580" t="s">
        <v>551</v>
      </c>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422"/>
      <c r="Z256" s="422"/>
    </row>
    <row r="257" spans="1:26" x14ac:dyDescent="0.25">
      <c r="A257" s="75"/>
      <c r="B257" s="333"/>
      <c r="C257" s="333"/>
      <c r="D257" s="333"/>
      <c r="E257" s="333"/>
      <c r="F257" s="333"/>
      <c r="G257" s="333"/>
      <c r="H257" s="333"/>
      <c r="I257" s="333"/>
      <c r="J257" s="333"/>
      <c r="K257" s="333"/>
      <c r="L257" s="333"/>
      <c r="M257" s="333"/>
      <c r="N257" s="333"/>
      <c r="O257" s="333"/>
      <c r="P257" s="333"/>
      <c r="Q257" s="333"/>
      <c r="R257" s="333"/>
      <c r="S257" s="333"/>
      <c r="T257" s="333"/>
      <c r="U257" s="333"/>
      <c r="V257" s="333"/>
      <c r="W257" s="333"/>
      <c r="X257" s="333"/>
      <c r="Y257" s="422"/>
      <c r="Z257" s="422"/>
    </row>
    <row r="258" spans="1:26" x14ac:dyDescent="0.25">
      <c r="B258" s="422"/>
      <c r="C258" s="422"/>
      <c r="D258" s="422"/>
      <c r="E258" s="422"/>
      <c r="F258" s="422"/>
      <c r="G258" s="422"/>
      <c r="H258" s="422"/>
      <c r="I258" s="422"/>
      <c r="J258" s="422"/>
      <c r="K258" s="422"/>
      <c r="L258" s="422"/>
      <c r="M258" s="422"/>
      <c r="N258" s="422"/>
      <c r="O258" s="422"/>
      <c r="P258" s="422"/>
      <c r="Q258" s="422"/>
      <c r="R258" s="422"/>
      <c r="S258" s="422"/>
      <c r="T258" s="422"/>
      <c r="U258" s="422"/>
      <c r="V258" s="422"/>
      <c r="W258" s="422"/>
      <c r="X258" s="422"/>
      <c r="Y258" s="422"/>
      <c r="Z258" s="422"/>
    </row>
    <row r="259" spans="1:26" x14ac:dyDescent="0.25">
      <c r="B259" s="422"/>
      <c r="C259" s="422"/>
      <c r="D259" s="422"/>
      <c r="E259" s="422"/>
      <c r="F259" s="422"/>
      <c r="G259" s="422"/>
      <c r="H259" s="422"/>
      <c r="I259" s="422"/>
      <c r="J259" s="422"/>
      <c r="K259" s="422"/>
      <c r="L259" s="422"/>
      <c r="M259" s="422"/>
      <c r="N259" s="422"/>
      <c r="O259" s="422"/>
      <c r="P259" s="422"/>
      <c r="Q259" s="422"/>
      <c r="R259" s="422"/>
      <c r="S259" s="422"/>
      <c r="T259" s="422"/>
      <c r="U259" s="422"/>
      <c r="V259" s="422"/>
      <c r="W259" s="422"/>
      <c r="X259" s="422"/>
      <c r="Y259" s="422"/>
      <c r="Z259" s="422"/>
    </row>
    <row r="260" spans="1:26" x14ac:dyDescent="0.25">
      <c r="B260" s="422"/>
      <c r="C260" s="422"/>
      <c r="D260" s="422"/>
      <c r="E260" s="422"/>
      <c r="F260" s="422"/>
      <c r="G260" s="422"/>
      <c r="H260" s="422"/>
      <c r="I260" s="422"/>
      <c r="J260" s="422"/>
      <c r="K260" s="422"/>
      <c r="L260" s="422"/>
      <c r="M260" s="422"/>
      <c r="N260" s="422"/>
      <c r="O260" s="422"/>
      <c r="P260" s="422"/>
      <c r="Q260" s="422"/>
      <c r="R260" s="422"/>
      <c r="S260" s="422"/>
      <c r="T260" s="422"/>
      <c r="U260" s="422"/>
      <c r="V260" s="422"/>
      <c r="W260" s="422"/>
      <c r="X260" s="422"/>
      <c r="Y260" s="422"/>
      <c r="Z260" s="422"/>
    </row>
    <row r="261" spans="1:26" x14ac:dyDescent="0.25">
      <c r="B261" s="422"/>
      <c r="C261" s="422"/>
      <c r="D261" s="422"/>
      <c r="E261" s="422"/>
      <c r="F261" s="422"/>
      <c r="G261" s="422"/>
      <c r="H261" s="422"/>
      <c r="I261" s="422"/>
      <c r="J261" s="422"/>
      <c r="K261" s="422"/>
      <c r="L261" s="422"/>
      <c r="M261" s="422"/>
      <c r="N261" s="422"/>
      <c r="O261" s="422"/>
      <c r="P261" s="422"/>
      <c r="Q261" s="422"/>
      <c r="R261" s="422"/>
      <c r="S261" s="422"/>
      <c r="T261" s="422"/>
      <c r="U261" s="422"/>
      <c r="V261" s="422"/>
      <c r="W261" s="422"/>
      <c r="X261" s="422"/>
      <c r="Y261" s="422"/>
      <c r="Z261" s="422"/>
    </row>
    <row r="262" spans="1:26" x14ac:dyDescent="0.25">
      <c r="B262" s="422"/>
      <c r="C262" s="422"/>
      <c r="D262" s="422"/>
      <c r="E262" s="422"/>
      <c r="F262" s="422"/>
      <c r="G262" s="422"/>
      <c r="H262" s="422"/>
      <c r="I262" s="422"/>
      <c r="J262" s="422"/>
      <c r="K262" s="422"/>
      <c r="L262" s="422"/>
      <c r="M262" s="422"/>
      <c r="N262" s="422"/>
      <c r="O262" s="422"/>
      <c r="P262" s="422"/>
      <c r="Q262" s="422"/>
      <c r="R262" s="422"/>
      <c r="S262" s="422"/>
      <c r="T262" s="422"/>
      <c r="U262" s="422"/>
      <c r="V262" s="422"/>
      <c r="W262" s="422"/>
      <c r="X262" s="422"/>
      <c r="Y262" s="422"/>
      <c r="Z262" s="422"/>
    </row>
    <row r="263" spans="1:26" x14ac:dyDescent="0.25">
      <c r="B263" s="422"/>
      <c r="C263" s="422"/>
      <c r="D263" s="422"/>
      <c r="E263" s="422"/>
      <c r="F263" s="422"/>
      <c r="G263" s="422"/>
      <c r="H263" s="422"/>
      <c r="I263" s="422"/>
      <c r="J263" s="422"/>
      <c r="K263" s="422"/>
      <c r="L263" s="422"/>
      <c r="M263" s="422"/>
      <c r="N263" s="422"/>
      <c r="O263" s="422"/>
      <c r="P263" s="422"/>
      <c r="Q263" s="422"/>
      <c r="R263" s="422"/>
      <c r="S263" s="422"/>
      <c r="T263" s="422"/>
      <c r="U263" s="422"/>
      <c r="V263" s="422"/>
      <c r="W263" s="422"/>
      <c r="X263" s="422"/>
      <c r="Y263" s="422"/>
      <c r="Z263" s="422"/>
    </row>
    <row r="264" spans="1:26" x14ac:dyDescent="0.25">
      <c r="B264" s="422"/>
      <c r="C264" s="422"/>
      <c r="D264" s="422"/>
      <c r="E264" s="422"/>
      <c r="F264" s="422"/>
      <c r="G264" s="422"/>
      <c r="H264" s="422"/>
      <c r="I264" s="422"/>
      <c r="J264" s="422"/>
      <c r="K264" s="422"/>
      <c r="L264" s="422"/>
      <c r="M264" s="422"/>
      <c r="N264" s="422"/>
      <c r="O264" s="422"/>
      <c r="P264" s="422"/>
      <c r="Q264" s="422"/>
      <c r="R264" s="422"/>
      <c r="S264" s="422"/>
      <c r="T264" s="422"/>
      <c r="U264" s="422"/>
      <c r="V264" s="422"/>
      <c r="W264" s="422"/>
      <c r="X264" s="422"/>
      <c r="Y264" s="422"/>
      <c r="Z264" s="422"/>
    </row>
    <row r="265" spans="1:26" x14ac:dyDescent="0.25">
      <c r="B265" s="422"/>
      <c r="C265" s="422"/>
      <c r="D265" s="422"/>
      <c r="E265" s="422"/>
      <c r="F265" s="422"/>
      <c r="G265" s="422"/>
      <c r="H265" s="422"/>
      <c r="I265" s="422"/>
      <c r="J265" s="422"/>
      <c r="K265" s="422"/>
      <c r="L265" s="422"/>
      <c r="M265" s="422"/>
      <c r="N265" s="422"/>
      <c r="O265" s="422"/>
      <c r="P265" s="422"/>
      <c r="Q265" s="422"/>
      <c r="R265" s="422"/>
      <c r="S265" s="422"/>
      <c r="T265" s="422"/>
      <c r="U265" s="422"/>
      <c r="V265" s="422"/>
      <c r="W265" s="422"/>
      <c r="X265" s="422"/>
      <c r="Y265" s="422"/>
      <c r="Z265" s="422"/>
    </row>
    <row r="266" spans="1:26" x14ac:dyDescent="0.25">
      <c r="B266" s="422"/>
      <c r="C266" s="422"/>
      <c r="D266" s="422"/>
      <c r="E266" s="422"/>
      <c r="F266" s="422"/>
      <c r="G266" s="422"/>
      <c r="H266" s="422"/>
      <c r="I266" s="422"/>
      <c r="J266" s="422"/>
      <c r="K266" s="422"/>
      <c r="L266" s="422"/>
      <c r="M266" s="422"/>
      <c r="N266" s="422"/>
      <c r="O266" s="422"/>
      <c r="P266" s="422"/>
      <c r="Q266" s="422"/>
      <c r="R266" s="422"/>
      <c r="S266" s="422"/>
      <c r="T266" s="422"/>
      <c r="U266" s="422"/>
      <c r="V266" s="422"/>
      <c r="W266" s="422"/>
      <c r="X266" s="422"/>
      <c r="Y266" s="422"/>
      <c r="Z266" s="422"/>
    </row>
    <row r="267" spans="1:26" x14ac:dyDescent="0.25">
      <c r="B267" s="422"/>
      <c r="C267" s="422"/>
      <c r="D267" s="422"/>
      <c r="E267" s="422"/>
      <c r="F267" s="422"/>
      <c r="G267" s="422"/>
      <c r="H267" s="422"/>
      <c r="I267" s="422"/>
      <c r="J267" s="422"/>
      <c r="K267" s="422"/>
      <c r="L267" s="422"/>
      <c r="M267" s="422"/>
      <c r="N267" s="422"/>
      <c r="O267" s="422"/>
      <c r="P267" s="422"/>
      <c r="Q267" s="422"/>
      <c r="R267" s="422"/>
      <c r="S267" s="422"/>
      <c r="T267" s="422"/>
      <c r="U267" s="422"/>
      <c r="V267" s="422"/>
      <c r="W267" s="422"/>
      <c r="X267" s="422"/>
      <c r="Y267" s="422"/>
      <c r="Z267" s="422"/>
    </row>
    <row r="268" spans="1:26" x14ac:dyDescent="0.25">
      <c r="B268" s="422"/>
      <c r="C268" s="422"/>
      <c r="D268" s="422"/>
      <c r="E268" s="422"/>
      <c r="F268" s="422"/>
      <c r="G268" s="422"/>
      <c r="H268" s="422"/>
      <c r="I268" s="422"/>
      <c r="J268" s="422"/>
      <c r="K268" s="422"/>
      <c r="L268" s="422"/>
      <c r="M268" s="422"/>
      <c r="N268" s="422"/>
      <c r="O268" s="422"/>
      <c r="P268" s="422"/>
      <c r="Q268" s="422"/>
      <c r="R268" s="422"/>
      <c r="S268" s="422"/>
      <c r="T268" s="422"/>
      <c r="U268" s="422"/>
      <c r="V268" s="422"/>
      <c r="W268" s="422"/>
      <c r="X268" s="422"/>
      <c r="Y268" s="422"/>
      <c r="Z268" s="422"/>
    </row>
    <row r="269" spans="1:26" x14ac:dyDescent="0.25">
      <c r="B269" s="422"/>
      <c r="C269" s="422"/>
      <c r="D269" s="422"/>
      <c r="E269" s="422"/>
      <c r="F269" s="422"/>
      <c r="G269" s="422"/>
      <c r="H269" s="422"/>
      <c r="I269" s="422"/>
      <c r="J269" s="422"/>
      <c r="K269" s="422"/>
      <c r="L269" s="422"/>
      <c r="M269" s="422"/>
      <c r="N269" s="422"/>
      <c r="O269" s="422"/>
      <c r="P269" s="422"/>
      <c r="Q269" s="422"/>
      <c r="R269" s="422"/>
      <c r="S269" s="422"/>
      <c r="T269" s="422"/>
      <c r="U269" s="422"/>
      <c r="V269" s="422"/>
      <c r="W269" s="422"/>
      <c r="X269" s="422"/>
      <c r="Y269" s="422"/>
      <c r="Z269" s="422"/>
    </row>
    <row r="270" spans="1:26" x14ac:dyDescent="0.25">
      <c r="B270" s="422"/>
      <c r="C270" s="422"/>
      <c r="D270" s="422"/>
      <c r="E270" s="422"/>
      <c r="F270" s="422"/>
      <c r="G270" s="422"/>
      <c r="H270" s="422"/>
      <c r="I270" s="422"/>
      <c r="J270" s="422"/>
      <c r="K270" s="422"/>
      <c r="L270" s="422"/>
      <c r="M270" s="422"/>
      <c r="N270" s="422"/>
      <c r="O270" s="422"/>
      <c r="P270" s="422"/>
      <c r="Q270" s="422"/>
      <c r="R270" s="422"/>
      <c r="S270" s="422"/>
      <c r="T270" s="422"/>
      <c r="U270" s="422"/>
      <c r="V270" s="422"/>
      <c r="W270" s="422"/>
      <c r="X270" s="422"/>
      <c r="Y270" s="422"/>
      <c r="Z270" s="422"/>
    </row>
    <row r="271" spans="1:26" x14ac:dyDescent="0.25">
      <c r="B271" s="422"/>
      <c r="C271" s="422"/>
      <c r="D271" s="422"/>
      <c r="E271" s="422"/>
      <c r="F271" s="422"/>
      <c r="G271" s="422"/>
      <c r="H271" s="422"/>
      <c r="I271" s="422"/>
      <c r="J271" s="422"/>
      <c r="K271" s="422"/>
      <c r="L271" s="422"/>
      <c r="M271" s="422"/>
      <c r="N271" s="422"/>
      <c r="O271" s="422"/>
      <c r="P271" s="422"/>
      <c r="Q271" s="422"/>
      <c r="R271" s="422"/>
      <c r="S271" s="422"/>
      <c r="T271" s="422"/>
      <c r="U271" s="422"/>
      <c r="V271" s="422"/>
      <c r="W271" s="422"/>
      <c r="X271" s="422"/>
      <c r="Y271" s="422"/>
      <c r="Z271" s="422"/>
    </row>
  </sheetData>
  <sheetProtection algorithmName="SHA-512" hashValue="9sIm8cM5AWPJ8/95K/xJha876UuMAw1R6ubcVM0H40TMzAt3DLY0oHqAAJmbjssYou/9uBtjMi5Fht1k4EQ+LA==" saltValue="jEw7N+7bp88sfjUtEQAlyA==" spinCount="100000" sheet="1" objects="1" scenarios="1" selectLockedCells="1"/>
  <pageMargins left="0.25" right="0.25" top="0.75" bottom="0.75" header="0.3" footer="0.3"/>
  <pageSetup paperSize="9" fitToHeight="0" orientation="landscape" r:id="rId1"/>
  <headerFooter alignWithMargins="0"/>
  <rowBreaks count="4" manualBreakCount="4">
    <brk id="52" max="16383" man="1"/>
    <brk id="103" max="16383" man="1"/>
    <brk id="155" max="16383" man="1"/>
    <brk id="20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B7"/>
  <sheetViews>
    <sheetView workbookViewId="0"/>
  </sheetViews>
  <sheetFormatPr defaultColWidth="8.81640625" defaultRowHeight="12.5" x14ac:dyDescent="0.25"/>
  <sheetData>
    <row r="2" spans="1:2" x14ac:dyDescent="0.25">
      <c r="B2" t="s">
        <v>196</v>
      </c>
    </row>
    <row r="4" spans="1:2" x14ac:dyDescent="0.25">
      <c r="A4">
        <v>1</v>
      </c>
      <c r="B4" t="s">
        <v>209</v>
      </c>
    </row>
    <row r="5" spans="1:2" x14ac:dyDescent="0.25">
      <c r="A5">
        <f>A4+1</f>
        <v>2</v>
      </c>
      <c r="B5" t="s">
        <v>210</v>
      </c>
    </row>
    <row r="6" spans="1:2" x14ac:dyDescent="0.25">
      <c r="A6">
        <f>A5+1</f>
        <v>3</v>
      </c>
      <c r="B6" s="118" t="s">
        <v>197</v>
      </c>
    </row>
    <row r="7" spans="1:2" x14ac:dyDescent="0.25">
      <c r="A7">
        <f>A6+1</f>
        <v>4</v>
      </c>
      <c r="B7" s="118"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06f91e7d7ad56d2fefc5c9b87cbf8722">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d222c3222542467da3ee89ec67a3b982"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6a3660c5-15bd-4052-a0a1-6237663b7600</TermId>
        </TermInfo>
      </Terms>
    </n99e4c9942c6404eb103464a00e6097b>
    <adb9bed2e36e4a93af574aeb444da63e xmlns="d064c82f-d8ab-4a3d-94af-5f326bc58d2d">
      <Terms xmlns="http://schemas.microsoft.com/office/infopath/2007/PartnerControls">
        <TermInfo xmlns="http://schemas.microsoft.com/office/infopath/2007/PartnerControls">
          <TermName>Commercial Energy</TermName>
          <TermId>6c123cfe-45e5-49b7-a03d-282e9e70167c</TermId>
        </TermInfo>
        <TermInfo xmlns="http://schemas.microsoft.com/office/infopath/2007/PartnerControls">
          <TermName>Energy efficiency</TermName>
          <TermId>fcd68716-df09-4a75-86b3-e9a20333e4a3</TermId>
        </TermInfo>
        <TermInfo xmlns="http://schemas.microsoft.com/office/infopath/2007/PartnerControls">
          <TermName>calculator</TermName>
          <TermId>6aa63241-acf8-4e37-b4c6-b14d6d7f425a</TermId>
        </TermInfo>
      </Terms>
    </adb9bed2e36e4a93af574aeb444da63e>
    <aa25a1a23adf4c92a153145de6afe324 xmlns="d064c82f-d8ab-4a3d-94af-5f326bc58d2d">
      <Terms xmlns="http://schemas.microsoft.com/office/infopath/2007/PartnerControls">
        <TermInfo xmlns="http://schemas.microsoft.com/office/infopath/2007/PartnerControls">
          <TermName xmlns="http://schemas.microsoft.com/office/infopath/2007/PartnerControls">OFFICIAL:Sensitive</TermName>
          <TermId xmlns="http://schemas.microsoft.com/office/infopath/2007/PartnerControls">11f6fb0b-52ce-4109-8f7f-521b2a62f692</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IconOverlay xmlns="http://schemas.microsoft.com/sharepoint/v4" xsi:nil="true"/>
    <g7bcb40ba23249a78edca7d43a67c1c9 xmlns="d064c82f-d8ab-4a3d-94af-5f326bc58d2d">
      <Terms xmlns="http://schemas.microsoft.com/office/infopath/2007/PartnerControls">
        <TermInfo xmlns="http://schemas.microsoft.com/office/infopath/2007/PartnerControls">
          <TermName xmlns="http://schemas.microsoft.com/office/infopath/2007/PartnerControls">Communication</TermName>
          <TermId xmlns="http://schemas.microsoft.com/office/infopath/2007/PartnerControls">cd41d649-1e1a-44f5-b99b-946d42ce56d6</TermId>
        </TermInfo>
      </Terms>
    </g7bcb40ba23249a78edca7d43a67c1c9>
    <TaxCatchAll xmlns="d064c82f-d8ab-4a3d-94af-5f326bc58d2d">
      <Value>48</Value>
      <Value>31</Value>
      <Value>981</Value>
      <Value>10</Value>
      <Value>40</Value>
      <Value>243</Value>
      <Value>1094</Value>
    </TaxCatchAll>
    <Comments xmlns="http://schemas.microsoft.com/sharepoint/v3">Versoin 3.12. No editing history between version 3.11 and 3.12 as bringing multiple files together.</Comments>
    <_dlc_DocId xmlns="d064c82f-d8ab-4a3d-94af-5f326bc58d2d">WUYEHK7WH6H4-1653706823-823</_dlc_DocId>
    <_dlc_DocIdUrl xmlns="d064c82f-d8ab-4a3d-94af-5f326bc58d2d">
      <Url>https://dochub/div/australianbuildingcodesboard/businessfunctions/resourcelibrary/guidanceandtraining/_layouts/15/DocIdRedir.aspx?ID=WUYEHK7WH6H4-1653706823-823</Url>
      <Description>WUYEHK7WH6H4-1653706823-823</Description>
    </_dlc_DocIdUrl>
  </documentManagement>
</p:properties>
</file>

<file path=customXml/itemProps1.xml><?xml version="1.0" encoding="utf-8"?>
<ds:datastoreItem xmlns:ds="http://schemas.openxmlformats.org/officeDocument/2006/customXml" ds:itemID="{3E4BBA17-283E-4333-86C0-3900FD40DE83}">
  <ds:schemaRefs>
    <ds:schemaRef ds:uri="http://schemas.microsoft.com/sharepoint/v3/contenttype/forms"/>
  </ds:schemaRefs>
</ds:datastoreItem>
</file>

<file path=customXml/itemProps2.xml><?xml version="1.0" encoding="utf-8"?>
<ds:datastoreItem xmlns:ds="http://schemas.openxmlformats.org/officeDocument/2006/customXml" ds:itemID="{351F8EC9-AA88-4B45-94C1-110CFA496E4E}">
  <ds:schemaRefs>
    <ds:schemaRef ds:uri="http://schemas.microsoft.com/sharepoint/events"/>
  </ds:schemaRefs>
</ds:datastoreItem>
</file>

<file path=customXml/itemProps3.xml><?xml version="1.0" encoding="utf-8"?>
<ds:datastoreItem xmlns:ds="http://schemas.openxmlformats.org/officeDocument/2006/customXml" ds:itemID="{98B2A4C5-5F7A-47F7-A330-9418925C54AA}"/>
</file>

<file path=customXml/itemProps4.xml><?xml version="1.0" encoding="utf-8"?>
<ds:datastoreItem xmlns:ds="http://schemas.openxmlformats.org/officeDocument/2006/customXml" ds:itemID="{095AFDF5-1E68-46BA-867F-A396BFC0D558}">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microsoft.com/sharepoint/v4"/>
    <ds:schemaRef ds:uri="http://purl.org/dc/terms/"/>
    <ds:schemaRef ds:uri="http://schemas.openxmlformats.org/package/2006/metadata/core-properties"/>
    <ds:schemaRef ds:uri="http://purl.org/dc/dcmitype/"/>
    <ds:schemaRef ds:uri="d064c82f-d8ab-4a3d-94af-5f326bc58d2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111</vt:i4>
      </vt:variant>
    </vt:vector>
  </HeadingPairs>
  <TitlesOfParts>
    <vt:vector size="120" baseType="lpstr">
      <vt:lpstr>Main Menu</vt:lpstr>
      <vt:lpstr>Help</vt:lpstr>
      <vt:lpstr>Class 2 and 4</vt:lpstr>
      <vt:lpstr>Class 3, 5-9</vt:lpstr>
      <vt:lpstr>Adjustment factors</vt:lpstr>
      <vt:lpstr>Multiple Lighting Systems</vt:lpstr>
      <vt:lpstr>Worksheet</vt:lpstr>
      <vt:lpstr>Screenshots</vt:lpstr>
      <vt:lpstr>2003 v 2007 Mods</vt:lpstr>
      <vt:lpstr>ADIPLbalc</vt:lpstr>
      <vt:lpstr>ADIPLClass1</vt:lpstr>
      <vt:lpstr>ADIPLClass10</vt:lpstr>
      <vt:lpstr>'Class 2 and 4'!ADIPLone</vt:lpstr>
      <vt:lpstr>ADIPLone</vt:lpstr>
      <vt:lpstr>'Class 2 and 4'!Adjfactors</vt:lpstr>
      <vt:lpstr>Adjfactors01</vt:lpstr>
      <vt:lpstr>'Class 2 and 4'!Adjfactors1</vt:lpstr>
      <vt:lpstr>Adjfactors1</vt:lpstr>
      <vt:lpstr>Afactors</vt:lpstr>
      <vt:lpstr>AfactorsTwo</vt:lpstr>
      <vt:lpstr>Allinputsokres</vt:lpstr>
      <vt:lpstr>AveADIPL</vt:lpstr>
      <vt:lpstr>Balconytrue</vt:lpstr>
      <vt:lpstr>Class_3_9a_9c_List</vt:lpstr>
      <vt:lpstr>Class_5_to_9b_List</vt:lpstr>
      <vt:lpstr>Class2</vt:lpstr>
      <vt:lpstr>Class4</vt:lpstr>
      <vt:lpstr>ClassificationOne</vt:lpstr>
      <vt:lpstr>ClassificationTwo</vt:lpstr>
      <vt:lpstr>Corridors.</vt:lpstr>
      <vt:lpstr>'Class 2 and 4'!Criteria</vt:lpstr>
      <vt:lpstr>'Class 3, 5-9'!Criteria</vt:lpstr>
      <vt:lpstr>DescriptionOne</vt:lpstr>
      <vt:lpstr>DescriptionTwo</vt:lpstr>
      <vt:lpstr>DynamicDim</vt:lpstr>
      <vt:lpstr>DynamicdimmingJ</vt:lpstr>
      <vt:lpstr>eNA</vt:lpstr>
      <vt:lpstr>FailBalcony</vt:lpstr>
      <vt:lpstr>FailCheck</vt:lpstr>
      <vt:lpstr>FailClass1</vt:lpstr>
      <vt:lpstr>FailClass10</vt:lpstr>
      <vt:lpstr>FailCom</vt:lpstr>
      <vt:lpstr>FailRes</vt:lpstr>
      <vt:lpstr>firstinputsres</vt:lpstr>
      <vt:lpstr>FixedDim</vt:lpstr>
      <vt:lpstr>Fixeddimming</vt:lpstr>
      <vt:lpstr>fNA</vt:lpstr>
      <vt:lpstr>GeneralAdviceOne</vt:lpstr>
      <vt:lpstr>GeneralAdviceTwo</vt:lpstr>
      <vt:lpstr>InputIssuesOne</vt:lpstr>
      <vt:lpstr>InputIssuesTwo</vt:lpstr>
      <vt:lpstr>jNA</vt:lpstr>
      <vt:lpstr>'Class 2 and 4'!LocationLimitsTwo</vt:lpstr>
      <vt:lpstr>ManualDime</vt:lpstr>
      <vt:lpstr>ManualDimf</vt:lpstr>
      <vt:lpstr>MIPDLbalc</vt:lpstr>
      <vt:lpstr>MIPDLClass1</vt:lpstr>
      <vt:lpstr>MIPDLClass10</vt:lpstr>
      <vt:lpstr>'Class 2 and 4'!MIPDLONE</vt:lpstr>
      <vt:lpstr>MIPDLONE</vt:lpstr>
      <vt:lpstr>Onevalueinvalid</vt:lpstr>
      <vt:lpstr>PassBalcony</vt:lpstr>
      <vt:lpstr>Passcheck</vt:lpstr>
      <vt:lpstr>PassClass1</vt:lpstr>
      <vt:lpstr>PassClass10</vt:lpstr>
      <vt:lpstr>PassCom</vt:lpstr>
      <vt:lpstr>PassRes</vt:lpstr>
      <vt:lpstr>Percent1</vt:lpstr>
      <vt:lpstr>Percent10</vt:lpstr>
      <vt:lpstr>percentage</vt:lpstr>
      <vt:lpstr>Percentageofallowance</vt:lpstr>
      <vt:lpstr>PercentBalcony</vt:lpstr>
      <vt:lpstr>PrecisionTwo</vt:lpstr>
      <vt:lpstr>'Adjustment factors'!Print_Area</vt:lpstr>
      <vt:lpstr>'Class 2 and 4'!Print_Area</vt:lpstr>
      <vt:lpstr>'Class 3, 5-9'!Print_Area</vt:lpstr>
      <vt:lpstr>Help!Print_Area</vt:lpstr>
      <vt:lpstr>'Main Menu'!Print_Area</vt:lpstr>
      <vt:lpstr>'Multiple Lighting Systems'!Print_Area</vt:lpstr>
      <vt:lpstr>Screenshots!Print_Area</vt:lpstr>
      <vt:lpstr>Worksheet!Print_Area</vt:lpstr>
      <vt:lpstr>'Class 2 and 4'!Print_Titles</vt:lpstr>
      <vt:lpstr>'Class 3, 5-9'!Print_Titles</vt:lpstr>
      <vt:lpstr>ProgDim</vt:lpstr>
      <vt:lpstr>ResAdjustfactor01</vt:lpstr>
      <vt:lpstr>ResClassifications</vt:lpstr>
      <vt:lpstr>resdynamicdimmingk</vt:lpstr>
      <vt:lpstr>resFixeddimming</vt:lpstr>
      <vt:lpstr>RowsFilledOne</vt:lpstr>
      <vt:lpstr>RowsFilledTwo</vt:lpstr>
      <vt:lpstr>RowsPreferredOne</vt:lpstr>
      <vt:lpstr>RowsPreferredTwo</vt:lpstr>
      <vt:lpstr>RowsShownOne</vt:lpstr>
      <vt:lpstr>RowsShownTwo</vt:lpstr>
      <vt:lpstr>Screenshot1</vt:lpstr>
      <vt:lpstr>Screenshot2</vt:lpstr>
      <vt:lpstr>Screenshot3</vt:lpstr>
      <vt:lpstr>Screenshot4</vt:lpstr>
      <vt:lpstr>'Class 2 and 4'!ShowPass</vt:lpstr>
      <vt:lpstr>ShowPass</vt:lpstr>
      <vt:lpstr>'Class 2 and 4'!SpacenameS1</vt:lpstr>
      <vt:lpstr>SpaceS1</vt:lpstr>
      <vt:lpstr>SpacesActiveTwo</vt:lpstr>
      <vt:lpstr>TopInputsOKOne</vt:lpstr>
      <vt:lpstr>TopInputsOKTwo</vt:lpstr>
      <vt:lpstr>TotalAllowBalc</vt:lpstr>
      <vt:lpstr>TotalAllowClass1</vt:lpstr>
      <vt:lpstr>TotalAllowClass10</vt:lpstr>
      <vt:lpstr>TypeofSpaceres</vt:lpstr>
      <vt:lpstr>V2FixedDim</vt:lpstr>
      <vt:lpstr>V2LumenDepFactor</vt:lpstr>
      <vt:lpstr>V2ManualDim</vt:lpstr>
      <vt:lpstr>V2ProgDim</vt:lpstr>
      <vt:lpstr>ValidControlsAll</vt:lpstr>
      <vt:lpstr>ValidControlsPart</vt:lpstr>
      <vt:lpstr>ValidControlsRes</vt:lpstr>
      <vt:lpstr>ValidControlsResParts</vt:lpstr>
      <vt:lpstr>ValidLocationsOne</vt:lpstr>
      <vt:lpstr>'Class 2 and 4'!VisibleFailures</vt:lpstr>
      <vt:lpstr>VisibleFailures</vt:lpstr>
    </vt:vector>
  </TitlesOfParts>
  <Company>ABCB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ABCB Lighting Calculator</dc:title>
  <dc:subject>Lighting</dc:subject>
  <dc:creator>ABCB</dc:creator>
  <cp:lastModifiedBy>Armstrong, Alexander</cp:lastModifiedBy>
  <cp:lastPrinted>2019-07-05T04:10:37Z</cp:lastPrinted>
  <dcterms:created xsi:type="dcterms:W3CDTF">2008-03-25T02:44:47Z</dcterms:created>
  <dcterms:modified xsi:type="dcterms:W3CDTF">2022-06-10T04:23:03Z</dcterms:modified>
  <cp:category>Calculators and Tools</cp:category>
  <cp:contentStatus>Current as at 2014</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_dlc_DocIdItemGuid">
    <vt:lpwstr>4c58a06c-8add-4ef3-8a0b-b1e819d33a65</vt:lpwstr>
  </property>
  <property fmtid="{D5CDD505-2E9C-101B-9397-08002B2CF9AE}" pid="4" name="DocHub_Year">
    <vt:lpwstr>1094;#2020|6a3660c5-15bd-4052-a0a1-6237663b7600</vt:lpwstr>
  </property>
  <property fmtid="{D5CDD505-2E9C-101B-9397-08002B2CF9AE}" pid="5" name="DocHub_DocumentType">
    <vt:lpwstr>40;#Tool|583238a4-4987-4992-ad5d-7e2312842cf7</vt:lpwstr>
  </property>
  <property fmtid="{D5CDD505-2E9C-101B-9397-08002B2CF9AE}" pid="6" name="DocHub_SecurityClassification">
    <vt:lpwstr>48;#OFFICIAL:Sensitive|11f6fb0b-52ce-4109-8f7f-521b2a62f692</vt:lpwstr>
  </property>
  <property fmtid="{D5CDD505-2E9C-101B-9397-08002B2CF9AE}" pid="7" name="_CopySource">
    <vt:lpwstr/>
  </property>
  <property fmtid="{D5CDD505-2E9C-101B-9397-08002B2CF9AE}" pid="8" name="DocHub_Keywords">
    <vt:lpwstr>981;#Commercial Energy|6c123cfe-45e5-49b7-a03d-282e9e70167c;#31;#Energy efficiency|fcd68716-df09-4a75-86b3-e9a20333e4a3;#243;#calculator|6aa63241-acf8-4e37-b4c6-b14d6d7f425a</vt:lpwstr>
  </property>
  <property fmtid="{D5CDD505-2E9C-101B-9397-08002B2CF9AE}" pid="9" name="DocHub_WorkActivity">
    <vt:lpwstr>10;#Communication|cd41d649-1e1a-44f5-b99b-946d42ce56d6</vt:lpwstr>
  </property>
</Properties>
</file>